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275" tabRatio="644" firstSheet="1" activeTab="1"/>
  </bookViews>
  <sheets>
    <sheet name="Consolidated (E)- (Th)" sheetId="1" state="hidden" r:id="rId1"/>
    <sheet name="AWP 2011 with 2010 unspent" sheetId="2" r:id="rId2"/>
    <sheet name="MOLISA" sheetId="3" r:id="rId3"/>
    <sheet name="MOCST " sheetId="4" r:id="rId4"/>
    <sheet name="GSO" sheetId="5" r:id="rId5"/>
  </sheets>
  <externalReferences>
    <externalReference r:id="rId8"/>
  </externalReferences>
  <definedNames>
    <definedName name="_xlnm.Print_Area" localSheetId="1">'AWP 2011 with 2010 unspent'!$A$1:$AD$253</definedName>
    <definedName name="_xlnm.Print_Area" localSheetId="4">'GSO'!$A$1:$AD$103</definedName>
    <definedName name="_xlnm.Print_Area" localSheetId="3">'MOCST '!$A$1:$AD$98</definedName>
    <definedName name="_xlnm.Print_Area" localSheetId="2">'MOLISA'!$A$1:$AD$145</definedName>
    <definedName name="_xlnm.Print_Titles" localSheetId="1">'AWP 2011 with 2010 unspent'!$5:$7</definedName>
    <definedName name="_xlnm.Print_Titles" localSheetId="0">'Consolidated (E)- (Th)'!$8:$11</definedName>
    <definedName name="_xlnm.Print_Titles" localSheetId="4">'GSO'!$5:$7</definedName>
    <definedName name="_xlnm.Print_Titles" localSheetId="3">'MOCST '!$6:$8</definedName>
    <definedName name="_xlnm.Print_Titles" localSheetId="2">'MOLISA'!$5:$7</definedName>
  </definedNames>
  <calcPr fullCalcOnLoad="1"/>
</workbook>
</file>

<file path=xl/comments1.xml><?xml version="1.0" encoding="utf-8"?>
<comments xmlns="http://schemas.openxmlformats.org/spreadsheetml/2006/main">
  <authors>
    <author>Thuy Nguyen</author>
  </authors>
  <commentList>
    <comment ref="P97" authorId="0">
      <text>
        <r>
          <rPr>
            <b/>
            <sz val="8"/>
            <rFont val="Tahoma"/>
            <family val="2"/>
          </rPr>
          <t>Thuy Nguyen:</t>
        </r>
        <r>
          <rPr>
            <sz val="8"/>
            <rFont val="Tahoma"/>
            <family val="2"/>
          </rPr>
          <t xml:space="preserve">
</t>
        </r>
        <r>
          <rPr>
            <sz val="11"/>
            <rFont val="Tahoma"/>
            <family val="2"/>
          </rPr>
          <t>removed to 2010</t>
        </r>
      </text>
    </comment>
    <comment ref="Q97" authorId="0">
      <text>
        <r>
          <rPr>
            <b/>
            <sz val="8"/>
            <rFont val="Tahoma"/>
            <family val="2"/>
          </rPr>
          <t>Thuy Nguyen:</t>
        </r>
        <r>
          <rPr>
            <sz val="8"/>
            <rFont val="Tahoma"/>
            <family val="2"/>
          </rPr>
          <t xml:space="preserve">
</t>
        </r>
      </text>
    </comment>
    <comment ref="P137" authorId="0">
      <text>
        <r>
          <rPr>
            <b/>
            <sz val="8"/>
            <rFont val="Tahoma"/>
            <family val="2"/>
          </rPr>
          <t>Thuy Nguyen:</t>
        </r>
        <r>
          <rPr>
            <sz val="8"/>
            <rFont val="Tahoma"/>
            <family val="2"/>
          </rPr>
          <t xml:space="preserve">
MOLISA +MOCST+GSO</t>
        </r>
      </text>
    </comment>
    <comment ref="P142" authorId="0">
      <text>
        <r>
          <rPr>
            <b/>
            <sz val="8"/>
            <rFont val="Tahoma"/>
            <family val="2"/>
          </rPr>
          <t>Thuy Nguyen:</t>
        </r>
        <r>
          <rPr>
            <sz val="8"/>
            <rFont val="Tahoma"/>
            <family val="2"/>
          </rPr>
          <t xml:space="preserve">
MOLISA+ </t>
        </r>
      </text>
    </comment>
    <comment ref="C37" authorId="0">
      <text>
        <r>
          <rPr>
            <b/>
            <sz val="8"/>
            <rFont val="Tahoma"/>
            <family val="2"/>
          </rPr>
          <t>Thuy Nguyen:</t>
        </r>
        <r>
          <rPr>
            <sz val="8"/>
            <rFont val="Tahoma"/>
            <family val="2"/>
          </rPr>
          <t xml:space="preserve">
</t>
        </r>
        <r>
          <rPr>
            <sz val="11"/>
            <rFont val="Tahoma"/>
            <family val="2"/>
          </rPr>
          <t>moved to 2010</t>
        </r>
      </text>
    </comment>
    <comment ref="C39" authorId="0">
      <text>
        <r>
          <rPr>
            <b/>
            <sz val="8"/>
            <rFont val="Tahoma"/>
            <family val="2"/>
          </rPr>
          <t>Thuy Nguyen:</t>
        </r>
        <r>
          <rPr>
            <sz val="8"/>
            <rFont val="Tahoma"/>
            <family val="2"/>
          </rPr>
          <t xml:space="preserve">
</t>
        </r>
        <r>
          <rPr>
            <sz val="11"/>
            <rFont val="Tahoma"/>
            <family val="2"/>
          </rPr>
          <t>moved to 2010</t>
        </r>
      </text>
    </comment>
    <comment ref="P172" authorId="0">
      <text>
        <r>
          <rPr>
            <b/>
            <sz val="8"/>
            <rFont val="Tahoma"/>
            <family val="2"/>
          </rPr>
          <t>Thuy Nguyen:</t>
        </r>
        <r>
          <rPr>
            <sz val="8"/>
            <rFont val="Tahoma"/>
            <family val="2"/>
          </rPr>
          <t xml:space="preserve">
MOLISA +MOCST+GSO</t>
        </r>
      </text>
    </comment>
    <comment ref="P173" authorId="0">
      <text>
        <r>
          <rPr>
            <b/>
            <sz val="8"/>
            <rFont val="Tahoma"/>
            <family val="2"/>
          </rPr>
          <t>Thuy Nguyen:</t>
        </r>
        <r>
          <rPr>
            <sz val="8"/>
            <rFont val="Tahoma"/>
            <family val="2"/>
          </rPr>
          <t xml:space="preserve">
MOLISA +MOCST+GSO</t>
        </r>
      </text>
    </comment>
    <comment ref="P174" authorId="0">
      <text>
        <r>
          <rPr>
            <b/>
            <sz val="8"/>
            <rFont val="Tahoma"/>
            <family val="2"/>
          </rPr>
          <t>Thuy Nguyen:</t>
        </r>
        <r>
          <rPr>
            <sz val="8"/>
            <rFont val="Tahoma"/>
            <family val="2"/>
          </rPr>
          <t xml:space="preserve">
MOLISA +MOCST+GSO</t>
        </r>
      </text>
    </comment>
    <comment ref="P175" authorId="0">
      <text>
        <r>
          <rPr>
            <b/>
            <sz val="8"/>
            <rFont val="Tahoma"/>
            <family val="2"/>
          </rPr>
          <t>Thuy Nguyen:</t>
        </r>
        <r>
          <rPr>
            <sz val="8"/>
            <rFont val="Tahoma"/>
            <family val="2"/>
          </rPr>
          <t xml:space="preserve">
MOLISA +MOCST+GSO</t>
        </r>
      </text>
    </comment>
    <comment ref="P185" authorId="0">
      <text>
        <r>
          <rPr>
            <b/>
            <sz val="8"/>
            <rFont val="Tahoma"/>
            <family val="2"/>
          </rPr>
          <t>Thuy Nguyen:</t>
        </r>
        <r>
          <rPr>
            <sz val="8"/>
            <rFont val="Tahoma"/>
            <family val="2"/>
          </rPr>
          <t xml:space="preserve">
MOLISA+ </t>
        </r>
      </text>
    </comment>
    <comment ref="P186" authorId="0">
      <text>
        <r>
          <rPr>
            <b/>
            <sz val="8"/>
            <rFont val="Tahoma"/>
            <family val="2"/>
          </rPr>
          <t>Thuy Nguyen:</t>
        </r>
        <r>
          <rPr>
            <sz val="8"/>
            <rFont val="Tahoma"/>
            <family val="2"/>
          </rPr>
          <t xml:space="preserve">
MOLISA+ </t>
        </r>
      </text>
    </comment>
    <comment ref="P188" authorId="0">
      <text>
        <r>
          <rPr>
            <b/>
            <sz val="8"/>
            <rFont val="Tahoma"/>
            <family val="2"/>
          </rPr>
          <t>Thuy Nguyen:</t>
        </r>
        <r>
          <rPr>
            <sz val="8"/>
            <rFont val="Tahoma"/>
            <family val="2"/>
          </rPr>
          <t xml:space="preserve">
MOLISA+ </t>
        </r>
      </text>
    </comment>
  </commentList>
</comments>
</file>

<file path=xl/comments3.xml><?xml version="1.0" encoding="utf-8"?>
<comments xmlns="http://schemas.openxmlformats.org/spreadsheetml/2006/main">
  <authors>
    <author>ThuyNguyen</author>
    <author>Thuy Nguyen</author>
    <author>UNFPA</author>
  </authors>
  <commentList>
    <comment ref="M10" authorId="0">
      <text>
        <r>
          <rPr>
            <b/>
            <sz val="8"/>
            <rFont val="Tahoma"/>
            <family val="2"/>
          </rPr>
          <t>ThuyNguyen:</t>
        </r>
        <r>
          <rPr>
            <sz val="8"/>
            <rFont val="Tahoma"/>
            <family val="2"/>
          </rPr>
          <t xml:space="preserve">
</t>
        </r>
        <r>
          <rPr>
            <sz val="11"/>
            <rFont val="Tahoma"/>
            <family val="2"/>
          </rPr>
          <t>UNFPA take out 8,3388</t>
        </r>
      </text>
    </comment>
    <comment ref="O66" authorId="1">
      <text>
        <r>
          <rPr>
            <b/>
            <sz val="8"/>
            <rFont val="Tahoma"/>
            <family val="2"/>
          </rPr>
          <t>Thuy Nguyen:</t>
        </r>
        <r>
          <rPr>
            <sz val="8"/>
            <rFont val="Tahoma"/>
            <family val="2"/>
          </rPr>
          <t xml:space="preserve">
</t>
        </r>
        <r>
          <rPr>
            <sz val="11"/>
            <rFont val="Tahoma"/>
            <family val="2"/>
          </rPr>
          <t>removed to 2010</t>
        </r>
      </text>
    </comment>
    <comment ref="W66" authorId="0">
      <text>
        <r>
          <rPr>
            <b/>
            <sz val="8"/>
            <rFont val="Tahoma"/>
            <family val="2"/>
          </rPr>
          <t>ThuyNguyen:</t>
        </r>
        <r>
          <rPr>
            <sz val="8"/>
            <rFont val="Tahoma"/>
            <family val="2"/>
          </rPr>
          <t xml:space="preserve">
C</t>
        </r>
        <r>
          <rPr>
            <sz val="11"/>
            <rFont val="Tahoma"/>
            <family val="2"/>
          </rPr>
          <t>an take out : 26,984-12064 (CSAGA) = 14,920. Take out 4,000</t>
        </r>
      </text>
    </comment>
    <comment ref="V80" authorId="0">
      <text>
        <r>
          <rPr>
            <b/>
            <sz val="8"/>
            <rFont val="Tahoma"/>
            <family val="2"/>
          </rPr>
          <t>ThuyNguyen:</t>
        </r>
        <r>
          <rPr>
            <sz val="8"/>
            <rFont val="Tahoma"/>
            <family val="2"/>
          </rPr>
          <t xml:space="preserve">
</t>
        </r>
        <r>
          <rPr>
            <sz val="11"/>
            <rFont val="Tahoma"/>
            <family val="2"/>
          </rPr>
          <t xml:space="preserve">take out 19,000 from planned Atlas
</t>
        </r>
      </text>
    </comment>
    <comment ref="W80" authorId="0">
      <text>
        <r>
          <rPr>
            <b/>
            <sz val="8"/>
            <rFont val="Tahoma"/>
            <family val="2"/>
          </rPr>
          <t>ThuyNguyen:</t>
        </r>
        <r>
          <rPr>
            <sz val="8"/>
            <rFont val="Tahoma"/>
            <family val="2"/>
          </rPr>
          <t xml:space="preserve">
</t>
        </r>
        <r>
          <rPr>
            <sz val="10"/>
            <rFont val="Tahoma"/>
            <family val="2"/>
          </rPr>
          <t>take out 20,000 from planned  Atlas for staff cost. The allocated budget for final  M&amp;E</t>
        </r>
      </text>
    </comment>
    <comment ref="Y80" authorId="0">
      <text>
        <r>
          <rPr>
            <b/>
            <sz val="8"/>
            <rFont val="Tahoma"/>
            <family val="2"/>
          </rPr>
          <t>ThuyNguyen:</t>
        </r>
        <r>
          <rPr>
            <sz val="8"/>
            <rFont val="Tahoma"/>
            <family val="2"/>
          </rPr>
          <t xml:space="preserve">
</t>
        </r>
        <r>
          <rPr>
            <sz val="11"/>
            <rFont val="Tahoma"/>
            <family val="2"/>
          </rPr>
          <t xml:space="preserve">take out 19,000 from planned Atlas
</t>
        </r>
      </text>
    </comment>
    <comment ref="Z80" authorId="0">
      <text>
        <r>
          <rPr>
            <b/>
            <sz val="8"/>
            <rFont val="Tahoma"/>
            <family val="2"/>
          </rPr>
          <t>ThuyNguyen:</t>
        </r>
        <r>
          <rPr>
            <sz val="8"/>
            <rFont val="Tahoma"/>
            <family val="2"/>
          </rPr>
          <t xml:space="preserve">
</t>
        </r>
        <r>
          <rPr>
            <sz val="10"/>
            <rFont val="Tahoma"/>
            <family val="2"/>
          </rPr>
          <t>take out 20,000 from planned  Atlas for staff cost. The allocated budget for final  M&amp;E</t>
        </r>
      </text>
    </comment>
    <comment ref="Z86" authorId="0">
      <text>
        <r>
          <rPr>
            <b/>
            <sz val="8"/>
            <rFont val="Tahoma"/>
            <family val="2"/>
          </rPr>
          <t>ThuyNguyen:</t>
        </r>
        <r>
          <rPr>
            <sz val="8"/>
            <rFont val="Tahoma"/>
            <family val="2"/>
          </rPr>
          <t xml:space="preserve">
add termination fee for Aya</t>
        </r>
      </text>
    </comment>
    <comment ref="V93" authorId="0">
      <text>
        <r>
          <rPr>
            <b/>
            <sz val="8"/>
            <rFont val="Tahoma"/>
            <family val="2"/>
          </rPr>
          <t>ThuyNguyen:</t>
        </r>
        <r>
          <rPr>
            <sz val="8"/>
            <rFont val="Tahoma"/>
            <family val="2"/>
          </rPr>
          <t xml:space="preserve">
</t>
        </r>
        <r>
          <rPr>
            <sz val="11"/>
            <rFont val="Tahoma"/>
            <family val="2"/>
          </rPr>
          <t>take out 2000 from Atlas</t>
        </r>
      </text>
    </comment>
    <comment ref="W93" authorId="0">
      <text>
        <r>
          <rPr>
            <b/>
            <sz val="8"/>
            <rFont val="Tahoma"/>
            <family val="2"/>
          </rPr>
          <t>ThuyNguyen:</t>
        </r>
        <r>
          <rPr>
            <sz val="8"/>
            <rFont val="Tahoma"/>
            <family val="2"/>
          </rPr>
          <t xml:space="preserve">
</t>
        </r>
        <r>
          <rPr>
            <sz val="11"/>
            <rFont val="Tahoma"/>
            <family val="2"/>
          </rPr>
          <t>take out 1080</t>
        </r>
      </text>
    </comment>
    <comment ref="W16" authorId="0">
      <text>
        <r>
          <rPr>
            <b/>
            <sz val="8"/>
            <rFont val="Tahoma"/>
            <family val="2"/>
          </rPr>
          <t>ThuyNguyen:</t>
        </r>
        <r>
          <rPr>
            <sz val="8"/>
            <rFont val="Tahoma"/>
            <family val="2"/>
          </rPr>
          <t xml:space="preserve">
</t>
        </r>
        <r>
          <rPr>
            <sz val="11"/>
            <rFont val="Tahoma"/>
            <family val="2"/>
          </rPr>
          <t xml:space="preserve">take out 1500 for </t>
        </r>
      </text>
    </comment>
    <comment ref="W21" authorId="0">
      <text>
        <r>
          <rPr>
            <b/>
            <sz val="8"/>
            <rFont val="Tahoma"/>
            <family val="2"/>
          </rPr>
          <t>ThuyNguyen:</t>
        </r>
        <r>
          <rPr>
            <sz val="8"/>
            <rFont val="Tahoma"/>
            <family val="2"/>
          </rPr>
          <t xml:space="preserve">
</t>
        </r>
        <r>
          <rPr>
            <sz val="11"/>
            <rFont val="Tahoma"/>
            <family val="2"/>
          </rPr>
          <t>take out 3,000</t>
        </r>
      </text>
    </comment>
    <comment ref="P96" authorId="2">
      <text>
        <r>
          <rPr>
            <b/>
            <sz val="8"/>
            <rFont val="Tahoma"/>
            <family val="2"/>
          </rPr>
          <t>UNFPA:</t>
        </r>
        <r>
          <rPr>
            <sz val="8"/>
            <rFont val="Tahoma"/>
            <family val="2"/>
          </rPr>
          <t xml:space="preserve">
</t>
        </r>
        <r>
          <rPr>
            <sz val="12"/>
            <rFont val="Tahoma"/>
            <family val="2"/>
          </rPr>
          <t xml:space="preserve">Giam  $891 de trung khop voi IC so Cuong cap ngay 22/12 phan UNFPA phan ra cho 3 NIPs
</t>
        </r>
      </text>
    </comment>
    <comment ref="Q113" authorId="2">
      <text>
        <r>
          <rPr>
            <b/>
            <sz val="8"/>
            <rFont val="Tahoma"/>
            <family val="2"/>
          </rPr>
          <t>UNFPA:</t>
        </r>
        <r>
          <rPr>
            <sz val="8"/>
            <rFont val="Tahoma"/>
            <family val="2"/>
          </rPr>
          <t xml:space="preserve">
</t>
        </r>
      </text>
    </comment>
    <comment ref="AG113" authorId="2">
      <text>
        <r>
          <rPr>
            <b/>
            <sz val="8"/>
            <rFont val="Tahoma"/>
            <family val="2"/>
          </rPr>
          <t>UNFPA:</t>
        </r>
        <r>
          <rPr>
            <sz val="8"/>
            <rFont val="Tahoma"/>
            <family val="2"/>
          </rPr>
          <t xml:space="preserve">
tawng them 763 de phu hop voi IC Cuong cap 22/12)
</t>
        </r>
      </text>
    </comment>
    <comment ref="P86" authorId="2">
      <text>
        <r>
          <rPr>
            <b/>
            <sz val="8"/>
            <rFont val="Tahoma"/>
            <family val="2"/>
          </rPr>
          <t>UNFPA:</t>
        </r>
        <r>
          <rPr>
            <sz val="8"/>
            <rFont val="Tahoma"/>
            <family val="2"/>
          </rPr>
          <t xml:space="preserve">
1,665 la service cost as ha informed on 30/12/2010</t>
        </r>
      </text>
    </comment>
    <comment ref="V85" authorId="0">
      <text>
        <r>
          <rPr>
            <b/>
            <sz val="8"/>
            <rFont val="Tahoma"/>
            <family val="2"/>
          </rPr>
          <t>ThuyNguyen:</t>
        </r>
        <r>
          <rPr>
            <sz val="8"/>
            <rFont val="Tahoma"/>
            <family val="2"/>
          </rPr>
          <t xml:space="preserve">
778*12=9336, dư:2868, se chuyen len X1</t>
        </r>
      </text>
    </comment>
  </commentList>
</comments>
</file>

<file path=xl/comments4.xml><?xml version="1.0" encoding="utf-8"?>
<comments xmlns="http://schemas.openxmlformats.org/spreadsheetml/2006/main">
  <authors>
    <author>ThuyNguyen</author>
    <author>UNFPA</author>
  </authors>
  <commentList>
    <comment ref="W16" authorId="0">
      <text>
        <r>
          <rPr>
            <b/>
            <sz val="8"/>
            <rFont val="Tahoma"/>
            <family val="2"/>
          </rPr>
          <t xml:space="preserve">ThuyNguyen:
</t>
        </r>
        <r>
          <rPr>
            <sz val="11"/>
            <rFont val="Tahoma"/>
            <family val="2"/>
          </rPr>
          <t>con thua 20000</t>
        </r>
      </text>
    </comment>
    <comment ref="Z40" authorId="0">
      <text>
        <r>
          <rPr>
            <b/>
            <sz val="8"/>
            <rFont val="Tahoma"/>
            <family val="2"/>
          </rPr>
          <t>ThuyNguyen:</t>
        </r>
        <r>
          <rPr>
            <sz val="8"/>
            <rFont val="Tahoma"/>
            <family val="2"/>
          </rPr>
          <t xml:space="preserve">
Termination fee
</t>
        </r>
      </text>
    </comment>
    <comment ref="P46" authorId="1">
      <text>
        <r>
          <rPr>
            <b/>
            <sz val="8"/>
            <rFont val="Tahoma"/>
            <family val="2"/>
          </rPr>
          <t>UNFPA:</t>
        </r>
        <r>
          <rPr>
            <sz val="8"/>
            <rFont val="Tahoma"/>
            <family val="2"/>
          </rPr>
          <t xml:space="preserve">
De hop voi so cua Cuong gui ngay 22/12</t>
        </r>
      </text>
    </comment>
    <comment ref="W20" authorId="0">
      <text>
        <r>
          <rPr>
            <b/>
            <sz val="8"/>
            <rFont val="Tahoma"/>
            <family val="2"/>
          </rPr>
          <t xml:space="preserve">ThuyNguyen:
</t>
        </r>
        <r>
          <rPr>
            <sz val="11"/>
            <rFont val="Tahoma"/>
            <family val="2"/>
          </rPr>
          <t>con thua 20000</t>
        </r>
      </text>
    </comment>
  </commentList>
</comments>
</file>

<file path=xl/comments5.xml><?xml version="1.0" encoding="utf-8"?>
<comments xmlns="http://schemas.openxmlformats.org/spreadsheetml/2006/main">
  <authors>
    <author>Chau</author>
    <author>ThuyNguyen</author>
    <author>UNFPA</author>
  </authors>
  <commentList>
    <comment ref="Q68" authorId="0">
      <text>
        <r>
          <rPr>
            <b/>
            <sz val="8"/>
            <rFont val="Tahoma"/>
            <family val="2"/>
          </rPr>
          <t>Chau:</t>
        </r>
        <r>
          <rPr>
            <sz val="8"/>
            <rFont val="Tahoma"/>
            <family val="2"/>
          </rPr>
          <t xml:space="preserve">
So Cuong cap ngay 20/1/2010</t>
        </r>
      </text>
    </comment>
    <comment ref="Z46" authorId="1">
      <text>
        <r>
          <rPr>
            <b/>
            <sz val="11"/>
            <rFont val="Tahoma"/>
            <family val="2"/>
          </rPr>
          <t>ThuyNguyen:</t>
        </r>
        <r>
          <rPr>
            <sz val="11"/>
            <rFont val="Tahoma"/>
            <family val="2"/>
          </rPr>
          <t xml:space="preserve">
add 6000 for termination</t>
        </r>
      </text>
    </comment>
    <comment ref="P52" authorId="2">
      <text>
        <r>
          <rPr>
            <b/>
            <sz val="8"/>
            <rFont val="Tahoma"/>
            <family val="2"/>
          </rPr>
          <t>UNFPA:</t>
        </r>
        <r>
          <rPr>
            <sz val="8"/>
            <rFont val="Tahoma"/>
            <family val="2"/>
          </rPr>
          <t xml:space="preserve">
Giam di 111 cho phu hop voi so IE cua Cuong.</t>
        </r>
      </text>
    </comment>
    <comment ref="V45" authorId="1">
      <text>
        <r>
          <rPr>
            <b/>
            <sz val="8"/>
            <rFont val="Tahoma"/>
            <family val="2"/>
          </rPr>
          <t>ThuyNguyen:</t>
        </r>
        <r>
          <rPr>
            <sz val="8"/>
            <rFont val="Tahoma"/>
            <family val="2"/>
          </rPr>
          <t xml:space="preserve">
</t>
        </r>
        <r>
          <rPr>
            <sz val="12"/>
            <rFont val="Tahoma"/>
            <family val="2"/>
          </rPr>
          <t>thuc tra: 898*12=10,776, con du 1,428. Se dua vao Training X1</t>
        </r>
      </text>
    </comment>
    <comment ref="V41" authorId="1">
      <text>
        <r>
          <rPr>
            <b/>
            <sz val="8"/>
            <rFont val="Tahoma"/>
            <family val="2"/>
          </rPr>
          <t>ThuyNguyen:</t>
        </r>
        <r>
          <rPr>
            <sz val="8"/>
            <rFont val="Tahoma"/>
            <family val="2"/>
          </rPr>
          <t xml:space="preserve">
</t>
        </r>
        <r>
          <rPr>
            <sz val="12"/>
            <rFont val="Tahoma"/>
            <family val="2"/>
          </rPr>
          <t>cos the se cong them 1,428</t>
        </r>
      </text>
    </comment>
  </commentList>
</comments>
</file>

<file path=xl/sharedStrings.xml><?xml version="1.0" encoding="utf-8"?>
<sst xmlns="http://schemas.openxmlformats.org/spreadsheetml/2006/main" count="2617" uniqueCount="613">
  <si>
    <t xml:space="preserve">Sum - Activity 1.3.7
</t>
  </si>
  <si>
    <t xml:space="preserve">Sum - Activity 1.3.8
</t>
  </si>
  <si>
    <t xml:space="preserve">Sum - Activity 1.3.10
</t>
  </si>
  <si>
    <t xml:space="preserve">Sum - Activity 1.3.10.5
</t>
  </si>
  <si>
    <t xml:space="preserve">Sum - Activity 1.3.11
</t>
  </si>
  <si>
    <t xml:space="preserve">Sum - Activity 1.3.12
</t>
  </si>
  <si>
    <t xml:space="preserve">Sum - Activity 1.3.14
</t>
  </si>
  <si>
    <t xml:space="preserve">Sum - Activity 1.3.13
</t>
  </si>
  <si>
    <t xml:space="preserve">Sum - Activity 1.3.15
</t>
  </si>
  <si>
    <t xml:space="preserve">Sum - Activity 3.1.1
</t>
  </si>
  <si>
    <t xml:space="preserve">Sum - Activity 3.1.2
</t>
  </si>
  <si>
    <t xml:space="preserve">Sum - Activity 2.2.2
</t>
  </si>
  <si>
    <t xml:space="preserve">Sum - Activity 2.3.2
</t>
  </si>
  <si>
    <t xml:space="preserve">Sum - Activity 2.3.3
</t>
  </si>
  <si>
    <t xml:space="preserve">Sum - Activity 3.3.1
</t>
  </si>
  <si>
    <t xml:space="preserve">Sum - Activity 3.3.2
</t>
  </si>
  <si>
    <t xml:space="preserve">Sum - Activity 3.3.3
</t>
  </si>
  <si>
    <t xml:space="preserve">Sum - Activity 3.3.4
</t>
  </si>
  <si>
    <t xml:space="preserve">Sum - Activity 3.3.5 (b)
</t>
  </si>
  <si>
    <t xml:space="preserve">Sum - Activity 1.3.9
</t>
  </si>
  <si>
    <t xml:space="preserve">Activity 1.3.10.5 - Support MOH to disseminate the protocol and the booklet on its circular </t>
  </si>
  <si>
    <t>Activity 1.3.13 - Capacity-building of MOIC on gender mainstreaming in communication at central and provincial levels</t>
  </si>
  <si>
    <t xml:space="preserve">Activity 1.3.14 -  Capacity-building of MOET on gender mainstreaming in education at central and provincial levels
</t>
  </si>
  <si>
    <t xml:space="preserve">Activity 1.3.15 - National textbook review and analysis  from gender perspective, including piloting teacher-training programmes to incorporate GE issues in line with the two laws.
</t>
  </si>
  <si>
    <t xml:space="preserve">Activity 2.1.1 - Develop and sustain semi-annual forums on GE to feed into policy dialogues and the CG meetings. 
</t>
  </si>
  <si>
    <t xml:space="preserve">Sum - Activity 2.1.4
</t>
  </si>
  <si>
    <t xml:space="preserve">Sum - Activity 2.2.1.
</t>
  </si>
  <si>
    <t xml:space="preserve">Sum - Activity 3.2.1
</t>
  </si>
  <si>
    <t xml:space="preserve">Sum - Activity 3.2.2
</t>
  </si>
  <si>
    <t xml:space="preserve">Sum - Activity 3.2.3
</t>
  </si>
  <si>
    <t xml:space="preserve">Sum - Activity 3.2.4
</t>
  </si>
  <si>
    <t xml:space="preserve">Sum - Activity 3.4.2
</t>
  </si>
  <si>
    <t xml:space="preserve">Sum - Activity 3.4.3
</t>
  </si>
  <si>
    <t xml:space="preserve">REVISION WITH UNSPENT FUND </t>
  </si>
  <si>
    <t>Nguyễn Thanh Hòa</t>
  </si>
  <si>
    <t xml:space="preserve">Total </t>
  </si>
  <si>
    <t xml:space="preserve">National Implementation </t>
  </si>
  <si>
    <t xml:space="preserve">UN implementation </t>
  </si>
  <si>
    <t>Indirect Support costs (7%)</t>
  </si>
  <si>
    <t>Total for PUNOs and NIPs</t>
  </si>
  <si>
    <t xml:space="preserve">Activity 1.3.1 (a) - Support line Ministries to develop relevant POAs. </t>
  </si>
  <si>
    <t>Activity 1.3.2 (b) - Development of training materials  on the DVL to make them available to MOCST, line ministries, CP and other duty bearers for better implementation of the law.</t>
  </si>
  <si>
    <t>Activity 1.3.3 (a) - Support training of staff of MOLISA, CP and branches on the GEL at central and provincial levels including key cities.</t>
  </si>
  <si>
    <t xml:space="preserve">Activity 1.3.3 (b) - Support training of MOCST, CP and branches on the DVL in selected provinces. 
</t>
  </si>
  <si>
    <t>Activity 1.3.4 - Support training for selected NA's Deputies and Members of Provincial People's Councils on the two Laws (utilization of training materials on two laws developed by MOLISA and MOCST in 2009).</t>
  </si>
  <si>
    <t>Activity 1.3.4 - Develop training package and training of selected NA's Deputies and Members of Provincial People's Councils on the two Laws, and international treaties and standards relating to GE and children's rights  to strengthen the capacity of Elected Officials for carrying out their law making and oversight functions.</t>
  </si>
  <si>
    <t xml:space="preserve">Activity 1.3.5 -  Training and capacity assistance to NA in developing skills of the Women Parliamentarian Group to oversight of the two laws
</t>
  </si>
  <si>
    <r>
      <t>Activity 1.3.7 - TA to MOLISA to mainstream gender into labour and employment policies, national programmes, including translation, adaptation and adoption of gender mainstreaming and auditing tools as related to the GE law.</t>
    </r>
  </si>
  <si>
    <t>Activity 1.3.8 -TA to MOLISA to review the implementation of Government's commitments to international conventions on the right to equal opportunities and treatment on the labour market as well as to equal remuneration as related to the Law</t>
  </si>
  <si>
    <t xml:space="preserve">Activity 1.3.10 - MOH to develop sub-law and regulatory documents necessary for implementation of DVL and GEL </t>
  </si>
  <si>
    <t xml:space="preserve">Activity 1.3.11 - MOJ and MPS to develop regulatory documents necessary for the implementation of the Law on Domestic Violence Prevention and Control </t>
  </si>
  <si>
    <t>Activity 1.3.12 - MOJ and MPS to develop training materials on DV and to pilot these trainings for law enforcement and justice sector officers.</t>
  </si>
  <si>
    <t xml:space="preserve">Activity 2.1.2 - Provide TA to selected NGOs of Gencomnet, NEW and DOVIPNET  to expand their network and host consultation meetings on the two laws with SMAs, Government, civil society groups, NGOs and concerned agencies
</t>
  </si>
  <si>
    <t>Activity 2.1.3 - NCFAW and MOLISA to strengthen the GAP</t>
  </si>
  <si>
    <t xml:space="preserve">Activity 2.1.4 - Enhance the capability of grass-roots support groups for victims of DV and advocate directly at the provincial and national level for improved policies and intervention programme </t>
  </si>
  <si>
    <t xml:space="preserve">Activity 2.2.1 - Facilitate enhanced partnership between VCCI, government agencies, and other political and civil society actors to develop mechanisms for promoting women's entrepreneurship in line with the Law on Gender Equality. </t>
  </si>
  <si>
    <t>Activity 2.2.2 -Support women's entrepreneurship and networking at the grass-roots level and their advocacy efforts aimed at mass organizations and government agencies working on economic empowerment policies for women.</t>
  </si>
  <si>
    <t>Activity 2.3.1 - Facilitate semi-annual press conferences</t>
  </si>
  <si>
    <t>Activity 2.3.2 - Facilitate the dissemination of the laws through mass media (special columns of key magazines, newspapers, national TV coverage, VOV, etc.</t>
  </si>
  <si>
    <t>Activity 2.3.3 - Development of national network of media practitioners reporting on GE issues, including providing training on the content of the two laws, support for development of the Communication trategy on the GEL and developing information and communcation materials on GE</t>
  </si>
  <si>
    <t>Estimated unspent /(overspent) for 2010, excluding 7%</t>
  </si>
  <si>
    <t xml:space="preserve">2011 Budget including unspent amount of 2009 </t>
  </si>
  <si>
    <t xml:space="preserve">2012 (3 months) Budget </t>
  </si>
  <si>
    <t>Coordinator</t>
  </si>
  <si>
    <t>Assistant</t>
  </si>
  <si>
    <t>Accountant</t>
  </si>
  <si>
    <t>Interpreter</t>
  </si>
  <si>
    <t>Q1 (2012)</t>
  </si>
  <si>
    <t>Support salary for 2 full-time staff (01 Program Coordinator 01 and 01 Assistant cum Accountant) for management of the JP at CPMU</t>
  </si>
  <si>
    <t>Acc/assistant</t>
  </si>
  <si>
    <t>Aya</t>
  </si>
  <si>
    <t xml:space="preserve">2011 Budget including unspent amount of 2010 </t>
  </si>
  <si>
    <t>Q1-2012</t>
  </si>
  <si>
    <t>Time Frame
(2011 - March 2012)</t>
  </si>
  <si>
    <t>Time Frame
(2011- March 2012)</t>
  </si>
  <si>
    <t>Time Frame
(2011- March 2012</t>
  </si>
  <si>
    <t xml:space="preserve">Activity 3.4.1: GSO to store and disseminate gender related data and develop periodical publication on sex-disaggregated/gender related data </t>
  </si>
  <si>
    <t>Activity 3.2.5: Provide TA to engender the annual Population Change Survey (3% survey) and the VHLSS.</t>
  </si>
  <si>
    <t>ACTIVITY 09</t>
  </si>
  <si>
    <t>Activity 3.4.4: Compile, publish, and disseminate CD-ROM on VietInfo database and web-based version on children and gender equality to key partners at all levels.</t>
  </si>
  <si>
    <t>Sum - Activity 3.4.4</t>
  </si>
  <si>
    <t>Actual spent in 2010</t>
  </si>
  <si>
    <t>Estimated unspent/overspent for 2010</t>
  </si>
  <si>
    <t>Total Programme Budget 2011 including unspent fund of 2010</t>
  </si>
  <si>
    <t>Total Programme Budget 2011- March 2012</t>
  </si>
  <si>
    <t>Total Programme Budget 2012 (3 motnhs)</t>
  </si>
  <si>
    <t>Training X1</t>
  </si>
  <si>
    <t>Indirect cost</t>
  </si>
  <si>
    <t>Sum</t>
  </si>
  <si>
    <t>2010 Programme Budget (USD)</t>
  </si>
  <si>
    <t>Total Programme Budget 2011 including unspent 
fund of 2010</t>
  </si>
  <si>
    <t>UNODC, MOJ, MPS</t>
  </si>
  <si>
    <t xml:space="preserve">Estimated unspent/overspent for 2010 </t>
  </si>
  <si>
    <t xml:space="preserve">Spent and commitment amount in 2010 </t>
  </si>
  <si>
    <t>Planned budget for 2010</t>
  </si>
  <si>
    <t>MPS, MOJ</t>
  </si>
  <si>
    <t>Outcome
JP Outcome 2: Enhanced partnerships and coordination around gender equality within and outside of government
Indicator: Authority of MOLISA and MOCST in coordination of gender architecture across Government, civil society and donors
Baseline: Lack of comprehensive and coordinated gender mainstreaming function across government, civil society an donors</t>
  </si>
  <si>
    <t>Training Staff</t>
  </si>
  <si>
    <t>Programme Budget 2011 including unspent fund of 2010</t>
  </si>
  <si>
    <t>Programme Budget 2012 (3 motnhs)</t>
  </si>
  <si>
    <t xml:space="preserve">FAO, </t>
  </si>
  <si>
    <t xml:space="preserve">Sum  PUNOs </t>
  </si>
  <si>
    <t xml:space="preserve">Sum - Activity 3.4.1
</t>
  </si>
  <si>
    <t>Support for CPMU</t>
  </si>
  <si>
    <t>Activity 1.3.6. Training of GSO and MARD staff responsible for gender and sex-disaggregated data collection and analysis</t>
  </si>
  <si>
    <t xml:space="preserve">Responsible Parties (name of NIP/CIPs, other National Partners including Sub-contractor, if any) </t>
  </si>
  <si>
    <t xml:space="preserve">3 years </t>
  </si>
  <si>
    <t>Spent 2009</t>
  </si>
  <si>
    <t>Spent 2010</t>
  </si>
  <si>
    <t xml:space="preserve">Unspent </t>
  </si>
  <si>
    <t xml:space="preserve">Spent in
 Q4 2010 </t>
  </si>
  <si>
    <t>IP report (4quarters)</t>
  </si>
  <si>
    <t>(1)</t>
  </si>
  <si>
    <t>(2)</t>
  </si>
  <si>
    <t>(3)</t>
  </si>
  <si>
    <t>(4)</t>
  </si>
  <si>
    <t>Allocation 2010</t>
  </si>
  <si>
    <t>(5)</t>
  </si>
  <si>
    <t>Plan for 2011 &amp; 2012</t>
  </si>
  <si>
    <t xml:space="preserve">TRAINING X1                                                                                                                                                                                                                            </t>
  </si>
  <si>
    <t>ACTIVITY 05</t>
  </si>
  <si>
    <t xml:space="preserve">TRAINING X1                                                                                                                                                                                                                      </t>
  </si>
  <si>
    <t xml:space="preserve">TRAINING X1                                                                                                                                                                                                                        </t>
  </si>
  <si>
    <t>GSO_PG0008</t>
  </si>
  <si>
    <t>Spent in 3
 quarters of 2010</t>
  </si>
  <si>
    <t>(6)=(5)-(4)</t>
  </si>
  <si>
    <t>(7)=(4)+(6)</t>
  </si>
  <si>
    <t>(8)=(3)-(7)</t>
  </si>
  <si>
    <t>(9)=(1)-(2)-(7)</t>
  </si>
  <si>
    <t>(5)=(3)-(4)</t>
  </si>
  <si>
    <t>(6)=(1)-(2)-(4)</t>
  </si>
  <si>
    <t>Spent in 3
 quarters 2010</t>
  </si>
  <si>
    <t>PU0074 for UNFPA</t>
  </si>
  <si>
    <t>Without 7%</t>
  </si>
  <si>
    <t>3 Years Programme Budget (USD)</t>
  </si>
  <si>
    <t>Indirect Support costs (7%) for UN</t>
  </si>
  <si>
    <t>Total for PUNOs and for NIPs</t>
  </si>
  <si>
    <t xml:space="preserve">Total for UNFPA 
Implementation  </t>
  </si>
  <si>
    <r>
      <rPr>
        <b/>
        <u val="single"/>
        <sz val="11"/>
        <rFont val="Arial"/>
        <family val="2"/>
      </rPr>
      <t xml:space="preserve">Output 3.3: </t>
    </r>
    <r>
      <rPr>
        <b/>
        <sz val="11"/>
        <rFont val="Arial"/>
        <family val="2"/>
      </rPr>
      <t xml:space="preserve">Data and information collected to promote national gender equality policy dialogues for marginalized groups. </t>
    </r>
    <r>
      <rPr>
        <sz val="11"/>
        <rFont val="Arial"/>
        <family val="2"/>
      </rPr>
      <t xml:space="preserve">
</t>
    </r>
    <r>
      <rPr>
        <b/>
        <u val="single"/>
        <sz val="11"/>
        <rFont val="Arial"/>
        <family val="2"/>
      </rPr>
      <t>Output 3.3 Indicators:</t>
    </r>
    <r>
      <rPr>
        <u val="single"/>
        <sz val="11"/>
        <rFont val="Arial"/>
        <family val="2"/>
      </rPr>
      <t xml:space="preserve"> 
</t>
    </r>
    <r>
      <rPr>
        <sz val="11"/>
        <rFont val="Arial"/>
        <family val="2"/>
      </rPr>
      <t xml:space="preserve">- Gender Equality data concerning marginalized women is collected and used for policy adovcacy and recommendations                                                                                                                                                                                        
</t>
    </r>
    <r>
      <rPr>
        <b/>
        <u val="single"/>
        <sz val="11"/>
        <rFont val="Arial"/>
        <family val="2"/>
      </rPr>
      <t>Annual targets</t>
    </r>
    <r>
      <rPr>
        <b/>
        <sz val="11"/>
        <rFont val="Arial"/>
        <family val="2"/>
      </rPr>
      <t xml:space="preserve"> :   </t>
    </r>
    <r>
      <rPr>
        <sz val="11"/>
        <rFont val="Arial"/>
        <family val="2"/>
      </rPr>
      <t xml:space="preserve">                                                                                                                                                                                                                                                                                                                                                                                                                         
+ Currently available data stock-taken and reviewed and new data and information collected through 3 research on vulnerable groups</t>
    </r>
  </si>
  <si>
    <r>
      <t xml:space="preserve">Output  3.1  </t>
    </r>
    <r>
      <rPr>
        <b/>
        <sz val="11"/>
        <rFont val="Arial"/>
        <family val="2"/>
      </rPr>
      <t>Current gender equality and sex-disaggregated indicatros are reviewed and new indicators identified through research</t>
    </r>
    <r>
      <rPr>
        <sz val="11"/>
        <rFont val="Arial"/>
        <family val="2"/>
      </rPr>
      <t xml:space="preserve">
</t>
    </r>
    <r>
      <rPr>
        <b/>
        <u val="single"/>
        <sz val="11"/>
        <rFont val="Arial"/>
        <family val="2"/>
      </rPr>
      <t>Output 3.1 Indicators</t>
    </r>
    <r>
      <rPr>
        <sz val="11"/>
        <rFont val="Arial"/>
        <family val="2"/>
      </rPr>
      <t xml:space="preserve">:
- Availability of data on domestic violence and nationally generatedgender gap index (GGI),  gender development index (GDI) and gender empowerment measure (GEM)
</t>
    </r>
    <r>
      <rPr>
        <b/>
        <u val="single"/>
        <sz val="11"/>
        <rFont val="Arial"/>
        <family val="2"/>
      </rPr>
      <t>Annual targets:</t>
    </r>
    <r>
      <rPr>
        <sz val="11"/>
        <rFont val="Arial"/>
        <family val="2"/>
      </rPr>
      <t xml:space="preserve">
+ National survey on women's health and life expereince and calculation of GGI, GDI and GEM completed and information disseminated</t>
    </r>
  </si>
  <si>
    <t>UN participating Agencies: UNIFEM, UNFPA, UNDP, ILO, UNICEF, UNESCO, UNIDO, IOM, FAO, WHO, UNODC.</t>
  </si>
  <si>
    <t>FAO, ILO</t>
  </si>
  <si>
    <t>FAO</t>
  </si>
  <si>
    <t>Support Annual JP Progress Review Meetings and other JP activities to be organized by the PMU</t>
  </si>
  <si>
    <t>National Implementation</t>
  </si>
  <si>
    <t xml:space="preserve">Total Planned Budget </t>
  </si>
  <si>
    <t>Grand Total</t>
  </si>
  <si>
    <t xml:space="preserve">Total Programme Budget </t>
  </si>
  <si>
    <t>Indirect Support Cost</t>
  </si>
  <si>
    <t>Period: January-December 2010</t>
  </si>
  <si>
    <t>ANNUAL WORK PLAN 2010 UN-GOV Joint Programme on Gender Equality</t>
  </si>
  <si>
    <t>Programme Budget (US$)</t>
  </si>
  <si>
    <t>`</t>
  </si>
  <si>
    <t>UNICEF</t>
  </si>
  <si>
    <t xml:space="preserve">TRAINING of counterparts </t>
  </si>
  <si>
    <t>NCFAW &amp; MOLISA</t>
  </si>
  <si>
    <t>ILO</t>
  </si>
  <si>
    <t>MOCST</t>
  </si>
  <si>
    <t>PERSONNEL -Monitoring by NIP</t>
  </si>
  <si>
    <t xml:space="preserve">Support expendable equipment, materials,  rental of other equipment. </t>
  </si>
  <si>
    <t xml:space="preserve">UNFPA </t>
  </si>
  <si>
    <t>Other Direct Costs</t>
  </si>
  <si>
    <t xml:space="preserve">OTHER DIRECT COSTS        </t>
  </si>
  <si>
    <t>Support for PMU</t>
  </si>
  <si>
    <t xml:space="preserve">Support salary for PMU and monitoring </t>
  </si>
  <si>
    <t>PERSONNEL - Salary for PMU staff</t>
  </si>
  <si>
    <t>PERSONNEL</t>
  </si>
  <si>
    <t>MOLISA</t>
  </si>
  <si>
    <t>UNIFEM</t>
  </si>
  <si>
    <t>UN Agencies</t>
  </si>
  <si>
    <t>Q1</t>
  </si>
  <si>
    <t>Q2</t>
  </si>
  <si>
    <t>Q3</t>
  </si>
  <si>
    <t>Q4</t>
  </si>
  <si>
    <t>Total</t>
  </si>
  <si>
    <t>Key Activities/ Annual Targets</t>
  </si>
  <si>
    <t>X</t>
  </si>
  <si>
    <t>UNIDO</t>
  </si>
  <si>
    <t>UNESCO</t>
  </si>
  <si>
    <t>UNDP</t>
  </si>
  <si>
    <t xml:space="preserve">MOLISA </t>
  </si>
  <si>
    <t xml:space="preserve">ILO </t>
  </si>
  <si>
    <t>IOM</t>
  </si>
  <si>
    <t>UNFPA</t>
  </si>
  <si>
    <t>UN Implementation</t>
  </si>
  <si>
    <t>CONTRACT</t>
  </si>
  <si>
    <t xml:space="preserve">National Agencies </t>
  </si>
  <si>
    <t xml:space="preserve">MDT-F categories </t>
  </si>
  <si>
    <t>MOLISA, MARD</t>
  </si>
  <si>
    <t>NA Committee for Culture, Education, Youth and Children, 
Human Resource Institute/ HCM Academy</t>
  </si>
  <si>
    <t>UN Organization</t>
  </si>
  <si>
    <r>
      <t xml:space="preserve">Responsible Parties </t>
    </r>
    <r>
      <rPr>
        <sz val="11"/>
        <rFont val="Arial"/>
        <family val="2"/>
      </rPr>
      <t xml:space="preserve">(name of NIP/CIPs, other National Partners including Sub-contractor, if any) </t>
    </r>
  </si>
  <si>
    <r>
      <t xml:space="preserve">JP Monitoring by NIPs </t>
    </r>
    <r>
      <rPr>
        <sz val="11"/>
        <color indexed="10"/>
        <rFont val="Arial"/>
        <family val="2"/>
      </rPr>
      <t xml:space="preserve"> </t>
    </r>
    <r>
      <rPr>
        <sz val="11"/>
        <rFont val="Arial"/>
        <family val="2"/>
      </rPr>
      <t xml:space="preserve">  </t>
    </r>
  </si>
  <si>
    <t xml:space="preserve">PROGRAMME COST </t>
  </si>
  <si>
    <t>INDIRECT SUPPORT COSTS (7%)</t>
  </si>
  <si>
    <t>TOTAL PLANNED BUDGET</t>
  </si>
  <si>
    <t>Total for IOM Implementation</t>
  </si>
  <si>
    <t>Total for UNFEM Implementation</t>
  </si>
  <si>
    <t>Total for UNDP  Implementation</t>
  </si>
  <si>
    <t>Total for ILO Implementation</t>
  </si>
  <si>
    <t>Total for UNIDO Implementation</t>
  </si>
  <si>
    <t>Total for UNESCO implementation</t>
  </si>
  <si>
    <t>Signatures</t>
  </si>
  <si>
    <t>Date______________________</t>
  </si>
  <si>
    <t>Date: _______________________</t>
  </si>
  <si>
    <t>Ministry of Labour, Invalids and Social Affairs</t>
  </si>
  <si>
    <t>Component Project/NIP</t>
  </si>
  <si>
    <t>UNFPA categories and Activities in Atlas</t>
  </si>
  <si>
    <t>Total for UNICEF Implementation</t>
  </si>
  <si>
    <r>
      <t>Activity 2.3.1</t>
    </r>
    <r>
      <rPr>
        <b/>
        <sz val="11"/>
        <rFont val="Arial"/>
        <family val="2"/>
      </rPr>
      <t xml:space="preserve"> - Facilitate semi-annual press conferences</t>
    </r>
  </si>
  <si>
    <t>(i)</t>
  </si>
  <si>
    <t>(ii)</t>
  </si>
  <si>
    <t>(iii)</t>
  </si>
  <si>
    <t>(iv)</t>
  </si>
  <si>
    <t>Vice Minister, Ministry of Labour, Invalids and Social Affairs</t>
  </si>
  <si>
    <r>
      <t>Activity 2.1.2</t>
    </r>
    <r>
      <rPr>
        <b/>
        <sz val="11"/>
        <rFont val="Arial"/>
        <family val="2"/>
      </rPr>
      <t xml:space="preserve"> - Provide TA to selected NGOs of Gencomnet, NEW and DOVIPNET  to expand their network and host consultation meetings on the two laws with SMAs, Government, civil society groups, NGOs and concerned agencies
</t>
    </r>
  </si>
  <si>
    <t>Select NGOs from Gencomnet, DOVIPNET and NEW</t>
  </si>
  <si>
    <t xml:space="preserve"> CONTRACT</t>
  </si>
  <si>
    <t>MOLISA
Collaborating agencies: GSO, NA, line ministries</t>
  </si>
  <si>
    <t>MOLISA  &amp; NCFAW
Collaborating agencies: GSO</t>
  </si>
  <si>
    <r>
      <t xml:space="preserve">Output 2.1 </t>
    </r>
    <r>
      <rPr>
        <sz val="11"/>
        <rFont val="Arial"/>
        <family val="2"/>
      </rPr>
      <t xml:space="preserve"> </t>
    </r>
    <r>
      <rPr>
        <b/>
        <sz val="11"/>
        <rFont val="Arial"/>
        <family val="2"/>
      </rPr>
      <t>Networks on gender equality are strengthened and sustained through relevant government and outside of government systems, with effective linkages and information among stakeholder.</t>
    </r>
    <r>
      <rPr>
        <sz val="11"/>
        <rFont val="Arial"/>
        <family val="2"/>
      </rPr>
      <t xml:space="preserve">
</t>
    </r>
    <r>
      <rPr>
        <b/>
        <u val="single"/>
        <sz val="11"/>
        <rFont val="Arial"/>
        <family val="2"/>
      </rPr>
      <t>Output 2.1 Indicators</t>
    </r>
    <r>
      <rPr>
        <sz val="11"/>
        <rFont val="Arial"/>
        <family val="2"/>
      </rPr>
      <t xml:space="preserve">:
- Percentage of network members (GAP, GEMCOMNET, DOVIPNET, NEW) who "strongly agree" and "agree" to the statement that their gender work is more successful due to the gender networks supported under JPGE
- Number of key issues fed into national policy dialogues
</t>
    </r>
    <r>
      <rPr>
        <b/>
        <u val="single"/>
        <sz val="11"/>
        <rFont val="Arial"/>
        <family val="2"/>
      </rPr>
      <t>Annual Target:</t>
    </r>
    <r>
      <rPr>
        <sz val="11"/>
        <rFont val="Arial"/>
        <family val="2"/>
      </rPr>
      <t xml:space="preserve">
+ 70 per cent of network members who agree that their gender work is more successful due to the gender network supproted under JPGE</t>
    </r>
    <r>
      <rPr>
        <sz val="11"/>
        <rFont val="Arial"/>
        <family val="2"/>
      </rPr>
      <t xml:space="preserve">
+ 2 key gender issues fed into national policy dialogues </t>
    </r>
  </si>
  <si>
    <r>
      <rPr>
        <b/>
        <u val="single"/>
        <sz val="11"/>
        <rFont val="Arial"/>
        <family val="2"/>
      </rPr>
      <t>Output 3.4:</t>
    </r>
    <r>
      <rPr>
        <sz val="11"/>
        <rFont val="Arial"/>
        <family val="2"/>
      </rPr>
      <t xml:space="preserve"> </t>
    </r>
    <r>
      <rPr>
        <b/>
        <sz val="11"/>
        <rFont val="Arial"/>
        <family val="2"/>
      </rPr>
      <t xml:space="preserve">Centralized clearinghouse of gender research reports and indicators by government, donors and political and civil society groups (VWU) established (through GSO). </t>
    </r>
    <r>
      <rPr>
        <sz val="11"/>
        <rFont val="Arial"/>
        <family val="2"/>
      </rPr>
      <t xml:space="preserve">
</t>
    </r>
    <r>
      <rPr>
        <b/>
        <u val="single"/>
        <sz val="11"/>
        <rFont val="Arial"/>
        <family val="2"/>
      </rPr>
      <t xml:space="preserve">Output 3.4 Indicators:
</t>
    </r>
    <r>
      <rPr>
        <b/>
        <sz val="11"/>
        <rFont val="Arial"/>
        <family val="2"/>
      </rPr>
      <t xml:space="preserve">+ </t>
    </r>
    <r>
      <rPr>
        <sz val="11"/>
        <rFont val="Arial"/>
        <family val="2"/>
      </rPr>
      <t xml:space="preserve">A centralized system for gender research reports and data available
</t>
    </r>
    <r>
      <rPr>
        <b/>
        <u val="single"/>
        <sz val="11"/>
        <rFont val="Arial"/>
        <family val="2"/>
      </rPr>
      <t xml:space="preserve">Annual targets </t>
    </r>
    <r>
      <rPr>
        <b/>
        <sz val="11"/>
        <rFont val="Arial"/>
        <family val="2"/>
      </rPr>
      <t xml:space="preserve">: </t>
    </r>
    <r>
      <rPr>
        <sz val="11"/>
        <rFont val="Arial"/>
        <family val="2"/>
      </rPr>
      <t xml:space="preserve">                                                                                                                                                                                                                                                                                                                                                                                                                              
+ Establishment of one centralized system with key gender data, CRC/CEDAW database, and gender reports</t>
    </r>
  </si>
  <si>
    <r>
      <rPr>
        <b/>
        <u val="single"/>
        <sz val="11"/>
        <rFont val="Arial"/>
        <family val="2"/>
      </rPr>
      <t xml:space="preserve">Output 3.2: </t>
    </r>
    <r>
      <rPr>
        <b/>
        <sz val="11"/>
        <rFont val="Arial"/>
        <family val="2"/>
      </rPr>
      <t>Gender equality and sex-disaggregated indicators are integrated into ongoing national data collection processes and reporting.</t>
    </r>
    <r>
      <rPr>
        <sz val="11"/>
        <rFont val="Arial"/>
        <family val="2"/>
      </rPr>
      <t xml:space="preserve">
</t>
    </r>
    <r>
      <rPr>
        <b/>
        <u val="single"/>
        <sz val="11"/>
        <rFont val="Arial"/>
        <family val="2"/>
      </rPr>
      <t>Output 3.2 Indicators</t>
    </r>
    <r>
      <rPr>
        <sz val="11"/>
        <rFont val="Arial"/>
        <family val="2"/>
      </rPr>
      <t xml:space="preserve">: 
- Number of new key gender data available from national surveys
</t>
    </r>
    <r>
      <rPr>
        <b/>
        <u val="single"/>
        <sz val="11"/>
        <rFont val="Arial"/>
        <family val="2"/>
      </rPr>
      <t xml:space="preserve">Annual targets </t>
    </r>
    <r>
      <rPr>
        <b/>
        <sz val="11"/>
        <rFont val="Arial"/>
        <family val="2"/>
      </rPr>
      <t xml:space="preserve">:
</t>
    </r>
    <r>
      <rPr>
        <sz val="11"/>
        <rFont val="Arial"/>
        <family val="2"/>
      </rPr>
      <t>+ 3 new gender data available from national surveys</t>
    </r>
    <r>
      <rPr>
        <sz val="11"/>
        <color indexed="12"/>
        <rFont val="Arial"/>
        <family val="2"/>
      </rPr>
      <t xml:space="preserve">  </t>
    </r>
  </si>
  <si>
    <t>Programme Code and NIP's ID:  VNM 7G31A - VNM 7G31A/VNM0012; VNM7G31A/VNM0014; VNM7G31A/VNM0015</t>
  </si>
  <si>
    <t>JPGE MODIFIED Y2 AWP (WITH Y1 ACTIVITIES INCOMPLETED)</t>
  </si>
  <si>
    <t>ANNUAL TARGETS</t>
  </si>
  <si>
    <t>Budget Description</t>
  </si>
  <si>
    <t>Agency Management support  (AMS) - UN Agency Indirect Cost</t>
  </si>
  <si>
    <t xml:space="preserve">
Sum - Activity 1.1.1 
</t>
  </si>
  <si>
    <t>Time Frame
(2010)</t>
  </si>
  <si>
    <t xml:space="preserve">
Sum - Activity 1.2.1 
</t>
  </si>
  <si>
    <r>
      <rPr>
        <b/>
        <sz val="10"/>
        <rFont val="Arial"/>
        <family val="2"/>
      </rPr>
      <t xml:space="preserve">Output 1.2 : </t>
    </r>
    <r>
      <rPr>
        <sz val="10"/>
        <rFont val="Arial"/>
        <family val="2"/>
      </rPr>
      <t xml:space="preserve">Relevant plans of action developed for the SMAs (MOLISA &amp; MOCST), line ministries, National Assembly, Communist Party at the central and local levels to implement, evaluate, monitor and report on the two Laws.
</t>
    </r>
    <r>
      <rPr>
        <b/>
        <sz val="10"/>
        <rFont val="Arial"/>
        <family val="2"/>
      </rPr>
      <t xml:space="preserve">Output 1.2 Indicators: </t>
    </r>
    <r>
      <rPr>
        <sz val="10"/>
        <rFont val="Arial"/>
        <family val="2"/>
      </rPr>
      <t xml:space="preserve">
- Number of relevant POAs/national target programmes;
- Number of draft M&amp;E Frameworks for the two laws 
- Multi-agency collaboration mechanism for DVL implementation available
</t>
    </r>
    <r>
      <rPr>
        <b/>
        <sz val="10"/>
        <rFont val="Arial"/>
        <family val="2"/>
      </rPr>
      <t xml:space="preserve">Annual Targets:    </t>
    </r>
    <r>
      <rPr>
        <sz val="10"/>
        <rFont val="Arial"/>
        <family val="2"/>
      </rPr>
      <t xml:space="preserve">
+ 01 National Targeted Programme on GE developed. 
+ 02 drafts of M&amp;E frameworks developed
+ Multi-agency collaboration mechanism for DVL implementation completed</t>
    </r>
  </si>
  <si>
    <t>Activity 1.2.1 - Support relevant ministry (MoH) to develop its relevant POA to implement the National POA</t>
  </si>
  <si>
    <t xml:space="preserve">
Sum - Activity 1.2.2 
</t>
  </si>
  <si>
    <t>Activity 1.2.3. (a) - MOLISA, NA, line ministries and other duty bearers to develop and sustain  M&amp;E framework (MEF) in government system  for measuring the implementation of the GEL</t>
  </si>
  <si>
    <t xml:space="preserve">
Sum - Activity 1.2.23 (a)
</t>
  </si>
  <si>
    <t>Activity 1.1.1 - Capacity assessments for the SMAs of the two laws, CP, NA and other concerned agencies and line ministries to implement the GEL and the DVL.</t>
  </si>
  <si>
    <t>Activity 1.2.3. (b) -  MOCST, NA, line ministries and other duty bearers to develop and sustain  M&amp;E framework (MEF) in government system  for measuring the implementation of the GEL</t>
  </si>
  <si>
    <r>
      <t xml:space="preserve">Activity 1.3.1 (a) </t>
    </r>
    <r>
      <rPr>
        <b/>
        <sz val="11"/>
        <color indexed="48"/>
        <rFont val="Arial"/>
        <family val="2"/>
      </rPr>
      <t>- S</t>
    </r>
    <r>
      <rPr>
        <b/>
        <sz val="11"/>
        <rFont val="Arial"/>
        <family val="2"/>
      </rPr>
      <t xml:space="preserve">upport line Ministries to develop relevant POAs. </t>
    </r>
  </si>
  <si>
    <r>
      <t xml:space="preserve">Output 1.3 </t>
    </r>
    <r>
      <rPr>
        <sz val="11"/>
        <rFont val="Arial"/>
        <family val="2"/>
      </rPr>
      <t xml:space="preserve">Technical assistance provided to improve capacity of the SMAs, line ministries, NA, CP to implement, evaluate, monitor and report on the two laws.   </t>
    </r>
    <r>
      <rPr>
        <b/>
        <sz val="11"/>
        <rFont val="Arial"/>
        <family val="2"/>
      </rPr>
      <t xml:space="preserve">
Output 1.3 Indicators: 
</t>
    </r>
    <r>
      <rPr>
        <sz val="11"/>
        <rFont val="Arial"/>
        <family val="2"/>
      </rPr>
      <t>- Number of training materials/guides developed on gender and domestic violence
- Number of officials (women and men) trained on gender mainstreaming, gender equality and gender-based violence in various sectors
- Number of legal instruments and educational doocuments reviewed with gender lens
- Number of regularotyr and guiding documents developed to guide the implementation of the two laws</t>
    </r>
    <r>
      <rPr>
        <b/>
        <sz val="11"/>
        <rFont val="Arial"/>
        <family val="2"/>
      </rPr>
      <t xml:space="preserve">
Annual Targets:
</t>
    </r>
    <r>
      <rPr>
        <sz val="11"/>
        <rFont val="Arial"/>
        <family val="2"/>
      </rPr>
      <t>+ 5 training materials/guides developed to support the implementation of the two laws 
+ About 1,150 officials (at least 50 per cent women) trained on gender mainstreaming, gender equality and gender-based violence in respective sectors 
+ Implementation of 2 international instruments and national text book reviewed and analyzed with gender lens 
+ At least 01 National Plan of Action on Gender and 01 regulatory document by MPS and MOJ drafted</t>
    </r>
  </si>
  <si>
    <t xml:space="preserve">
Sum - Activity 1.2.3 (b)
</t>
  </si>
  <si>
    <t xml:space="preserve">
Sum - Activity 1.3.1 (b)
</t>
  </si>
  <si>
    <t>Activity 1.3.1 (b) - MOCST and other line ministries, concerned agencies in selected provinces to integrate the relevant plans of action developed above into their annual work plans, and raise general awareness among ministerial staff and staff from localities about those plans</t>
  </si>
  <si>
    <t xml:space="preserve">
Sum - Activity 1.3.1 (a)
</t>
  </si>
  <si>
    <t>Activity 1.3.2 (a) -  Develop training materials on the GEL to make them available to the MOLISA, line ministries, CP and other duty bearers for better implementation of the law.</t>
  </si>
  <si>
    <t xml:space="preserve">
Sum - Activity 1.3.2 (a)
</t>
  </si>
  <si>
    <t xml:space="preserve">
Sum - Activity 1.3.2 (b)
</t>
  </si>
  <si>
    <t xml:space="preserve">
Sum - Activity 1.3.3 (a)
</t>
  </si>
  <si>
    <t xml:space="preserve">
Sum - Activity 1.3.3 (b)
</t>
  </si>
  <si>
    <t xml:space="preserve">
Sum - Activity 1.3.4
</t>
  </si>
  <si>
    <t xml:space="preserve">
Sum - Activity 1.3.5
</t>
  </si>
  <si>
    <t xml:space="preserve">
Sum - Activity 1.3.7
</t>
  </si>
  <si>
    <t xml:space="preserve">
Sum - Activity 1.3.8
</t>
  </si>
  <si>
    <t xml:space="preserve">
Sum - Activity 1.3.9
</t>
  </si>
  <si>
    <t xml:space="preserve">
Sum - Activity 1.3.10
</t>
  </si>
  <si>
    <t xml:space="preserve">
Sum - Activity 1.3.10.5
</t>
  </si>
  <si>
    <t xml:space="preserve">
Sum - Activity 1.3.11
</t>
  </si>
  <si>
    <t xml:space="preserve">
Sum - Activity 1.3.12
</t>
  </si>
  <si>
    <t xml:space="preserve">
Sum - Activity 1.3.13
</t>
  </si>
  <si>
    <t xml:space="preserve">
Sum - Activity 1.3.14
</t>
  </si>
  <si>
    <t xml:space="preserve">
Sum - Activity 1.3.15
</t>
  </si>
  <si>
    <t xml:space="preserve">
Sum - Activity 2.1.1
</t>
  </si>
  <si>
    <t xml:space="preserve">
Sum - Activity 2.1.2
</t>
  </si>
  <si>
    <r>
      <rPr>
        <b/>
        <sz val="11"/>
        <rFont val="Arial"/>
        <family val="2"/>
      </rPr>
      <t>Outcome
JP Outcome 2: Enhanced partnerships and coordination around gender equality within and outside of government</t>
    </r>
    <r>
      <rPr>
        <sz val="11"/>
        <rFont val="Arial"/>
        <family val="2"/>
      </rPr>
      <t xml:space="preserve">
</t>
    </r>
    <r>
      <rPr>
        <b/>
        <sz val="11"/>
        <rFont val="Arial"/>
        <family val="2"/>
      </rPr>
      <t>Indicator</t>
    </r>
    <r>
      <rPr>
        <sz val="11"/>
        <rFont val="Arial"/>
        <family val="2"/>
      </rPr>
      <t xml:space="preserve">: Authority of MOLISA and MOCST in coordination of gender architecture across Government, civil society and donors
Baseline: Lack of comprehensive and coordinated gender mainstreaming function across government, civil society an donors
</t>
    </r>
    <r>
      <rPr>
        <b/>
        <sz val="11"/>
        <rFont val="Arial"/>
        <family val="2"/>
      </rPr>
      <t xml:space="preserve">Output 2.1  </t>
    </r>
    <r>
      <rPr>
        <sz val="11"/>
        <rFont val="Arial"/>
        <family val="2"/>
      </rPr>
      <t xml:space="preserve">Networks on gender equality are strengthened and sustained through relevant government and outside of government systems, with effective linkages and information among stakeholder.
</t>
    </r>
    <r>
      <rPr>
        <b/>
        <sz val="11"/>
        <rFont val="Arial"/>
        <family val="2"/>
      </rPr>
      <t>Output 2.1 Indicators:</t>
    </r>
    <r>
      <rPr>
        <sz val="11"/>
        <rFont val="Arial"/>
        <family val="2"/>
      </rPr>
      <t xml:space="preserve">
- Percentage of network members (GAP, GEMCOMNET, DOVIPNET, NEW) who "strongly agree" and "agree" to the statement that their gender work is more successful due to the gender networks supported under JPGE
- Number of key issues fed into national policy dialogues
</t>
    </r>
    <r>
      <rPr>
        <b/>
        <sz val="11"/>
        <rFont val="Arial"/>
        <family val="2"/>
      </rPr>
      <t>Annual Target:</t>
    </r>
    <r>
      <rPr>
        <sz val="11"/>
        <rFont val="Arial"/>
        <family val="2"/>
      </rPr>
      <t xml:space="preserve">
+ 70 per cent of network members who agree that their gender work is more successful due to the gender network supproted under JPGE
+ 2 key gender issues fed into national policy dialogues </t>
    </r>
  </si>
  <si>
    <t xml:space="preserve">
Sum - Activity 2.1.3
</t>
  </si>
  <si>
    <t xml:space="preserve">
Sum - Activity 2.1.4
</t>
  </si>
  <si>
    <r>
      <rPr>
        <b/>
        <sz val="11"/>
        <rFont val="Arial"/>
        <family val="2"/>
      </rPr>
      <t xml:space="preserve">Output 2.2: </t>
    </r>
    <r>
      <rPr>
        <sz val="11"/>
        <rFont val="Arial"/>
        <family val="2"/>
      </rPr>
      <t xml:space="preserve">Improved partnership between mass organizations and government agencies to promote women's economic empowerment.
</t>
    </r>
    <r>
      <rPr>
        <b/>
        <sz val="11"/>
        <rFont val="Arial"/>
        <family val="2"/>
      </rPr>
      <t>Output 2.2 Indicators:</t>
    </r>
    <r>
      <rPr>
        <sz val="11"/>
        <rFont val="Arial"/>
        <family val="2"/>
      </rPr>
      <t xml:space="preserve">
- Number of key recommendations by different stakeholders fed into government policy dialog through VCCI to promote women's economic empowerment.
</t>
    </r>
    <r>
      <rPr>
        <b/>
        <sz val="11"/>
        <rFont val="Arial"/>
        <family val="2"/>
      </rPr>
      <t>Annual Targets:</t>
    </r>
    <r>
      <rPr>
        <sz val="11"/>
        <rFont val="Arial"/>
        <family val="2"/>
      </rPr>
      <t xml:space="preserve">
+ Three workshops organized for government, mass organizations, VCCI and civil society to share expereince on women's economic empowerment, two discuss policy recommendations</t>
    </r>
  </si>
  <si>
    <t>Y2 (2010) budget (without 7%)</t>
  </si>
  <si>
    <t xml:space="preserve">
Sum - Activity 2.2.1.
</t>
  </si>
  <si>
    <t xml:space="preserve">
Sum - Activity 2.2.2
</t>
  </si>
  <si>
    <t xml:space="preserve">
Sum - Activity 2.3.1
</t>
  </si>
  <si>
    <t xml:space="preserve">
Sum - Activity 2.3.2
</t>
  </si>
  <si>
    <t xml:space="preserve">
Sum - Activity 2.3.3
</t>
  </si>
  <si>
    <r>
      <t xml:space="preserve">Outcome
JP Outcome 3: </t>
    </r>
    <r>
      <rPr>
        <sz val="11"/>
        <rFont val="Arial"/>
        <family val="2"/>
      </rPr>
      <t>Strengthened evidence-based data and data systems for promoting gender equality</t>
    </r>
    <r>
      <rPr>
        <b/>
        <sz val="11"/>
        <rFont val="Arial"/>
        <family val="2"/>
      </rPr>
      <t xml:space="preserve">
Indicators: (+)</t>
    </r>
    <r>
      <rPr>
        <sz val="11"/>
        <rFont val="Arial"/>
        <family val="2"/>
      </rPr>
      <t xml:space="preserve"> Availability of data and info for monitoring the implementation of GE and DV law
                    (+) Availability of data and info systems for policy development related to the two laws</t>
    </r>
    <r>
      <rPr>
        <b/>
        <sz val="11"/>
        <rFont val="Arial"/>
        <family val="2"/>
      </rPr>
      <t xml:space="preserve">
Baselines: (+) </t>
    </r>
    <r>
      <rPr>
        <sz val="11"/>
        <rFont val="Arial"/>
        <family val="2"/>
      </rPr>
      <t>No system to monitor implementation of GE and DV laws
                    (+) Insufficient data for policy development on GE and DV issues</t>
    </r>
    <r>
      <rPr>
        <b/>
        <sz val="11"/>
        <rFont val="Arial"/>
        <family val="2"/>
      </rPr>
      <t xml:space="preserve">
Output  3.1  C</t>
    </r>
    <r>
      <rPr>
        <sz val="11"/>
        <rFont val="Arial"/>
        <family val="2"/>
      </rPr>
      <t>urrent gender equality and sex-disaggregated indicatros are reviewed and new indicators identified through research</t>
    </r>
    <r>
      <rPr>
        <b/>
        <sz val="11"/>
        <rFont val="Arial"/>
        <family val="2"/>
      </rPr>
      <t xml:space="preserve">
Output 3.1 Indicators:
- </t>
    </r>
    <r>
      <rPr>
        <sz val="11"/>
        <rFont val="Arial"/>
        <family val="2"/>
      </rPr>
      <t>Availability of data on domestic violence and nationally generatedgender gap index (GGI),  gender development index (GDI) and gender empowerment measure (GEM)</t>
    </r>
    <r>
      <rPr>
        <b/>
        <sz val="11"/>
        <rFont val="Arial"/>
        <family val="2"/>
      </rPr>
      <t xml:space="preserve">
Annual targets:
</t>
    </r>
    <r>
      <rPr>
        <sz val="11"/>
        <rFont val="Arial"/>
        <family val="2"/>
      </rPr>
      <t>+ National survey on women's health and life expereince and calculation of GGI, GDI and GEM completed and information disseminated</t>
    </r>
  </si>
  <si>
    <t xml:space="preserve">
Sum - Activity 3.1.1
</t>
  </si>
  <si>
    <t xml:space="preserve">
Sum - Activity 3.1.2
</t>
  </si>
  <si>
    <t xml:space="preserve">
Sum - Activity 3.2.1
</t>
  </si>
  <si>
    <t xml:space="preserve">
Sum - Activity 3.2.2
</t>
  </si>
  <si>
    <t xml:space="preserve">
Sum - Activity 3.2.3
</t>
  </si>
  <si>
    <t xml:space="preserve">
Sum - Activity 3.2.4
</t>
  </si>
  <si>
    <t xml:space="preserve">
Sum - Activity 3.3.1
</t>
  </si>
  <si>
    <t xml:space="preserve">
Sum - Activity 3.3.2
</t>
  </si>
  <si>
    <t xml:space="preserve">
Sum - Activity 3.3.3
</t>
  </si>
  <si>
    <r>
      <rPr>
        <b/>
        <sz val="11"/>
        <rFont val="Arial"/>
        <family val="2"/>
      </rPr>
      <t>Output 3.3</t>
    </r>
    <r>
      <rPr>
        <sz val="11"/>
        <rFont val="Arial"/>
        <family val="2"/>
      </rPr>
      <t xml:space="preserve">: Data and information collected to promote national gender equality policy dialogues for marginalized groups. 
</t>
    </r>
    <r>
      <rPr>
        <b/>
        <sz val="11"/>
        <rFont val="Arial"/>
        <family val="2"/>
      </rPr>
      <t xml:space="preserve">Output 3.3 Indicators: </t>
    </r>
    <r>
      <rPr>
        <sz val="11"/>
        <rFont val="Arial"/>
        <family val="2"/>
      </rPr>
      <t xml:space="preserve">
- Gender Equality data concerning marginalized women is collected and used for policy adovcacy and recommendations                                                                                                                                                                                        
</t>
    </r>
    <r>
      <rPr>
        <b/>
        <sz val="11"/>
        <rFont val="Arial"/>
        <family val="2"/>
      </rPr>
      <t xml:space="preserve">Annual targets :    </t>
    </r>
    <r>
      <rPr>
        <sz val="11"/>
        <rFont val="Arial"/>
        <family val="2"/>
      </rPr>
      <t xml:space="preserve">                                                                                                                                                                                                                                                                                                                                                                                                                        
+ Currently available data stock-taken and reviewed and new data and information collected through 3 research on vulnerable groups</t>
    </r>
  </si>
  <si>
    <t xml:space="preserve">
Sum - Activity 3.3.4
</t>
  </si>
  <si>
    <t xml:space="preserve">
Sum - Activity 3.3.5 (b)
</t>
  </si>
  <si>
    <t xml:space="preserve">
Sum - Activity 3.4.2
</t>
  </si>
  <si>
    <r>
      <rPr>
        <b/>
        <sz val="11"/>
        <rFont val="Arial"/>
        <family val="2"/>
      </rPr>
      <t>Output 3.4:</t>
    </r>
    <r>
      <rPr>
        <sz val="11"/>
        <rFont val="Arial"/>
        <family val="2"/>
      </rPr>
      <t xml:space="preserve"> Centralized clearinghouse of gender research reports and indicators by government, donors and political and civil society groups (VWU) established (through GSO). 
</t>
    </r>
    <r>
      <rPr>
        <b/>
        <sz val="11"/>
        <rFont val="Arial"/>
        <family val="2"/>
      </rPr>
      <t>Output 3.4 Indicators:</t>
    </r>
    <r>
      <rPr>
        <sz val="11"/>
        <rFont val="Arial"/>
        <family val="2"/>
      </rPr>
      <t xml:space="preserve">
+ A centralized system for gender research reports and data available
</t>
    </r>
    <r>
      <rPr>
        <b/>
        <sz val="11"/>
        <rFont val="Arial"/>
        <family val="2"/>
      </rPr>
      <t xml:space="preserve">Annual targets :       </t>
    </r>
    <r>
      <rPr>
        <sz val="11"/>
        <rFont val="Arial"/>
        <family val="2"/>
      </rPr>
      <t xml:space="preserve">                                                                                                                                                                                                                                                                                                                                                                                                                        
+ Establishment of one centralized system with key gender data, CRC/CEDAW database, and gender reports</t>
    </r>
  </si>
  <si>
    <t xml:space="preserve">
Sum - Activity 3.4.3
</t>
  </si>
  <si>
    <r>
      <t xml:space="preserve">Output 2.3  </t>
    </r>
    <r>
      <rPr>
        <sz val="11"/>
        <rFont val="Arial"/>
        <family val="2"/>
      </rPr>
      <t>Communication network on gender equality developed for mass dissemination of two laws</t>
    </r>
    <r>
      <rPr>
        <b/>
        <sz val="11"/>
        <rFont val="Arial"/>
        <family val="2"/>
      </rPr>
      <t xml:space="preserve">
Output 2.3 Indicators:
- </t>
    </r>
    <r>
      <rPr>
        <sz val="11"/>
        <rFont val="Arial"/>
        <family val="2"/>
      </rPr>
      <t>Number of initatives conducted to disseminate about the two laws by members of the communication network on gender equality</t>
    </r>
    <r>
      <rPr>
        <b/>
        <sz val="11"/>
        <rFont val="Arial"/>
        <family val="2"/>
      </rPr>
      <t xml:space="preserve">
Annual targets: 
+</t>
    </r>
    <r>
      <rPr>
        <sz val="11"/>
        <rFont val="Arial"/>
        <family val="2"/>
      </rPr>
      <t xml:space="preserve"> At least 02 initiatives conducted to disseminate the two laws.
+ A Communication Strategy on GE developed.</t>
    </r>
  </si>
  <si>
    <r>
      <rPr>
        <b/>
        <sz val="11"/>
        <rFont val="Arial"/>
        <family val="2"/>
      </rPr>
      <t>Output 3.2:</t>
    </r>
    <r>
      <rPr>
        <b/>
        <u val="single"/>
        <sz val="11"/>
        <rFont val="Arial"/>
        <family val="2"/>
      </rPr>
      <t xml:space="preserve"> </t>
    </r>
    <r>
      <rPr>
        <sz val="11"/>
        <rFont val="Arial"/>
        <family val="2"/>
      </rPr>
      <t xml:space="preserve">Gender equality and sex-disaggregated indicators are integrated into ongoing national data collection processes and reporting.
</t>
    </r>
    <r>
      <rPr>
        <b/>
        <sz val="11"/>
        <rFont val="Arial"/>
        <family val="2"/>
      </rPr>
      <t xml:space="preserve">Output 3.2 Indicators: </t>
    </r>
    <r>
      <rPr>
        <sz val="11"/>
        <rFont val="Arial"/>
        <family val="2"/>
      </rPr>
      <t xml:space="preserve">
- Number of new key gender data available from national surveys
</t>
    </r>
    <r>
      <rPr>
        <b/>
        <sz val="11"/>
        <rFont val="Arial"/>
        <family val="2"/>
      </rPr>
      <t>Annual targets :</t>
    </r>
    <r>
      <rPr>
        <sz val="11"/>
        <rFont val="Arial"/>
        <family val="2"/>
      </rPr>
      <t xml:space="preserve">
+ 3 new gender data available from national surveys  </t>
    </r>
  </si>
  <si>
    <t xml:space="preserve">Actual amount spent in 2009 </t>
  </si>
  <si>
    <t>Balance - unspent</t>
  </si>
  <si>
    <t>Planned budget for 2009</t>
  </si>
  <si>
    <t>Act 02</t>
  </si>
  <si>
    <t>Act 01</t>
  </si>
  <si>
    <t>Act 10</t>
  </si>
  <si>
    <t xml:space="preserve">Sum - Activity 2.1.1
</t>
  </si>
  <si>
    <t xml:space="preserve">Sum - Activity 2.3.1
</t>
  </si>
  <si>
    <r>
      <t xml:space="preserve">Output 2.3  Communication network on gender equality developed for mass dissemination of two laws
</t>
    </r>
    <r>
      <rPr>
        <b/>
        <u val="single"/>
        <sz val="11"/>
        <rFont val="Arial"/>
        <family val="2"/>
      </rPr>
      <t>Output 2.3 Indicators</t>
    </r>
    <r>
      <rPr>
        <b/>
        <sz val="11"/>
        <rFont val="Arial"/>
        <family val="2"/>
      </rPr>
      <t>:</t>
    </r>
    <r>
      <rPr>
        <sz val="11"/>
        <rFont val="Arial"/>
        <family val="2"/>
      </rPr>
      <t xml:space="preserve">
- Number of initatives conducted to disseminate about the two laws by members of the communication network on gender equality
</t>
    </r>
    <r>
      <rPr>
        <b/>
        <u val="single"/>
        <sz val="11"/>
        <rFont val="Arial"/>
        <family val="2"/>
      </rPr>
      <t xml:space="preserve">Annual targets: 
</t>
    </r>
    <r>
      <rPr>
        <b/>
        <sz val="11"/>
        <rFont val="Arial"/>
        <family val="2"/>
      </rPr>
      <t>+</t>
    </r>
    <r>
      <rPr>
        <sz val="11"/>
        <rFont val="Arial"/>
        <family val="2"/>
      </rPr>
      <t xml:space="preserve"> At least 02 initiatives conducted to disseminate the two laws.
+ A Communication Strategy on GE developed.</t>
    </r>
  </si>
  <si>
    <t>MOLISA and MOCST, Communist Party, NA, line ministries and concerned local  agencies</t>
  </si>
  <si>
    <t>MOLISA , Communist Party, NA, line ministries and concerned local  agencies</t>
  </si>
  <si>
    <t xml:space="preserve">National 
Assembly (Training Centre for Elected Officials) </t>
  </si>
  <si>
    <t>MOLISA, NA , MOCST</t>
  </si>
  <si>
    <t>MOLISA, MOCST, GSO</t>
  </si>
  <si>
    <t>VCCI, Collaborating agencies:  VWU, MOLISA, concerned agencies</t>
  </si>
  <si>
    <t>VCCI, Collaborating agencies:  VWU, MOLISA, VCA, VGCL</t>
  </si>
  <si>
    <t>MARD, MOLISA</t>
  </si>
  <si>
    <t xml:space="preserve">PERSONNEL -Monitoring   </t>
  </si>
  <si>
    <t>SUPPLIES, commodities, equipment and transport</t>
  </si>
  <si>
    <t xml:space="preserve"> MOLISA, MOH, </t>
  </si>
  <si>
    <r>
      <t>Output 1.1</t>
    </r>
    <r>
      <rPr>
        <b/>
        <sz val="11"/>
        <rFont val="Arial"/>
        <family val="2"/>
      </rPr>
      <t>: Capacity assessed of the SMAs, line ministries, National Assembly, Communist Party, mass organizations including the Vietnam Women's Union and concerned agencies at the local level  to implement,  monitor, evaluate and report on the two Laws.</t>
    </r>
    <r>
      <rPr>
        <b/>
        <u val="single"/>
        <sz val="11"/>
        <rFont val="Arial"/>
        <family val="2"/>
      </rPr>
      <t xml:space="preserve">
Output 1.1 Indicator</t>
    </r>
    <r>
      <rPr>
        <b/>
        <sz val="11"/>
        <rFont val="Arial"/>
        <family val="2"/>
      </rPr>
      <t xml:space="preserve">:
- </t>
    </r>
    <r>
      <rPr>
        <sz val="11"/>
        <rFont val="Arial"/>
        <family val="2"/>
      </rPr>
      <t xml:space="preserve">SMAs (MOLISA and MOSCT) and key stakeholders have a realistic understanding and TOR for their role and capacity for the implementation, monitoring and reporting on the laws; 
- Assessment of strengths, weaknesses and needs  of each stakeholder in implementing, monitoring and reporting on the two laws available. </t>
    </r>
    <r>
      <rPr>
        <b/>
        <u val="single"/>
        <sz val="11"/>
        <rFont val="Arial"/>
        <family val="2"/>
      </rPr>
      <t xml:space="preserve">
Annual Targets:
</t>
    </r>
    <r>
      <rPr>
        <sz val="11"/>
        <rFont val="Arial"/>
        <family val="2"/>
      </rPr>
      <t xml:space="preserve">+ Capacity assessment to implement, monitor, evaluate and report on the two laws completed among SMAs, line ministries, National Assembly, Communist Party, mass organizations including the Vietnam Women's Union and concerned agencies at the local level completed. </t>
    </r>
  </si>
  <si>
    <r>
      <rPr>
        <b/>
        <u val="single"/>
        <sz val="11"/>
        <rFont val="Arial"/>
        <family val="2"/>
      </rPr>
      <t>Output 2.2</t>
    </r>
    <r>
      <rPr>
        <b/>
        <sz val="11"/>
        <rFont val="Arial"/>
        <family val="2"/>
      </rPr>
      <t>: Improved partnership between mass organizations and government agencies to promote women's economic empowerment.</t>
    </r>
    <r>
      <rPr>
        <sz val="11"/>
        <rFont val="Arial"/>
        <family val="2"/>
      </rPr>
      <t xml:space="preserve">
</t>
    </r>
    <r>
      <rPr>
        <b/>
        <u val="single"/>
        <sz val="11"/>
        <rFont val="Arial"/>
        <family val="2"/>
      </rPr>
      <t>Output 2.2 Indicators</t>
    </r>
    <r>
      <rPr>
        <sz val="11"/>
        <rFont val="Arial"/>
        <family val="2"/>
      </rPr>
      <t xml:space="preserve">:
- Number of key recommendations by different stakeholders fed into government policy dialog through VCCI to promote women's economic empowerment.
</t>
    </r>
    <r>
      <rPr>
        <b/>
        <u val="single"/>
        <sz val="11"/>
        <rFont val="Arial"/>
        <family val="2"/>
      </rPr>
      <t>Annual Targets</t>
    </r>
    <r>
      <rPr>
        <sz val="11"/>
        <rFont val="Arial"/>
        <family val="2"/>
      </rPr>
      <t xml:space="preserve">:
+ Three workshops organized for government, mass organizations, VCCI and civil society to share expereince on women's economic empowerment, two discuss policy recommendations
</t>
    </r>
  </si>
  <si>
    <t xml:space="preserve">ACTIVITY 04
</t>
  </si>
  <si>
    <t xml:space="preserve">Jonh Hendra </t>
  </si>
  <si>
    <t>UN Resident Coordinator 
United Nations Viet Nam</t>
  </si>
  <si>
    <t>MOLISA, and relevant Ministries</t>
  </si>
  <si>
    <t>MOCST and 
related agencies  in selected province</t>
  </si>
  <si>
    <t xml:space="preserve">TRAINING X1: $2,855
ACTIVITY 04: $10,000                                                                                                                                                                                                                             </t>
  </si>
  <si>
    <r>
      <t>Activity 1.2.1</t>
    </r>
    <r>
      <rPr>
        <b/>
        <sz val="11"/>
        <color indexed="48"/>
        <rFont val="Arial"/>
        <family val="2"/>
      </rPr>
      <t xml:space="preserve"> - Support Molisa to implement National POA (Resolution No57/CP dated Dec 01,2009) by developing and finalising the national targeted Program on GE and the Molisa's POA</t>
    </r>
  </si>
  <si>
    <t xml:space="preserve">(+) Support for audit and other related costs </t>
  </si>
  <si>
    <r>
      <t>OUTCOME
JP Outcome 1</t>
    </r>
    <r>
      <rPr>
        <b/>
        <sz val="11"/>
        <rFont val="Arial"/>
        <family val="2"/>
      </rPr>
      <t>:Improved skills, knowledge and practices for the implementation, monitoring and evaluation and reporting of the Law on Gender Equality and the Law on Domestic Violence Prevention and Control</t>
    </r>
    <r>
      <rPr>
        <b/>
        <u val="single"/>
        <sz val="11"/>
        <rFont val="Arial"/>
        <family val="2"/>
      </rPr>
      <t xml:space="preserve">
Indicator: </t>
    </r>
    <r>
      <rPr>
        <b/>
        <sz val="11"/>
        <rFont val="Arial"/>
        <family val="2"/>
      </rPr>
      <t>Availability of implementation strategy for GE Law</t>
    </r>
    <r>
      <rPr>
        <b/>
        <u val="single"/>
        <sz val="11"/>
        <rFont val="Arial"/>
        <family val="2"/>
      </rPr>
      <t xml:space="preserve">
Baseline: </t>
    </r>
    <r>
      <rPr>
        <b/>
        <sz val="11"/>
        <rFont val="Arial"/>
        <family val="2"/>
      </rPr>
      <t>(+) No implementation strategy for GE law
                  (+) Implementation decree of GE law under development
                  (+) Implementation decree of DVP law under development</t>
    </r>
  </si>
  <si>
    <r>
      <t xml:space="preserve">Outcome
JP Outcome 2: </t>
    </r>
    <r>
      <rPr>
        <b/>
        <sz val="11"/>
        <rFont val="Arial"/>
        <family val="2"/>
      </rPr>
      <t>Enhanced partnerships and coordination around gender equality within and outside of government</t>
    </r>
    <r>
      <rPr>
        <b/>
        <u val="single"/>
        <sz val="11"/>
        <rFont val="Arial"/>
        <family val="2"/>
      </rPr>
      <t xml:space="preserve">
Indicator: </t>
    </r>
    <r>
      <rPr>
        <b/>
        <sz val="11"/>
        <rFont val="Arial"/>
        <family val="2"/>
      </rPr>
      <t>Authority of MOLISA and MOCST in coordination of gender architecture across Government, civil society and donors</t>
    </r>
    <r>
      <rPr>
        <b/>
        <u val="single"/>
        <sz val="11"/>
        <rFont val="Arial"/>
        <family val="2"/>
      </rPr>
      <t xml:space="preserve">
Baseline: </t>
    </r>
    <r>
      <rPr>
        <b/>
        <sz val="11"/>
        <rFont val="Arial"/>
        <family val="2"/>
      </rPr>
      <t>Lack of comprehensive and coordinated gender mainstreaming function across government, civil society an donors</t>
    </r>
  </si>
  <si>
    <r>
      <t xml:space="preserve">Outcome
JP Outcome 3: </t>
    </r>
    <r>
      <rPr>
        <b/>
        <sz val="11"/>
        <rFont val="Arial"/>
        <family val="2"/>
      </rPr>
      <t>Strengthened evidence-based data and data systems for promoting gender equality</t>
    </r>
    <r>
      <rPr>
        <b/>
        <u val="single"/>
        <sz val="11"/>
        <rFont val="Arial"/>
        <family val="2"/>
      </rPr>
      <t xml:space="preserve">
Indicators: </t>
    </r>
    <r>
      <rPr>
        <b/>
        <sz val="11"/>
        <rFont val="Arial"/>
        <family val="2"/>
      </rPr>
      <t>(+) Availability of data and info for monitoring the implementation of GE and DV law
                    (+) Availability of data and info systems for policy development related to the two laws</t>
    </r>
    <r>
      <rPr>
        <b/>
        <u val="single"/>
        <sz val="11"/>
        <rFont val="Arial"/>
        <family val="2"/>
      </rPr>
      <t xml:space="preserve">
Baselines: </t>
    </r>
    <r>
      <rPr>
        <b/>
        <sz val="11"/>
        <rFont val="Arial"/>
        <family val="2"/>
      </rPr>
      <t>(+) No system to monitor implementation of GE and DV laws
                    (+) Insufficient data for policy development on GE and DV issues</t>
    </r>
  </si>
  <si>
    <t>Co-Chair of National Steering Committee</t>
  </si>
  <si>
    <t>3 NIPs</t>
  </si>
  <si>
    <t>National Implementing Partner: MOLISA, MOCST, GSO</t>
  </si>
  <si>
    <t>MOLISA
Collaborating agencies: selected NGOs</t>
  </si>
  <si>
    <t>TRAINING /CONTRACT/PERSONNEL/OTHER DIRECT COSTS</t>
  </si>
  <si>
    <t>TRAINING/ PERSONNEL/ OTHERDIRECT COSTS</t>
  </si>
  <si>
    <t>MOIC</t>
  </si>
  <si>
    <t>MOET</t>
  </si>
  <si>
    <r>
      <t>Activity 1.3.15</t>
    </r>
    <r>
      <rPr>
        <b/>
        <sz val="11"/>
        <rFont val="Arial"/>
        <family val="2"/>
      </rPr>
      <t xml:space="preserve"> - National textbook review and analysis  from gender perspective, including piloting teacher-training programmes to incorporate GE issues in line with the two laws.
</t>
    </r>
  </si>
  <si>
    <t xml:space="preserve">Sub-total Output 1.1 </t>
  </si>
  <si>
    <t>ACTIVITY 04</t>
  </si>
  <si>
    <t>ACTIVITY 07</t>
  </si>
  <si>
    <t xml:space="preserve">Sub-total Output 1.2 </t>
  </si>
  <si>
    <t xml:space="preserve">Sub-total Output 2.1 </t>
  </si>
  <si>
    <t>Sub-total Output 1.3</t>
  </si>
  <si>
    <t xml:space="preserve">Sub-total Output 2.2 </t>
  </si>
  <si>
    <t xml:space="preserve">Sub-total Output 2.3 </t>
  </si>
  <si>
    <t xml:space="preserve">Sub-total Output 3.3 </t>
  </si>
  <si>
    <t>Support salary for 3 full-time staff (01 Program Coordinator 01 and 01 Assistant cum interpreter, 01 Accountant) for management of the JP at PMU</t>
  </si>
  <si>
    <t>Salary for JP Gender specialist (L contract) and others</t>
  </si>
  <si>
    <t xml:space="preserve">UN Implementation </t>
  </si>
  <si>
    <t>ACTIVITY 08</t>
  </si>
  <si>
    <t xml:space="preserve">- MOCST    
- Other national partners: PCSA (NA), line ministries and other related agencies                                                                                                                                                                                                                      </t>
  </si>
  <si>
    <t xml:space="preserve">ACTIVITY 05 </t>
  </si>
  <si>
    <r>
      <t>Activity 1.3.3 (b)</t>
    </r>
    <r>
      <rPr>
        <b/>
        <sz val="11"/>
        <rFont val="Arial"/>
        <family val="2"/>
      </rPr>
      <t xml:space="preserve"> - Support training of MOCST, CP and branches on the DVL in selected provinces. 
</t>
    </r>
  </si>
  <si>
    <t xml:space="preserve">MOCST;  Officials under line of Central Party Committee for Education and Popularization at provincial and grassroots levels ;  Elected deputies at provincial levels </t>
  </si>
  <si>
    <r>
      <t xml:space="preserve">TRAINING of counterparts </t>
    </r>
  </si>
  <si>
    <t>WHO</t>
  </si>
  <si>
    <r>
      <t xml:space="preserve">Activity 1.3.10 </t>
    </r>
    <r>
      <rPr>
        <b/>
        <sz val="11"/>
        <rFont val="Arial"/>
        <family val="2"/>
      </rPr>
      <t xml:space="preserve">- MOH to develop sub-law and regulatory documents necessary for implementation of DVL and GEL </t>
    </r>
  </si>
  <si>
    <t>MOH</t>
  </si>
  <si>
    <t>UNODC</t>
  </si>
  <si>
    <t>MOJ, MPS</t>
  </si>
  <si>
    <t>CWD, VWU</t>
  </si>
  <si>
    <t>ACTIVITY 02</t>
  </si>
  <si>
    <t>ACTIVITY 01</t>
  </si>
  <si>
    <t>ACTIVITY 10</t>
  </si>
  <si>
    <t>Total for WHO Implementation</t>
  </si>
  <si>
    <t>Total for UNODC Implementation</t>
  </si>
  <si>
    <t xml:space="preserve">Total for UNFPA (National Implementation and UN Direct Implementation)  </t>
  </si>
  <si>
    <t xml:space="preserve">ACTIVITY 09
</t>
  </si>
  <si>
    <t>GSO</t>
  </si>
  <si>
    <t>GSO
Collaborating agencies: MOH, MOCST, other concerned agencies and research institute</t>
  </si>
  <si>
    <t>GSO
Collaborating agencies: MOLISA</t>
  </si>
  <si>
    <t xml:space="preserve">ACTIVITY 01: $3,000 
ACTIVITY 02: $5,460
ACTIVITY 04: $13,740 
ACTIVITY 07: $2,800  </t>
  </si>
  <si>
    <t xml:space="preserve">ACTIVITY 04: $29,000
ACTIVITY 07: $10,275 </t>
  </si>
  <si>
    <t>TRAINING of counterparts/
CONTRACT</t>
  </si>
  <si>
    <t>ACTIVITY 04: $7,000
ACTIVITY 07: $5,075</t>
  </si>
  <si>
    <t>ACTIVITY 04: $9,400
ACTIVITY 07: $20,000</t>
  </si>
  <si>
    <t xml:space="preserve">SUPPLY/
PERSON/
TRAINING  of counterparts/
CONTRACT </t>
  </si>
  <si>
    <t xml:space="preserve">ACTIVITY 06
</t>
  </si>
  <si>
    <r>
      <t xml:space="preserve">Activity 3.3.4 </t>
    </r>
    <r>
      <rPr>
        <b/>
        <sz val="11"/>
        <rFont val="Arial"/>
        <family val="2"/>
      </rPr>
      <t xml:space="preserve">- Research on the situation of sex workers in Vietnam and policy gaps, with a view to bring gender discrimination to attention of policy-makers in supporting the implementation of the laws. </t>
    </r>
  </si>
  <si>
    <r>
      <t xml:space="preserve">Activity 1.2.2 </t>
    </r>
    <r>
      <rPr>
        <b/>
        <sz val="11"/>
        <rFont val="Arial"/>
        <family val="2"/>
      </rPr>
      <t>- Ministry of Culture, Sports and Tourism to develop multi-agency collaboration mechanisms for the prevention of DV.</t>
    </r>
  </si>
  <si>
    <r>
      <t>Activity 1.3.2 (b)</t>
    </r>
    <r>
      <rPr>
        <b/>
        <sz val="11"/>
        <rFont val="Arial"/>
        <family val="2"/>
      </rPr>
      <t xml:space="preserve"> - Development of training materials  on the DVL to make them available to MOCST, line ministries, CP and other duty bearers for better implementation of the law.</t>
    </r>
  </si>
  <si>
    <r>
      <t xml:space="preserve">Activity 1.3.3 (a) </t>
    </r>
    <r>
      <rPr>
        <b/>
        <sz val="11"/>
        <rFont val="Arial"/>
        <family val="2"/>
      </rPr>
      <t>- Support training of staff of MOLISA, CP and branches on the GEL at central and provincial levels including key cities.</t>
    </r>
  </si>
  <si>
    <r>
      <t xml:space="preserve">Activity 1.3.4 </t>
    </r>
    <r>
      <rPr>
        <b/>
        <sz val="11"/>
        <rFont val="Arial"/>
        <family val="2"/>
      </rPr>
      <t>- Support training for selected NA's Deputies and Members of Provincial People's Councils on the two Laws (utilization of training materials on two laws developed by MOLISA and MOCST in 2009).</t>
    </r>
  </si>
  <si>
    <r>
      <t xml:space="preserve">Activity 1.3.4 </t>
    </r>
    <r>
      <rPr>
        <b/>
        <sz val="11"/>
        <rFont val="Arial"/>
        <family val="2"/>
      </rPr>
      <t>- Develop training package and training of selected NA's Deputies and Members of Provincial People's Councils on the two Laws, and international treaties and standards relating to GE and children's rights  to strengthen the capacity of Elected Officials for carrying out their law making and oversight functions.</t>
    </r>
  </si>
  <si>
    <r>
      <t xml:space="preserve">Activity 1.3.5 </t>
    </r>
    <r>
      <rPr>
        <b/>
        <sz val="11"/>
        <rFont val="Arial"/>
        <family val="2"/>
      </rPr>
      <t xml:space="preserve">-  Training and capacity assistance to NA in developing skills of the Women Parliamentarian Group to oversight of the two laws
</t>
    </r>
  </si>
  <si>
    <r>
      <t>Activity 1.3.6 -</t>
    </r>
    <r>
      <rPr>
        <b/>
        <sz val="11"/>
        <rFont val="Arial"/>
        <family val="2"/>
      </rPr>
      <t xml:space="preserve"> Training of GSO and MARD staff responsible for gender and sex-disaggregated data collection and analysis</t>
    </r>
  </si>
  <si>
    <r>
      <t>Activity 1.3.6</t>
    </r>
    <r>
      <rPr>
        <b/>
        <sz val="11"/>
        <rFont val="Arial"/>
        <family val="2"/>
      </rPr>
      <t xml:space="preserve"> - Training of GSO and MARD staff responsible for gender and sex-disaggregated data collection and analysis</t>
    </r>
  </si>
  <si>
    <r>
      <t xml:space="preserve">Activity 1.3.7 </t>
    </r>
    <r>
      <rPr>
        <b/>
        <sz val="11"/>
        <rFont val="Arial"/>
        <family val="2"/>
      </rPr>
      <t>- TA to MOLISA to mainstream gender into labour and employment policies, national programmes, including translation, adaptation and adoption of gender mainstreaming and auditing tools as related to the GE law.</t>
    </r>
  </si>
  <si>
    <r>
      <t>Activity 1.3.8</t>
    </r>
    <r>
      <rPr>
        <b/>
        <sz val="11"/>
        <rFont val="Arial"/>
        <family val="2"/>
      </rPr>
      <t xml:space="preserve"> -TA to MOLISA to review the implementation of Government's commitments to international conventions on the right to equal opportunities and treatment on the labour market as well as to equal remuneration as related to the Law</t>
    </r>
  </si>
  <si>
    <r>
      <t>Activities 1.3.9 and 3.3.5 (a,b,c)</t>
    </r>
    <r>
      <rPr>
        <b/>
        <sz val="11"/>
        <rFont val="Arial"/>
        <family val="2"/>
      </rPr>
      <t>: Research on the working conditions of women workers in industrial parks and export-processing zones, focusing more specifically on their workload as workers and as parents in efforts to ensure their equal competitiveness in the labour field, with the aim of recommending policies that advocate for shared responsibilities between men, women and employers.</t>
    </r>
  </si>
  <si>
    <r>
      <t xml:space="preserve">Activity 1.3.11 </t>
    </r>
    <r>
      <rPr>
        <b/>
        <sz val="11"/>
        <rFont val="Arial"/>
        <family val="2"/>
      </rPr>
      <t xml:space="preserve">- MOJ and MPS to develop regulatory documents necessary for the implementation of the Law on Domestic Violence Prevention and Control </t>
    </r>
  </si>
  <si>
    <r>
      <t>Activity 1.3.12</t>
    </r>
    <r>
      <rPr>
        <b/>
        <sz val="11"/>
        <rFont val="Arial"/>
        <family val="2"/>
      </rPr>
      <t xml:space="preserve"> - MOJ and MPS to develop training materials on DV and to pilot these trainings for law enforcement and justice sector officers.</t>
    </r>
  </si>
  <si>
    <r>
      <t>Activity 1.3.13 -</t>
    </r>
    <r>
      <rPr>
        <b/>
        <sz val="11"/>
        <rFont val="Arial"/>
        <family val="2"/>
      </rPr>
      <t xml:space="preserve"> Capacity-building of MOIC on gender mainstreaming in communication at central and provincial levels</t>
    </r>
  </si>
  <si>
    <r>
      <t xml:space="preserve">Activity 1.3.14 </t>
    </r>
    <r>
      <rPr>
        <b/>
        <sz val="11"/>
        <rFont val="Arial"/>
        <family val="2"/>
      </rPr>
      <t xml:space="preserve">-  Capacity-building of MOET on gender mainstreaming in education at central and provincial levels
</t>
    </r>
  </si>
  <si>
    <r>
      <t xml:space="preserve">Activity 2.1.1 </t>
    </r>
    <r>
      <rPr>
        <b/>
        <sz val="11"/>
        <rFont val="Arial"/>
        <family val="2"/>
      </rPr>
      <t xml:space="preserve">- Develop and sustain semi-annual forums on GE to feed into policy dialogues and the CG meetings. 
</t>
    </r>
  </si>
  <si>
    <r>
      <t xml:space="preserve">Activity 2.1.3 </t>
    </r>
    <r>
      <rPr>
        <b/>
        <sz val="11"/>
        <rFont val="Arial"/>
        <family val="2"/>
      </rPr>
      <t>- NCFAW and MOLISA to strengthen the GAP</t>
    </r>
  </si>
  <si>
    <r>
      <t>Activity 2.1.4</t>
    </r>
    <r>
      <rPr>
        <b/>
        <sz val="11"/>
        <rFont val="Arial"/>
        <family val="2"/>
      </rPr>
      <t xml:space="preserve"> - Enhance the capability of grass-roots support groups for victims of DV and advocate directly at the provincial and national level for improved policies and intervention programme </t>
    </r>
  </si>
  <si>
    <r>
      <rPr>
        <b/>
        <u val="single"/>
        <sz val="11"/>
        <rFont val="Arial"/>
        <family val="2"/>
      </rPr>
      <t>Activity 2.2.1</t>
    </r>
    <r>
      <rPr>
        <b/>
        <sz val="11"/>
        <rFont val="Arial"/>
        <family val="2"/>
      </rPr>
      <t xml:space="preserve"> - Facilitate enhanced partnership between VCCI, government agencies, and other political and civil society actors to develop mechanisms for promoting women's entrepreneurship in line with the GEL 
</t>
    </r>
    <r>
      <rPr>
        <sz val="11"/>
        <rFont val="Arial"/>
        <family val="2"/>
      </rPr>
      <t xml:space="preserve">
</t>
    </r>
  </si>
  <si>
    <r>
      <t>Activity 2.2.2</t>
    </r>
    <r>
      <rPr>
        <b/>
        <sz val="11"/>
        <rFont val="Arial"/>
        <family val="2"/>
      </rPr>
      <t xml:space="preserve"> -Support women's entrepreneurship and networking at the grass-roots level and their advocacy efforts aimed at mass organizations and government agencies working on economic empowerment policies for women.</t>
    </r>
  </si>
  <si>
    <r>
      <t>Activity 2.3.2</t>
    </r>
    <r>
      <rPr>
        <b/>
        <sz val="11"/>
        <rFont val="Arial"/>
        <family val="2"/>
      </rPr>
      <t xml:space="preserve"> - Facilitate the dissemination of the laws through mass media (special columns of key magazines, newspapers, national TV coverage, VOV, etc.</t>
    </r>
  </si>
  <si>
    <r>
      <t xml:space="preserve">Activity 2.3.3 </t>
    </r>
    <r>
      <rPr>
        <b/>
        <sz val="11"/>
        <rFont val="Arial"/>
        <family val="2"/>
      </rPr>
      <t>- Development of national network of media practitioners reporting on GE issues, including providing training on the content of the two laws, support for development of the Communication trategy on the GEL and developing information and communcation materials on GE</t>
    </r>
  </si>
  <si>
    <r>
      <t>Activity 3.1.1</t>
    </r>
    <r>
      <rPr>
        <b/>
        <sz val="11"/>
        <rFont val="Arial"/>
        <family val="2"/>
      </rPr>
      <t xml:space="preserve"> - GSO to calculate the Gender related Development Index (GDI), the gender empowerment measure (GEM), and the World Economic Forum's Gender Gap Index - a mix of qualitative and quantitative data to enable the preparation of periodic reports on the status of men and women in Vietnam and to provide accurate gender analysis as required.</t>
    </r>
  </si>
  <si>
    <r>
      <t>Activity 3.1.2</t>
    </r>
    <r>
      <rPr>
        <b/>
        <sz val="11"/>
        <color indexed="8"/>
        <rFont val="Arial"/>
        <family val="2"/>
      </rPr>
      <t xml:space="preserve"> - GSO and MOH to conduct a national survey on women's health and domestic violence.                            </t>
    </r>
  </si>
  <si>
    <r>
      <t>Activity 3.2.1</t>
    </r>
    <r>
      <rPr>
        <b/>
        <sz val="11"/>
        <rFont val="Arial"/>
        <family val="2"/>
      </rPr>
      <t xml:space="preserve"> - Provide TA to engender the labor force survey</t>
    </r>
  </si>
  <si>
    <r>
      <t xml:space="preserve">Activity 3.2.2 </t>
    </r>
    <r>
      <rPr>
        <b/>
        <sz val="11"/>
        <rFont val="Arial"/>
        <family val="2"/>
      </rPr>
      <t>- Provide TA to engender national censuses and surveys on rural issues</t>
    </r>
  </si>
  <si>
    <r>
      <t>Activity 3.2.3</t>
    </r>
    <r>
      <rPr>
        <b/>
        <sz val="11"/>
        <rFont val="Arial"/>
        <family val="2"/>
      </rPr>
      <t xml:space="preserve"> - Provide TA to engender the annual enterprise survey</t>
    </r>
  </si>
  <si>
    <r>
      <t xml:space="preserve">Activity 3.2.4 </t>
    </r>
    <r>
      <rPr>
        <b/>
        <sz val="12"/>
        <rFont val="Arial"/>
        <family val="2"/>
      </rPr>
      <t xml:space="preserve">- Compile data related to children and gender equality as a foundation to develop national reports on internaitonal and  national commitments through existing household survey  </t>
    </r>
  </si>
  <si>
    <r>
      <t xml:space="preserve">Activity 3.3.1 </t>
    </r>
    <r>
      <rPr>
        <b/>
        <sz val="11"/>
        <rFont val="Arial"/>
        <family val="2"/>
      </rPr>
      <t>-  Provide TA for research and policy dialogues on ethnic minority women's access to legal services.</t>
    </r>
  </si>
  <si>
    <r>
      <t xml:space="preserve">Activity 3.3.2 </t>
    </r>
    <r>
      <rPr>
        <b/>
        <sz val="11"/>
        <rFont val="Arial"/>
        <family val="2"/>
      </rPr>
      <t>- Assess incidence of trafficking in boys and girls to provide data to ensure adequate attention is paid to the trafficking of boys. It is used for advocacy for anti trafficking policies</t>
    </r>
  </si>
  <si>
    <r>
      <t xml:space="preserve">Activity 3.3.3 </t>
    </r>
    <r>
      <rPr>
        <b/>
        <sz val="11"/>
        <rFont val="Arial"/>
        <family val="2"/>
      </rPr>
      <t>- Research on remittances from migrant workers in gender perspective including a costing of remittances and pilot interventions to better inform duty-bearers charged with developing appropriate degrees and policies related to the two laws</t>
    </r>
  </si>
  <si>
    <r>
      <t>Activity 3.3.5</t>
    </r>
    <r>
      <rPr>
        <b/>
        <sz val="11"/>
        <rFont val="Arial"/>
        <family val="2"/>
      </rPr>
      <t xml:space="preserve"> (b) TA for MARD on research study on working conditions of vulnerable rural women living in communities experiencing land use reform in collaboration with ILO</t>
    </r>
  </si>
  <si>
    <r>
      <t>Activity 3.4.2</t>
    </r>
    <r>
      <rPr>
        <b/>
        <sz val="11"/>
        <rFont val="Arial"/>
        <family val="2"/>
      </rPr>
      <t xml:space="preserve"> -  Establish a clearinghouse for cataloguing and providing access to sex-disaggregated data, research and reports on gender equality in Vietnam and develop a strategy for sustainability (NCFAW). </t>
    </r>
  </si>
  <si>
    <r>
      <t xml:space="preserve">Activity 3.4.3 </t>
    </r>
    <r>
      <rPr>
        <b/>
        <sz val="11"/>
        <rFont val="Arial"/>
        <family val="2"/>
      </rPr>
      <t>- Build a database on the International Convention of Children’s Rights, CEDAW and "a World appropriate for Children” using Viet info technology</t>
    </r>
  </si>
  <si>
    <r>
      <t xml:space="preserve">Activity 2.2.2 </t>
    </r>
    <r>
      <rPr>
        <b/>
        <sz val="11"/>
        <rFont val="Arial"/>
        <family val="2"/>
      </rPr>
      <t>-Support women's entrepreneurship and networking at the grass-roots level and their advocacy efforts aimed at mass organizations and government agencies working on economic empowerment policies for women.</t>
    </r>
  </si>
  <si>
    <t>GSO
Collaborating agencies: VCCI</t>
  </si>
  <si>
    <t>Selected NGOs
Collaborating agencies: GSO</t>
  </si>
  <si>
    <t>Selected research institute
Collaborating agencies: GSO</t>
  </si>
  <si>
    <t>ACTIVITY 06</t>
  </si>
  <si>
    <t>MOLISA, CP and others branches</t>
  </si>
  <si>
    <t xml:space="preserve">MOCST &amp; key mass media </t>
  </si>
  <si>
    <t>MOLISA, MOSCT and mass media</t>
  </si>
  <si>
    <t xml:space="preserve">Sub-total Output 3.1 </t>
  </si>
  <si>
    <t xml:space="preserve">Sub-total Output 3.2 </t>
  </si>
  <si>
    <t xml:space="preserve">Sub-total Output 3.4 </t>
  </si>
  <si>
    <r>
      <t>Activity 2.2.1</t>
    </r>
    <r>
      <rPr>
        <b/>
        <sz val="11"/>
        <rFont val="Arial"/>
        <family val="2"/>
      </rPr>
      <t xml:space="preserve"> - Facilitate enhanced partnership between VCCI, government agencies, and other political and civil society actors to develop mechanisms for promoting women's entrepreneurship in line with the Law on Gender Equality. </t>
    </r>
  </si>
  <si>
    <t>Total for FAO Implementation</t>
  </si>
  <si>
    <t xml:space="preserve">Sum 10 PUNOs </t>
  </si>
  <si>
    <t>ACTIVITY 03</t>
  </si>
  <si>
    <r>
      <t>Activity 1.3.10.5</t>
    </r>
    <r>
      <rPr>
        <b/>
        <sz val="11"/>
        <rFont val="Arial"/>
        <family val="2"/>
      </rPr>
      <t xml:space="preserve"> - Support MOH to disseminate the protocol and the booklet on its circular </t>
    </r>
  </si>
  <si>
    <r>
      <t>JP Monitoring by UN Agency (UNFPA)</t>
    </r>
    <r>
      <rPr>
        <sz val="11"/>
        <color indexed="10"/>
        <rFont val="Arial"/>
        <family val="2"/>
      </rPr>
      <t xml:space="preserve"> </t>
    </r>
    <r>
      <rPr>
        <sz val="11"/>
        <rFont val="Arial"/>
        <family val="2"/>
      </rPr>
      <t xml:space="preserve">  </t>
    </r>
  </si>
  <si>
    <t xml:space="preserve">Total for UNFPA 
Implementation </t>
  </si>
  <si>
    <t xml:space="preserve">Total for national implementation - fund received via UNFPA as MA </t>
  </si>
  <si>
    <t xml:space="preserve">ACTIVITY 09
</t>
  </si>
  <si>
    <t xml:space="preserve">ACTIVITIY 05
</t>
  </si>
  <si>
    <t xml:space="preserve">Sum - Activity 1.1.1 
</t>
  </si>
  <si>
    <t xml:space="preserve">Sum - Activity 1.2.1 
</t>
  </si>
  <si>
    <t xml:space="preserve">Sum - Activity 1.2.3 (b)
</t>
  </si>
  <si>
    <t xml:space="preserve">Sum - Activity 1.2.2 
</t>
  </si>
  <si>
    <t xml:space="preserve">Sum - Activity 1.2.3 (a)
</t>
  </si>
  <si>
    <t xml:space="preserve">Sum - Activity 1.3.1 (a)
</t>
  </si>
  <si>
    <t xml:space="preserve">Sum - Activity 1.3.1 (b)
</t>
  </si>
  <si>
    <t xml:space="preserve">Sum - Activity 1.3.2 (a)
</t>
  </si>
  <si>
    <t xml:space="preserve">Sum - Activity 1.3.3 (b)
</t>
  </si>
  <si>
    <t xml:space="preserve">Sum - Activity 1.3.4
</t>
  </si>
  <si>
    <t xml:space="preserve">Sum - Activity 1.3.5
</t>
  </si>
  <si>
    <t>Sum 10 PUNOs  (A)</t>
  </si>
  <si>
    <t>Total for UNFPA 
Implementation  (B)</t>
  </si>
  <si>
    <t>Total for national implementation - fund received via UNFPA as MA  (A+B)</t>
  </si>
  <si>
    <t>Total 3 years</t>
  </si>
  <si>
    <t>Formulation</t>
  </si>
  <si>
    <t>NEX</t>
  </si>
  <si>
    <t>DEX</t>
  </si>
  <si>
    <t>SUM</t>
  </si>
  <si>
    <t>TOTAL</t>
  </si>
  <si>
    <t xml:space="preserve">From Atlas </t>
  </si>
  <si>
    <t xml:space="preserve">For AWP with full amount of $4,500 (including $20,000) for all agencies  </t>
  </si>
  <si>
    <t xml:space="preserve">DEX (UNFPA) </t>
  </si>
  <si>
    <t xml:space="preserve">For AWP above not including $20,000 </t>
  </si>
  <si>
    <t>Added $20,000</t>
  </si>
  <si>
    <t>Actual</t>
  </si>
  <si>
    <t>Spent 2010 (Chau typing)</t>
  </si>
  <si>
    <t xml:space="preserve">To be planned 2011 and 2012 </t>
  </si>
  <si>
    <t>Spent 2010 (typing)</t>
  </si>
  <si>
    <t>Spent in 3
 quarters of  2010 (So cua Cuong)</t>
  </si>
  <si>
    <t xml:space="preserve">Activities 1.3.9 and 3.3.5: To develop appropriate policies for promoting GE at workplace for vulnerable women as informed by researchers conducted in Activity 3.3.5 (i) Decent work for domestic workers (ii) Gender analysis of job creation in agricultural sector </t>
  </si>
  <si>
    <t>OUTCOME
JP Outcome 1: Improved skills, knowledge and practices for the implementation, monitoring and evaluation and reporting of the Law on Gender Equality and the Law on Domestic Violence Prevention and Control
Indicator: Availability of implementation strategy for GE Law
Baseline: (+) No implementation strategy for GE law
                  (+) Implementation decree of GE law under development
                  (+) Implementation decree of DVP law under development</t>
  </si>
  <si>
    <t>ANNUAL WORK PLAN 2011 and 3 months of 2012
UN-GOV Joint Programme on Gender Equality</t>
  </si>
  <si>
    <t xml:space="preserve">UN participating Agencies: UNIFEM, UNFPA, UNDP, ILO, UNICEF, UNESCO, UNIDO, IOM, FAO. </t>
  </si>
  <si>
    <t xml:space="preserve">Programme Code and NIP's ID:  VNM 7G31A - VNM 7G31A/VNM0012 - PGVN16 </t>
  </si>
  <si>
    <t>ACTIVITY03</t>
  </si>
  <si>
    <t>MOLISA -PGVN16</t>
  </si>
  <si>
    <t>National Implementing Partner: MOCST</t>
  </si>
  <si>
    <t>UN participating Agencies: UNFPA, UNDP, WHO, UNODC, IOM</t>
  </si>
  <si>
    <t>Programme Code and NIP's ID:  VNM 7G31A - VNM 7G31A/VNM0012; PGVN14</t>
  </si>
  <si>
    <t xml:space="preserve">JP Monitoring by UN Agency (UNFPA) and by NIP    </t>
  </si>
  <si>
    <t>Salary for JP Gender specialist  and others</t>
  </si>
  <si>
    <t xml:space="preserve">JP Monitoring by UN Agency (UNFPA)  and by NIP  </t>
  </si>
  <si>
    <t>National Implementing Partner: MOLISA</t>
  </si>
  <si>
    <t>National Implementing Partner: GSO</t>
  </si>
  <si>
    <t>Programme Code and NIP's ID:  VNM 7G31A - VNM 7G31A/VNM0012; PGVN08</t>
  </si>
  <si>
    <t xml:space="preserve">UN participating Agencies: UNFPA, UNDP, ILO, UNICEF, IOM, FAO, WHO, </t>
  </si>
  <si>
    <t>ANNUAL WORK PLAN 2011-3 months of 2012 - UN-GOV Joint Programme on Gender Equality</t>
  </si>
  <si>
    <t>ANNUAL WORK PLAN 2011 - 3months of 2010 - UN-GOV Joint Programme on Gender Equality</t>
  </si>
  <si>
    <t>OUTCOME
JP Outcome 3:  Strengthen Evidence based data and data systems for promoting gender outside of the government 
Output  3.1  Current gender equality and sex-disaggregated indicatros are reviewed and new indicators identified through research
Output 3.1 Indicators:
- Availability of data on domestic violence and nationally generatedgender gap index (GGI),  gender development index (GDI) and gender empowerment measure (GEM)
Annual targets:
+ National survey on women's health and life expereince and calculation of GGI, GDI and GEM completed and information disseminated</t>
  </si>
  <si>
    <t xml:space="preserve">JP Monitoring by UN Agency (UNFPA) and by NIP   </t>
  </si>
  <si>
    <t>Programme Code and NIP's ID:  VNM 7G31A - VNM 7G31A - PGVN16, PGVN14, PGVN08</t>
  </si>
  <si>
    <t>Period: January 2011-March 2012</t>
  </si>
  <si>
    <t>Activities 1.3.9 and 3.3.5: To develop appropriate policies for promoting GE at workplace for vulnerable women as informed by researchers conducted in Activity 3.3.5 (i) Decent work for domestic workers (ii) Gender analysis of job creation in agricultural sector .</t>
  </si>
  <si>
    <t>NEX+DEX for 2011-2012</t>
  </si>
  <si>
    <t>ACTIVITY</t>
  </si>
  <si>
    <r>
      <t>Activity 3.1.1 - GSO to calculate the Gender related Development Index (GDI), the gender empowerment measure (GEM), and the World Economic Forum's Gender Gap Index - a mix of qualitative and quantitative data to enable the preparation of periodic reports on the status of men and women in Vietnam and to provide accurate gender analysis as required.</t>
    </r>
  </si>
  <si>
    <t>Activity 3.2.1 - Provide TA to engender the labor force survey</t>
  </si>
  <si>
    <t>Activity 3.2.2 - Provide TA to engender national censuses and surveys on rural issues</t>
  </si>
  <si>
    <t>Activity 3.2.3 - Provide TA to engender the annual enterprise survey</t>
  </si>
  <si>
    <t>Activity 3.3.2 - Assess incidence of trafficking in boys and girls to provide data to ensure adequate attention is paid to the trafficking of boys. It is used for advocacy for anti trafficking policies</t>
  </si>
  <si>
    <t>Activity 3.3.3 - Research on remittances from migrant workers in gender perspective including a costing of remittances and pilot interventions to better inform duty-bearers charged with developing appropriate degrees and policies related to the two laws</t>
  </si>
  <si>
    <t>Activity 3.4.3 - Build a database on the International Convention of Children’s Rights, CEDAW and "a World appropriate for Children” using Viet info technology</t>
  </si>
  <si>
    <t>Activity 3.3.1 -  Provide TA for research and policy dialogues on ethnic minority women's access to legal services.</t>
  </si>
  <si>
    <t xml:space="preserve">Activity 3.3.4 - Research on the situation of sex workers in Vietnam and policy gaps, with a view to bring gender discrimination to attention of policy-makers in supporting the implementation of the laws. </t>
  </si>
  <si>
    <t>Activity 3.3.5 (b) TA for MARD on research study on working conditions of vulnerable rural women living in communities experiencing land use reform in collaboration with ILO</t>
  </si>
  <si>
    <t xml:space="preserve">Activity 3.4.2 -  Establish a clearinghouse for cataloguing and providing access to sex-disaggregated data, research and reports on gender equality in Vietnam and develop a strategy for sustainability (NCFAW). </t>
  </si>
  <si>
    <t xml:space="preserve">Activity 3.2.4 - Compile data related to children and gender equality as a foundation to develop national reports on internaitonal and  national commitments through existing household survey  </t>
  </si>
  <si>
    <r>
      <rPr>
        <b/>
        <sz val="11"/>
        <rFont val="Calibri"/>
        <family val="2"/>
      </rPr>
      <t xml:space="preserve">Output 1.1: </t>
    </r>
    <r>
      <rPr>
        <sz val="11"/>
        <rFont val="Calibri"/>
        <family val="2"/>
      </rPr>
      <t xml:space="preserve">Capacity assessed of the SMAs, line ministries, National Assembly, Communist Party, mass organizations including the Vietnam Women's Union and concerned agencies at the local level  to implement,  monitor, evaluate and report on the two Laws.
</t>
    </r>
    <r>
      <rPr>
        <b/>
        <sz val="11"/>
        <rFont val="Calibri"/>
        <family val="2"/>
      </rPr>
      <t>Output 1.1 Indicator:</t>
    </r>
    <r>
      <rPr>
        <sz val="11"/>
        <rFont val="Calibri"/>
        <family val="2"/>
      </rPr>
      <t xml:space="preserve">
- SMAs (MOLISA and MOSCT) and key stakeholders have a realistic understanding and TOR for their role and capacity for the implementation, monitoring and reporting on the laws; 
- Assessment of strengths, weaknesses and needs  of each stakeholder in implementing, monitoring and reporting on the two laws available. 
</t>
    </r>
    <r>
      <rPr>
        <b/>
        <sz val="11"/>
        <rFont val="Calibri"/>
        <family val="2"/>
      </rPr>
      <t>Annual Targets:</t>
    </r>
    <r>
      <rPr>
        <sz val="11"/>
        <rFont val="Calibri"/>
        <family val="2"/>
      </rPr>
      <t xml:space="preserve">
'- Capacity assessment report printed and distributed to key duty bearers. </t>
    </r>
  </si>
  <si>
    <r>
      <t>Activity 1.2.1</t>
    </r>
    <r>
      <rPr>
        <b/>
        <sz val="11"/>
        <rFont val="Calibri"/>
        <family val="2"/>
      </rPr>
      <t xml:space="preserve"> - Support Molisa to implement National POA (Resolution No57/CP dated Dec 01,2009) by developing and finalising the national targeted Program on GE and the Molisa's POA</t>
    </r>
  </si>
  <si>
    <r>
      <t xml:space="preserve">Activity 1.2.2 </t>
    </r>
    <r>
      <rPr>
        <b/>
        <sz val="11"/>
        <rFont val="Calibri"/>
        <family val="2"/>
      </rPr>
      <t>- Ministry of Culture, Sports and Tourism to develop multi-agency collaboration mechanisms for the prevention of DV.</t>
    </r>
  </si>
  <si>
    <r>
      <rPr>
        <b/>
        <u val="single"/>
        <sz val="11"/>
        <rFont val="Calibri"/>
        <family val="2"/>
      </rPr>
      <t>Activity 2.2.1</t>
    </r>
    <r>
      <rPr>
        <b/>
        <sz val="11"/>
        <rFont val="Calibri"/>
        <family val="2"/>
      </rPr>
      <t xml:space="preserve"> - Facilitate enhanced partnership between VCCI, government agencies, and other political and civil society actors to develop mechanisms for promoting women's entrepreneurship in line with the GEL 
</t>
    </r>
    <r>
      <rPr>
        <sz val="11"/>
        <rFont val="Calibri"/>
        <family val="2"/>
      </rPr>
      <t xml:space="preserve">
</t>
    </r>
  </si>
  <si>
    <r>
      <t>Activity 3.1.2</t>
    </r>
    <r>
      <rPr>
        <b/>
        <sz val="11"/>
        <color indexed="8"/>
        <rFont val="Calibri"/>
        <family val="2"/>
      </rPr>
      <t xml:space="preserve"> - GSO and MOH to conduct a national survey on women's health and domestic violence.                            </t>
    </r>
  </si>
  <si>
    <r>
      <t>Outcome
JP Outcome 2:</t>
    </r>
    <r>
      <rPr>
        <b/>
        <sz val="11"/>
        <rFont val="Calibri"/>
        <family val="2"/>
      </rPr>
      <t xml:space="preserve"> Enhanced partnerships and coordination around gender equality within and outside of government</t>
    </r>
    <r>
      <rPr>
        <b/>
        <u val="single"/>
        <sz val="11"/>
        <rFont val="Calibri"/>
        <family val="2"/>
      </rPr>
      <t xml:space="preserve">
Indicator: </t>
    </r>
    <r>
      <rPr>
        <b/>
        <sz val="11"/>
        <rFont val="Calibri"/>
        <family val="2"/>
      </rPr>
      <t>Authority of MOLISA and MOCST in coordination of gender architecture across Government, civil society and donors</t>
    </r>
    <r>
      <rPr>
        <b/>
        <u val="single"/>
        <sz val="11"/>
        <rFont val="Calibri"/>
        <family val="2"/>
      </rPr>
      <t xml:space="preserve">
Baseline: </t>
    </r>
    <r>
      <rPr>
        <b/>
        <sz val="11"/>
        <rFont val="Calibri"/>
        <family val="2"/>
      </rPr>
      <t>Lack of comprehensive and coordinated gender mainstreaming function across government, civil society an donors</t>
    </r>
  </si>
  <si>
    <r>
      <t>Outcome
JP Outcome 3:</t>
    </r>
    <r>
      <rPr>
        <b/>
        <sz val="11"/>
        <rFont val="Calibri"/>
        <family val="2"/>
      </rPr>
      <t xml:space="preserve"> Strengthened evidence-based data and data systems for promoting gender equality</t>
    </r>
    <r>
      <rPr>
        <b/>
        <u val="single"/>
        <sz val="11"/>
        <rFont val="Calibri"/>
        <family val="2"/>
      </rPr>
      <t xml:space="preserve">
Indicators: (+) </t>
    </r>
    <r>
      <rPr>
        <b/>
        <sz val="11"/>
        <rFont val="Calibri"/>
        <family val="2"/>
      </rPr>
      <t>Availability of data and info for monitoring the implementation of GE and DV law
                    (+) Availability of data and info systems for policy development related to the two laws</t>
    </r>
    <r>
      <rPr>
        <b/>
        <u val="single"/>
        <sz val="11"/>
        <rFont val="Calibri"/>
        <family val="2"/>
      </rPr>
      <t xml:space="preserve">
Baselines: (</t>
    </r>
    <r>
      <rPr>
        <b/>
        <sz val="11"/>
        <rFont val="Calibri"/>
        <family val="2"/>
      </rPr>
      <t>+) No system to monitor implementation of GE and DV laws
                    (+) Insufficient data for policy development on GE and DV issues</t>
    </r>
  </si>
  <si>
    <r>
      <t xml:space="preserve">Responsible Parties </t>
    </r>
    <r>
      <rPr>
        <sz val="11"/>
        <rFont val="Calibri"/>
        <family val="2"/>
      </rPr>
      <t xml:space="preserve">(name of NIP/CIPs, other National Partners including Sub-contractor, if any) </t>
    </r>
  </si>
  <si>
    <r>
      <rPr>
        <b/>
        <sz val="11"/>
        <rFont val="Calibri"/>
        <family val="2"/>
      </rPr>
      <t>Output 1.1:</t>
    </r>
    <r>
      <rPr>
        <sz val="11"/>
        <rFont val="Calibri"/>
        <family val="2"/>
      </rPr>
      <t xml:space="preserve"> Capacity assessed of the SMAs, line ministries, National Assembly, Communist Party, mass organizations including the Vietnam Women's Union and concerned agencies at the local level  to implement,  monitor, evaluate and report on the two Laws.
</t>
    </r>
    <r>
      <rPr>
        <b/>
        <sz val="11"/>
        <rFont val="Calibri"/>
        <family val="2"/>
      </rPr>
      <t xml:space="preserve">Output 1.1 Indicators:
</t>
    </r>
    <r>
      <rPr>
        <sz val="11"/>
        <rFont val="Calibri"/>
        <family val="2"/>
      </rPr>
      <t xml:space="preserve">- SMAs (MOLISA and MOSCT) and key stakeholders have a realistic understanding and TOR for their role and capacity for the implementation, monitoring and reporting on the laws; 
- Assessment of strengths, weaknesses and needs  of each stakeholder in implementing, monitoring and reporting on the two laws available. 
</t>
    </r>
    <r>
      <rPr>
        <b/>
        <sz val="11"/>
        <rFont val="Calibri"/>
        <family val="2"/>
      </rPr>
      <t>Annual Targets:</t>
    </r>
    <r>
      <rPr>
        <sz val="11"/>
        <rFont val="Calibri"/>
        <family val="2"/>
      </rPr>
      <t xml:space="preserve">
'- Capacity assessment report printed and distributed to key duty bear</t>
    </r>
  </si>
  <si>
    <r>
      <t>Output  3.1  C</t>
    </r>
    <r>
      <rPr>
        <sz val="11"/>
        <rFont val="Calibri"/>
        <family val="2"/>
      </rPr>
      <t>urrent gender equality and sex-disaggregated indicatros are reviewed and new indicators identified through research</t>
    </r>
    <r>
      <rPr>
        <b/>
        <sz val="11"/>
        <rFont val="Calibri"/>
        <family val="2"/>
      </rPr>
      <t xml:space="preserve">
Output 3.1 Indicators:
- </t>
    </r>
    <r>
      <rPr>
        <sz val="11"/>
        <rFont val="Calibri"/>
        <family val="2"/>
      </rPr>
      <t>Availability of data on domestic violence and nationally generatedgender gap index (GGI),  gender development index (GDI) and gender empowerment measure (GEM)</t>
    </r>
    <r>
      <rPr>
        <b/>
        <sz val="11"/>
        <rFont val="Calibri"/>
        <family val="2"/>
      </rPr>
      <t xml:space="preserve">
Annual targets:
</t>
    </r>
    <r>
      <rPr>
        <sz val="11"/>
        <rFont val="Calibri"/>
        <family val="2"/>
      </rPr>
      <t xml:space="preserve">'-Calculation on GGI, GDI and GEM completed to feed into compilation of gender statistics </t>
    </r>
  </si>
  <si>
    <t xml:space="preserve">Support salary for PMU </t>
  </si>
  <si>
    <t xml:space="preserve">Support salary for CPMU </t>
  </si>
  <si>
    <t>Excluding 7%</t>
  </si>
  <si>
    <t>Output 1.1</t>
  </si>
  <si>
    <t>Output 1.2</t>
  </si>
  <si>
    <t>Output 1.3</t>
  </si>
  <si>
    <t>Putput 2.1</t>
  </si>
  <si>
    <t>Sub-total Output 2.1</t>
  </si>
  <si>
    <t>Output 2.2</t>
  </si>
  <si>
    <t>Output 2.3</t>
  </si>
  <si>
    <t>Output 3.1</t>
  </si>
  <si>
    <t>Output 3.2</t>
  </si>
  <si>
    <t>Output 3.3</t>
  </si>
  <si>
    <t>Output 3.4</t>
  </si>
  <si>
    <t>PMU</t>
  </si>
  <si>
    <t>Sum - Activity 1.3.4
(a)</t>
  </si>
  <si>
    <t>Sum - Activity 1.3.4
(b)</t>
  </si>
  <si>
    <t>ICFORUNFPA</t>
  </si>
  <si>
    <t>Sub-total Output 2.3</t>
  </si>
  <si>
    <r>
      <t>Activity 3.1.2</t>
    </r>
    <r>
      <rPr>
        <b/>
        <sz val="11"/>
        <color indexed="8"/>
        <rFont val="Calibri"/>
        <family val="2"/>
      </rPr>
      <t xml:space="preserve"> - GSO and MOH to conduct a national survey on women's health and domestic violence.                            </t>
    </r>
  </si>
  <si>
    <r>
      <t xml:space="preserve">Support Annual JP Progress Review Meetings and other JP activities to be organized by the PMU </t>
    </r>
    <r>
      <rPr>
        <i/>
        <sz val="11"/>
        <color indexed="8"/>
        <rFont val="Calibri"/>
        <family val="2"/>
      </rPr>
      <t>(Workshop to develop exit strategy, Final evaluation, Final workshop to review achievements and lessons learned)</t>
    </r>
  </si>
  <si>
    <t>Total for UNFPA Implementation</t>
  </si>
  <si>
    <t>MOCST - PGVN14</t>
  </si>
  <si>
    <t>GSO - PGVN08</t>
  </si>
  <si>
    <t xml:space="preserve">UNFPA as Managing Agent </t>
  </si>
  <si>
    <t>Bruce Campbell</t>
  </si>
  <si>
    <t xml:space="preserve">UNFPA representative in Vietnam </t>
  </si>
  <si>
    <t xml:space="preserve">Date </t>
  </si>
  <si>
    <t>Total AWP 2011 - March 2012 
(including unspent in 2010)</t>
  </si>
  <si>
    <r>
      <rPr>
        <b/>
        <sz val="11"/>
        <rFont val="Calibri"/>
        <family val="2"/>
      </rPr>
      <t xml:space="preserve">Output 2.2: </t>
    </r>
    <r>
      <rPr>
        <sz val="11"/>
        <rFont val="Calibri"/>
        <family val="2"/>
      </rPr>
      <t xml:space="preserve">Improved partnership between mass organizations and government agencies to promote women's economic empowerment.
</t>
    </r>
  </si>
  <si>
    <t xml:space="preserve">Phạm Ngọc Tiến </t>
  </si>
  <si>
    <t>Director of Gender Equality Department and JPGE Project Director</t>
  </si>
  <si>
    <t>Total budget 2011 - March 2012 
(Including unspent amount of 2010)</t>
  </si>
  <si>
    <t>Ministry of Culture, Sport and Tourism</t>
  </si>
  <si>
    <t xml:space="preserve">Đỗ Hoàng Du </t>
  </si>
  <si>
    <t>Director of the MOCST's Component Project</t>
  </si>
  <si>
    <r>
      <t xml:space="preserve">Output 1.3 </t>
    </r>
    <r>
      <rPr>
        <sz val="11"/>
        <rFont val="Calibri"/>
        <family val="2"/>
      </rPr>
      <t xml:space="preserve">Technical assistance provided to improve capacity of the SMAs, line ministries, NA, CP to implement, evaluate, monitor and report on the two laws.   
</t>
    </r>
  </si>
  <si>
    <t xml:space="preserve">Ministry of Planning and Investment </t>
  </si>
  <si>
    <t>General Statistics Offices</t>
  </si>
  <si>
    <t>Nguyễn Phong</t>
  </si>
  <si>
    <r>
      <rPr>
        <b/>
        <sz val="11"/>
        <rFont val="Calibri"/>
        <family val="2"/>
      </rPr>
      <t xml:space="preserve">Output 1.2 : </t>
    </r>
    <r>
      <rPr>
        <sz val="11"/>
        <rFont val="Calibri"/>
        <family val="2"/>
      </rPr>
      <t xml:space="preserve">Relevant plans of action developed for the SMAs (MOLISA &amp; MOCST), line ministries, National Assembly, Communist Party at the central and local levels to implement, evaluate, monitor and report on the two Laws.
</t>
    </r>
    <r>
      <rPr>
        <b/>
        <sz val="11"/>
        <rFont val="Calibri"/>
        <family val="2"/>
      </rPr>
      <t xml:space="preserve">Output 1.2 Indicators: </t>
    </r>
    <r>
      <rPr>
        <sz val="11"/>
        <rFont val="Calibri"/>
        <family val="2"/>
      </rPr>
      <t xml:space="preserve">
- Number of relevant POAs/national target programmes;
- Number of draft M&amp;E Frameworks for the two laws 
- Multi-agency collaboration mechanism for DVL implementation available
</t>
    </r>
  </si>
  <si>
    <r>
      <t xml:space="preserve">Output 1.3 </t>
    </r>
    <r>
      <rPr>
        <sz val="11"/>
        <rFont val="Calibri"/>
        <family val="2"/>
      </rPr>
      <t xml:space="preserve">Technical assistance provided to improve capacity of the SMAs, line ministries, NA, CP to implement, evaluate, monitor and report on the two laws.   </t>
    </r>
    <r>
      <rPr>
        <b/>
        <sz val="11"/>
        <rFont val="Calibri"/>
        <family val="2"/>
      </rPr>
      <t xml:space="preserve">
Output 1.3 </t>
    </r>
    <r>
      <rPr>
        <sz val="11"/>
        <rFont val="Calibri"/>
        <family val="2"/>
      </rPr>
      <t xml:space="preserve">Technical assistance provided to improve capacity of the SMAs, line ministries, NA, CP to implement, evaluate, monitor and report on the two laws.   
</t>
    </r>
    <r>
      <rPr>
        <b/>
        <sz val="11"/>
        <rFont val="Calibri"/>
        <family val="2"/>
      </rPr>
      <t xml:space="preserve">Output 1.3 Indicators: </t>
    </r>
    <r>
      <rPr>
        <sz val="11"/>
        <rFont val="Calibri"/>
        <family val="2"/>
      </rPr>
      <t xml:space="preserve">
- Number of training materials/guides developed on gender and domestic violence
- Number of officials (women and men) trained on gender mainstreaming, gender equality and gender-based violence in various sectors
- Number of legal instruments and educational doocuments reviewed with gender lens
- Number of regularotyr and guiding documents developed to guide the implementation of the two laws
</t>
    </r>
  </si>
  <si>
    <r>
      <t xml:space="preserve">
</t>
    </r>
  </si>
  <si>
    <t>Phạm Ngọc Tiến</t>
  </si>
  <si>
    <t>OUTCOME
JP Outcome 1: Improved skills, knowledge and practices for the implementation, monitoring and evaluation and reporting of the Law on Gender Equality and the Law on Domestic Violence Prevention and Control
Indicator: Availability of implementation strategy for GE Law
Baseline: (+) No implementation strategy for GE law
                  (+) Implementation decree of GE law under development
                  (+) Implementation decree of DVPC law under development</t>
  </si>
  <si>
    <t>National Implementing Partners: MOLISA, MOCST, GSO</t>
  </si>
  <si>
    <r>
      <rPr>
        <b/>
        <sz val="11"/>
        <color indexed="8"/>
        <rFont val="Calibri"/>
        <family val="2"/>
      </rPr>
      <t xml:space="preserve">Output 1.1: </t>
    </r>
    <r>
      <rPr>
        <sz val="11"/>
        <color indexed="8"/>
        <rFont val="Calibri"/>
        <family val="2"/>
      </rPr>
      <t xml:space="preserve">Capacity assessed of the SMAs, line ministries, National Assembly, Communist Party, mass organizations including the Vietnam Women's Union and concerned agencies at the local level  to implement,  monitor, evaluate and report on the two Laws.
</t>
    </r>
    <r>
      <rPr>
        <b/>
        <sz val="11"/>
        <color indexed="8"/>
        <rFont val="Calibri"/>
        <family val="2"/>
      </rPr>
      <t>Output 1.1 Indicators:</t>
    </r>
    <r>
      <rPr>
        <sz val="11"/>
        <color indexed="8"/>
        <rFont val="Calibri"/>
        <family val="2"/>
      </rPr>
      <t xml:space="preserve">
- SMAs (MOLISA and MOSCT) and key stakeholders have a realistic understanding and TOR for their role and capacity for the implementation, monitoring and reporting on the laws; 
- Assessment of strengths, weaknesses and needs  of each stakeholder in implementing, monitoring and reporting on the two laws available. 
</t>
    </r>
    <r>
      <rPr>
        <b/>
        <sz val="11"/>
        <color indexed="8"/>
        <rFont val="Calibri"/>
        <family val="2"/>
      </rPr>
      <t>Annual Targets:</t>
    </r>
    <r>
      <rPr>
        <sz val="11"/>
        <color indexed="8"/>
        <rFont val="Calibri"/>
        <family val="2"/>
      </rPr>
      <t xml:space="preserve">
- Capacity assessment report printed and distributed to key duty bearers. </t>
    </r>
  </si>
  <si>
    <r>
      <t>Activity 1.2.1</t>
    </r>
    <r>
      <rPr>
        <b/>
        <sz val="11"/>
        <color indexed="8"/>
        <rFont val="Calibri"/>
        <family val="2"/>
      </rPr>
      <t xml:space="preserve"> - Support MOLISA to implement National POA (Resolution No57/CP dated Dec 01,2009) by developing and finalising the national targeted Program on GE and the MOLISA's POA.</t>
    </r>
  </si>
  <si>
    <r>
      <rPr>
        <b/>
        <sz val="11"/>
        <color indexed="8"/>
        <rFont val="Calibri"/>
        <family val="2"/>
      </rPr>
      <t xml:space="preserve">Output 1.2 : </t>
    </r>
    <r>
      <rPr>
        <sz val="11"/>
        <color indexed="8"/>
        <rFont val="Calibri"/>
        <family val="2"/>
      </rPr>
      <t xml:space="preserve">Relevant plans of action developed for the SMAs (MOLISA &amp; MOCST), line ministries, National Assembly, Communist Party at the central and local levels to implement, evaluate, monitor and report on the two Laws.
</t>
    </r>
    <r>
      <rPr>
        <b/>
        <sz val="11"/>
        <color indexed="8"/>
        <rFont val="Calibri"/>
        <family val="2"/>
      </rPr>
      <t xml:space="preserve">Output 1.2 Indicators: </t>
    </r>
    <r>
      <rPr>
        <sz val="11"/>
        <color indexed="8"/>
        <rFont val="Calibri"/>
        <family val="2"/>
      </rPr>
      <t xml:space="preserve">
- Number of relevant POAs/national target programmes;
- Number of draft M&amp;E Frameworks for the two laws 
- Multi-agency collaboration mechanism for DVL implementation available
</t>
    </r>
    <r>
      <rPr>
        <b/>
        <sz val="11"/>
        <color indexed="8"/>
        <rFont val="Calibri"/>
        <family val="2"/>
      </rPr>
      <t xml:space="preserve">Annual Targets:    </t>
    </r>
    <r>
      <rPr>
        <sz val="11"/>
        <color indexed="8"/>
        <rFont val="Calibri"/>
        <family val="2"/>
      </rPr>
      <t xml:space="preserve">
- At least one Plan of Action on Gender Equality by a ministry developed. 
- M&amp;E frameworks for GEL and DVL finalised and piloted. 
- Key duty bearers briefed about the Multi-agency collaboration guideline for implementation.</t>
    </r>
  </si>
  <si>
    <t>Activity 1.2.1 - Support relevant ministry (MoH) to develop its relevant POA to implement the National POA.</t>
  </si>
  <si>
    <r>
      <rPr>
        <b/>
        <sz val="11"/>
        <color indexed="8"/>
        <rFont val="Calibri"/>
        <family val="2"/>
      </rPr>
      <t xml:space="preserve">Activity 1.2.2 </t>
    </r>
    <r>
      <rPr>
        <b/>
        <sz val="11"/>
        <color indexed="8"/>
        <rFont val="Calibri"/>
        <family val="2"/>
      </rPr>
      <t>- Ministry of Culture, Sports and Tourism to develop multi-agency collaboration mechanisms for the prevention of DV.</t>
    </r>
  </si>
  <si>
    <t xml:space="preserve">Activity 1.2.3 (b) -  MOCST, NA, line ministries and other duty bearers to develop and sustain  M&amp;E framework (MEF) in government system  for measuring the implementation of the GEL. </t>
  </si>
  <si>
    <t>Activity 1.2.3 (a) - MOLISA, NA, line ministries and other duty bearers to develop and sustain  M&amp;E framework (MEF) in government system  for measuring the implementation of the GEL.</t>
  </si>
  <si>
    <t xml:space="preserve">Activity 1.3.1 (a) - Support line ministries to develop relevant POAs. </t>
  </si>
  <si>
    <t>Activity 1.3.1 (b) - MOCST and other line ministries, concerned agencies in selected provinces to integrate the relevant plans of action developed above into their annual work plans, and raise general awareness among ministerial staff and staff from localities about those plans.</t>
  </si>
  <si>
    <r>
      <t xml:space="preserve">Output 1.3 </t>
    </r>
    <r>
      <rPr>
        <sz val="11"/>
        <color indexed="8"/>
        <rFont val="Calibri"/>
        <family val="2"/>
      </rPr>
      <t xml:space="preserve">Technical assistance provided to improve capacity of the SMAs, line ministries, NA, CP to implement, evaluate, monitor and report on the two laws.   </t>
    </r>
    <r>
      <rPr>
        <b/>
        <sz val="11"/>
        <color indexed="8"/>
        <rFont val="Calibri"/>
        <family val="2"/>
      </rPr>
      <t xml:space="preserve">
Output 1.3 Indicators: 
</t>
    </r>
    <r>
      <rPr>
        <sz val="11"/>
        <color indexed="8"/>
        <rFont val="Calibri"/>
        <family val="2"/>
      </rPr>
      <t>- Number of training materials/guides developed on gender and domestic violence
- Number of officials (women and men) trained on gender mainstreaming, gender equality and gender-based violence in various sectors
- Number of legal instruments and educational doocuments reviewed with gender lens
- Number of regular and guiding documents developed to guide the implementation of the two laws</t>
    </r>
    <r>
      <rPr>
        <b/>
        <sz val="11"/>
        <color indexed="8"/>
        <rFont val="Calibri"/>
        <family val="2"/>
      </rPr>
      <t xml:space="preserve">
Annual Targets:
-</t>
    </r>
    <r>
      <rPr>
        <sz val="11"/>
        <color indexed="8"/>
        <rFont val="Calibri"/>
        <family val="2"/>
      </rPr>
      <t xml:space="preserve">5 training materials/guides finalised to support the implementation of the two laws 
- 700 officials (at least 50 per cent women) trained on gender mainstreaming, gender equality and gender-based violence in respective sectors
-At least 01 Plan of Action on Gender developed  
</t>
    </r>
  </si>
  <si>
    <t>Activity 1.3.2 (a) -  Develop training materials on the GEL to make them available to MOLISA, line ministries, CP and other duty bearers for better implementation of the law.</t>
  </si>
  <si>
    <r>
      <rPr>
        <b/>
        <sz val="11"/>
        <color indexed="8"/>
        <rFont val="Calibri"/>
        <family val="2"/>
      </rPr>
      <t>Activity 1.3.6</t>
    </r>
    <r>
      <rPr>
        <b/>
        <u val="single"/>
        <sz val="11"/>
        <color indexed="8"/>
        <rFont val="Calibri"/>
        <family val="2"/>
      </rPr>
      <t xml:space="preserve"> -</t>
    </r>
    <r>
      <rPr>
        <b/>
        <sz val="11"/>
        <color indexed="8"/>
        <rFont val="Calibri"/>
        <family val="2"/>
      </rPr>
      <t xml:space="preserve"> Training of GSO and MARD staff responsible for gender and sex-disaggregated data collection and analysis.</t>
    </r>
  </si>
  <si>
    <r>
      <t>Activity 1.3.6</t>
    </r>
    <r>
      <rPr>
        <b/>
        <sz val="11"/>
        <color indexed="8"/>
        <rFont val="Calibri"/>
        <family val="2"/>
      </rPr>
      <t xml:space="preserve"> - Training of GSO and MARD staff responsible for gender and sex-disaggregated data collection and analysis.</t>
    </r>
  </si>
  <si>
    <t>Activity 1.3.8 -TA to MOLISA to review the implementation of Government's commitments to international conventions on the right to equal opportunities and treatment on the labour market as well as to equal remuneration as related to the Law.</t>
  </si>
  <si>
    <t xml:space="preserve">Activity 1.3.10 - MOH to develop sub-law and regulatory documents necessary for implementation of DVL and GEL. </t>
  </si>
  <si>
    <t xml:space="preserve">Activity 1.3.10.5 - Support MOH to disseminate the protocol and the booklet on its circular.  </t>
  </si>
  <si>
    <t xml:space="preserve">Activity 1.3.11 - MOJ and MPS to develop regulatory documents necessary for the implementation of the Law on Domestic Violence Prevention and Control.  </t>
  </si>
  <si>
    <t xml:space="preserve">Activity 1.3.13 - Capacity-building of MOIC on gender mainstreaming in communication at central and provincial levels. </t>
  </si>
  <si>
    <t xml:space="preserve">Activity 1.3.14 -  Capacity-building of MOET on gender mainstreaming in education at central and provincial levels. 
</t>
  </si>
  <si>
    <r>
      <rPr>
        <b/>
        <sz val="11"/>
        <color indexed="8"/>
        <rFont val="Calibri"/>
        <family val="2"/>
      </rPr>
      <t xml:space="preserve">Output 2.1  </t>
    </r>
    <r>
      <rPr>
        <sz val="11"/>
        <color indexed="8"/>
        <rFont val="Calibri"/>
        <family val="2"/>
      </rPr>
      <t xml:space="preserve">Networks on gender equality are strengthened and sustained through relevant government and outside of government systems, with effective linkages and information among stakeholder.
</t>
    </r>
    <r>
      <rPr>
        <b/>
        <sz val="11"/>
        <color indexed="8"/>
        <rFont val="Calibri"/>
        <family val="2"/>
      </rPr>
      <t>Output 2.1 Indicators:</t>
    </r>
    <r>
      <rPr>
        <sz val="11"/>
        <color indexed="8"/>
        <rFont val="Calibri"/>
        <family val="2"/>
      </rPr>
      <t xml:space="preserve">
- Percentage of network members (GAP, GEMCOMNET, DOVIPNET, NEW) who "strongly agree" and "agree" to the statement that their gender work is more successful due to the gender networks supported under JPGE
- Number of key issues fed into national policy dialogues
</t>
    </r>
    <r>
      <rPr>
        <b/>
        <sz val="11"/>
        <color indexed="8"/>
        <rFont val="Calibri"/>
        <family val="2"/>
      </rPr>
      <t>Annual Target:</t>
    </r>
    <r>
      <rPr>
        <sz val="11"/>
        <color indexed="8"/>
        <rFont val="Calibri"/>
        <family val="2"/>
      </rPr>
      <t xml:space="preserve">
- 70 per cent of network members who agree that their gender work is more successful due to the gender network supproted under JPGE
- 2 key gender issues fed into national policy dialogues 
</t>
    </r>
  </si>
  <si>
    <t xml:space="preserve">Activity 2.1.2 - Provide TA to selected NGOs of Gencomnet, NEW and DOVIPNET  to expand their network and host consultation meetings on the two laws with SMAs, Government, civil society groups, NGOs and concerned agencies. 
</t>
  </si>
  <si>
    <t xml:space="preserve">Activity 2.1.3 - NCFAW and MOLISA to strengthen the GAP. </t>
  </si>
  <si>
    <t xml:space="preserve">Activity 2.1.4 - Enhance the capability of grass-roots support groups for victims of DV and advocate directly at the provincial and national level for improved policies and intervention programme.  </t>
  </si>
  <si>
    <r>
      <t>Activity 2.2.1</t>
    </r>
    <r>
      <rPr>
        <b/>
        <sz val="11"/>
        <color indexed="8"/>
        <rFont val="Calibri"/>
        <family val="2"/>
      </rPr>
      <t xml:space="preserve"> - Facilitate enhanced partnership between VCCI, government agencies, and other political and civil society actors to develop mechanisms for promoting women's entrepreneurship in line with the GEL.  
</t>
    </r>
    <r>
      <rPr>
        <sz val="11"/>
        <color indexed="8"/>
        <rFont val="Calibri"/>
        <family val="2"/>
      </rPr>
      <t xml:space="preserve">
</t>
    </r>
  </si>
  <si>
    <r>
      <rPr>
        <b/>
        <sz val="11"/>
        <color indexed="8"/>
        <rFont val="Calibri"/>
        <family val="2"/>
      </rPr>
      <t xml:space="preserve">Output 2.2: </t>
    </r>
    <r>
      <rPr>
        <sz val="11"/>
        <color indexed="8"/>
        <rFont val="Calibri"/>
        <family val="2"/>
      </rPr>
      <t xml:space="preserve">Improved partnership between mass organizations and government agencies to promote women's economic empowerment.
</t>
    </r>
    <r>
      <rPr>
        <b/>
        <sz val="11"/>
        <color indexed="8"/>
        <rFont val="Calibri"/>
        <family val="2"/>
      </rPr>
      <t>Output 2.2 Indicators:</t>
    </r>
    <r>
      <rPr>
        <sz val="11"/>
        <color indexed="8"/>
        <rFont val="Calibri"/>
        <family val="2"/>
      </rPr>
      <t xml:space="preserve">
- Number of key recommendations by different stakeholders fed into government policy dialog through VCCI to promote women's economic empowerment.
</t>
    </r>
    <r>
      <rPr>
        <b/>
        <sz val="11"/>
        <color indexed="8"/>
        <rFont val="Calibri"/>
        <family val="2"/>
      </rPr>
      <t>Annual Targets:</t>
    </r>
    <r>
      <rPr>
        <sz val="11"/>
        <color indexed="8"/>
        <rFont val="Calibri"/>
        <family val="2"/>
      </rPr>
      <t xml:space="preserve">
- One workshop organized for government, mass organizations, VCCI and civil society to share expereince on women's economic empowerment, and to discuss policy recommendations. 
</t>
    </r>
  </si>
  <si>
    <t>Activity 2.3.1 - Facilitate semi-annual press conferences.</t>
  </si>
  <si>
    <r>
      <t xml:space="preserve">Output 2.3  </t>
    </r>
    <r>
      <rPr>
        <sz val="11"/>
        <color indexed="8"/>
        <rFont val="Calibri"/>
        <family val="2"/>
      </rPr>
      <t>Communication network on gender equality developed for mass dissemination of two laws</t>
    </r>
    <r>
      <rPr>
        <b/>
        <sz val="11"/>
        <color indexed="8"/>
        <rFont val="Calibri"/>
        <family val="2"/>
      </rPr>
      <t xml:space="preserve">
Output 2.3 Indicators:
</t>
    </r>
    <r>
      <rPr>
        <sz val="11"/>
        <color indexed="8"/>
        <rFont val="Calibri"/>
        <family val="2"/>
      </rPr>
      <t>- Availability of communication network on gender equality.</t>
    </r>
    <r>
      <rPr>
        <b/>
        <sz val="11"/>
        <color indexed="8"/>
        <rFont val="Calibri"/>
        <family val="2"/>
      </rPr>
      <t xml:space="preserve">
Annual Targets: 
</t>
    </r>
    <r>
      <rPr>
        <sz val="11"/>
        <color indexed="8"/>
        <rFont val="Calibri"/>
        <family val="2"/>
      </rPr>
      <t xml:space="preserve">- A communication network  on gender euqality developed and operational with operational and sustainability strategy in place.
</t>
    </r>
  </si>
  <si>
    <t>Outcome
JP Outcome 3: Strengthened evidence-based data and data systems for promoting gender equality
Indicators: (+) Availability of data and info for monitoring the implementation of GE and DV law
                    (+) Availability of data and info systems for policy development related to the two laws
Baselines: (+) No system to monitor implementation of GE and DV laws
                    (+) Insufficient data for policy development on GE and DV issues</t>
  </si>
  <si>
    <r>
      <rPr>
        <b/>
        <sz val="11"/>
        <color indexed="8"/>
        <rFont val="Calibri"/>
        <family val="2"/>
      </rPr>
      <t xml:space="preserve">
Output  3.1  </t>
    </r>
    <r>
      <rPr>
        <sz val="11"/>
        <color indexed="8"/>
        <rFont val="Calibri"/>
        <family val="2"/>
      </rPr>
      <t>Current gender equality and sex-disaggregated indicatros are reviewed and new indicators identified through research</t>
    </r>
    <r>
      <rPr>
        <b/>
        <sz val="11"/>
        <color indexed="8"/>
        <rFont val="Calibri"/>
        <family val="2"/>
      </rPr>
      <t xml:space="preserve">
Output 3.1 Indicators:
- </t>
    </r>
    <r>
      <rPr>
        <sz val="11"/>
        <color indexed="8"/>
        <rFont val="Calibri"/>
        <family val="2"/>
      </rPr>
      <t>Availability of data on domestic violence and nationally generatedgender gap index (GGI),  gender development index (GDI) and gender empowerment measure (GEM)</t>
    </r>
    <r>
      <rPr>
        <b/>
        <sz val="11"/>
        <color indexed="8"/>
        <rFont val="Calibri"/>
        <family val="2"/>
      </rPr>
      <t xml:space="preserve">
Annual Targets:
</t>
    </r>
    <r>
      <rPr>
        <sz val="11"/>
        <color indexed="8"/>
        <rFont val="Calibri"/>
        <family val="2"/>
      </rPr>
      <t xml:space="preserve">-Calculation on GGI, GDI and GEM completed to feed into compilation of gender statistics </t>
    </r>
  </si>
  <si>
    <r>
      <rPr>
        <b/>
        <sz val="11"/>
        <color indexed="8"/>
        <rFont val="Calibri"/>
        <family val="2"/>
      </rPr>
      <t xml:space="preserve">Output 3.2: </t>
    </r>
    <r>
      <rPr>
        <sz val="11"/>
        <color indexed="8"/>
        <rFont val="Calibri"/>
        <family val="2"/>
      </rPr>
      <t xml:space="preserve">Gender equality and sex-disaggregated indicators are integrated into ongoing national data collection processes and reporting.
</t>
    </r>
    <r>
      <rPr>
        <b/>
        <sz val="11"/>
        <color indexed="8"/>
        <rFont val="Calibri"/>
        <family val="2"/>
      </rPr>
      <t xml:space="preserve">Output 3.2 Indicators: </t>
    </r>
    <r>
      <rPr>
        <sz val="11"/>
        <color indexed="8"/>
        <rFont val="Calibri"/>
        <family val="2"/>
      </rPr>
      <t xml:space="preserve">
- Number of new key gender data available from national surveys.
</t>
    </r>
    <r>
      <rPr>
        <b/>
        <sz val="11"/>
        <color indexed="8"/>
        <rFont val="Calibri"/>
        <family val="2"/>
      </rPr>
      <t>Annual Targets :</t>
    </r>
    <r>
      <rPr>
        <sz val="11"/>
        <color indexed="8"/>
        <rFont val="Calibri"/>
        <family val="2"/>
      </rPr>
      <t xml:space="preserve">
- </t>
    </r>
    <r>
      <rPr>
        <sz val="11"/>
        <rFont val="Calibri"/>
        <family val="2"/>
      </rPr>
      <t>Gender data from national surveys  to feed into the national gender statistics indicator system.</t>
    </r>
    <r>
      <rPr>
        <b/>
        <sz val="11"/>
        <color indexed="10"/>
        <rFont val="Calibri"/>
        <family val="2"/>
      </rPr>
      <t xml:space="preserve">
</t>
    </r>
  </si>
  <si>
    <t>Activity 2.3.3 - Development of national network of media practitioners reporting on GE issues, including providing training on the content of the two laws, support for development of the Communication trategy on the GEL and developing information and communcation materials on GE.</t>
  </si>
  <si>
    <t>Activity 3.2.1 - Provide TA to engender the labor force survey.</t>
  </si>
  <si>
    <t>Activity 3.2.2 - Provide TA to engender national censuses and surveys on rural issues.</t>
  </si>
  <si>
    <t>Activity 3.2.3 - Provide TA to engender the annual enterprise survey.</t>
  </si>
  <si>
    <t xml:space="preserve">Activity 3.2.4 - Compile data related to children and gender equality as a foundation to develop national reports on internaitonal and  national commitments through existing household survey.   </t>
  </si>
  <si>
    <r>
      <rPr>
        <b/>
        <sz val="11"/>
        <color indexed="8"/>
        <rFont val="Calibri"/>
        <family val="2"/>
      </rPr>
      <t>Output 3.3</t>
    </r>
    <r>
      <rPr>
        <sz val="11"/>
        <color indexed="8"/>
        <rFont val="Calibri"/>
        <family val="2"/>
      </rPr>
      <t xml:space="preserve">: Data and information collected to promote national gender equality policy dialogues for marginalized groups. 
</t>
    </r>
    <r>
      <rPr>
        <b/>
        <sz val="11"/>
        <color indexed="8"/>
        <rFont val="Calibri"/>
        <family val="2"/>
      </rPr>
      <t xml:space="preserve">Output 3.3 Indicators: </t>
    </r>
    <r>
      <rPr>
        <sz val="11"/>
        <color indexed="8"/>
        <rFont val="Calibri"/>
        <family val="2"/>
      </rPr>
      <t xml:space="preserve">
- Gender Equality data concerning marginalized women is collected and used for policy adovcacy and recommendations.                                                                                                                                                                                         
</t>
    </r>
    <r>
      <rPr>
        <b/>
        <sz val="11"/>
        <color indexed="8"/>
        <rFont val="Calibri"/>
        <family val="2"/>
      </rPr>
      <t xml:space="preserve">Annual Targets :    </t>
    </r>
    <r>
      <rPr>
        <sz val="11"/>
        <color indexed="8"/>
        <rFont val="Calibri"/>
        <family val="2"/>
      </rPr>
      <t xml:space="preserve">                                                                                                                                                                                                                                                                                                                                                                                                                        
</t>
    </r>
    <r>
      <rPr>
        <sz val="11"/>
        <rFont val="Calibri"/>
        <family val="2"/>
      </rPr>
      <t>- Currently available data stock-taken and reviewed and new data collected through 3 research on vulnerable groups disseminated for advocacy purposes.</t>
    </r>
  </si>
  <si>
    <t>Activity 3.3.5 (b) - TA for MARD on research study on working conditions of vulnerable rural women living in communities experiencing land use reform in collaboration with ILO.</t>
  </si>
  <si>
    <r>
      <rPr>
        <b/>
        <sz val="11"/>
        <color indexed="8"/>
        <rFont val="Calibri"/>
        <family val="2"/>
      </rPr>
      <t xml:space="preserve">Output 3.4: </t>
    </r>
    <r>
      <rPr>
        <sz val="11"/>
        <color indexed="8"/>
        <rFont val="Calibri"/>
        <family val="2"/>
      </rPr>
      <t xml:space="preserve">Centralized clearinghouse of gender research reports and indicators by government, donors and political and civil society groups (VWU) established (through GSO). 
</t>
    </r>
    <r>
      <rPr>
        <b/>
        <sz val="11"/>
        <color indexed="8"/>
        <rFont val="Calibri"/>
        <family val="2"/>
      </rPr>
      <t>Output 3.4 Indicators:</t>
    </r>
    <r>
      <rPr>
        <sz val="11"/>
        <color indexed="8"/>
        <rFont val="Calibri"/>
        <family val="2"/>
      </rPr>
      <t xml:space="preserve">
+ A centralized system for gender research reports and data available
</t>
    </r>
    <r>
      <rPr>
        <b/>
        <sz val="11"/>
        <color indexed="8"/>
        <rFont val="Calibri"/>
        <family val="2"/>
      </rPr>
      <t xml:space="preserve">Annual Targets :    </t>
    </r>
    <r>
      <rPr>
        <sz val="11"/>
        <color indexed="8"/>
        <rFont val="Calibri"/>
        <family val="2"/>
      </rPr>
      <t xml:space="preserve">                                                                                                                                                                                                                                                                                                                                                                                                                           
-National Gender Statistics Indicators completed</t>
    </r>
  </si>
  <si>
    <t xml:space="preserve">Activity 3.4.1 - GSO to store and disseminate gender related data and develop periodical publication on sex-disaggregated/gender related data.  </t>
  </si>
  <si>
    <t xml:space="preserve">Activity 3.4.3 - Build a database on the International Convention of Children’s Rights, CEDAW and "a World appropriate for Children” using Viet info technology. </t>
  </si>
  <si>
    <t>Activity 3.4.4 - Compile, publish, and disseminate CD-ROM on VietInfo database and web-based version on children and gender equality to key partners at all levels.</t>
  </si>
  <si>
    <t>Salary for JP Gender specialist (P contract) and others</t>
  </si>
  <si>
    <t xml:space="preserve">JP Monitoring by UN Agency (UNFPA) and by NIPs.    </t>
  </si>
  <si>
    <r>
      <rPr>
        <b/>
        <sz val="11"/>
        <rFont val="Calibri"/>
        <family val="2"/>
      </rPr>
      <t>Output 3.4:</t>
    </r>
    <r>
      <rPr>
        <sz val="11"/>
        <rFont val="Calibri"/>
        <family val="2"/>
      </rPr>
      <t xml:space="preserve"> Centralized clearinghouse of gender research reports and indicators by government, donors and political and civil society groups (VWU) established (through GSO). 
</t>
    </r>
    <r>
      <rPr>
        <b/>
        <sz val="11"/>
        <rFont val="Calibri"/>
        <family val="2"/>
      </rPr>
      <t>Output 3.4 Indicators:</t>
    </r>
    <r>
      <rPr>
        <sz val="11"/>
        <rFont val="Calibri"/>
        <family val="2"/>
      </rPr>
      <t xml:space="preserve">
- A centralized system for gender research reports and data available
</t>
    </r>
    <r>
      <rPr>
        <b/>
        <sz val="11"/>
        <rFont val="Calibri"/>
        <family val="2"/>
      </rPr>
      <t xml:space="preserve">Annual Targets :       </t>
    </r>
    <r>
      <rPr>
        <sz val="11"/>
        <rFont val="Calibri"/>
        <family val="2"/>
      </rPr>
      <t xml:space="preserve">                                                                                                                                                                                                                                                                                                                                                                                                                                                                                                                                                                                                                                                                                                                                                                                                                                                 
-National Gender Statistics Indicators completed</t>
    </r>
  </si>
  <si>
    <r>
      <rPr>
        <b/>
        <sz val="11"/>
        <rFont val="Calibri"/>
        <family val="2"/>
      </rPr>
      <t>Output 3.3</t>
    </r>
    <r>
      <rPr>
        <sz val="11"/>
        <rFont val="Calibri"/>
        <family val="2"/>
      </rPr>
      <t xml:space="preserve">: Data and information collected to promote national gender equality policy dialogues for marginalized groups. 
</t>
    </r>
    <r>
      <rPr>
        <b/>
        <sz val="11"/>
        <rFont val="Calibri"/>
        <family val="2"/>
      </rPr>
      <t xml:space="preserve">Output 3.3 Indicators: </t>
    </r>
    <r>
      <rPr>
        <sz val="11"/>
        <rFont val="Calibri"/>
        <family val="2"/>
      </rPr>
      <t xml:space="preserve">
- Gender Equality data concerning marginalized women is collected and used for policy adovcacy and recommendations                                                                                                                                                                                        
</t>
    </r>
    <r>
      <rPr>
        <b/>
        <sz val="11"/>
        <rFont val="Calibri"/>
        <family val="2"/>
      </rPr>
      <t xml:space="preserve">Annual targets:    </t>
    </r>
    <r>
      <rPr>
        <sz val="11"/>
        <rFont val="Calibri"/>
        <family val="2"/>
      </rPr>
      <t xml:space="preserve">                                                                                                                                                                                                                                                                                                                                                                                                                        
- Currently available data stock-taken and reviewed and new data and information collected through 3 research on vulnerable groups</t>
    </r>
  </si>
  <si>
    <r>
      <t xml:space="preserve">Output 2.3  </t>
    </r>
    <r>
      <rPr>
        <sz val="11"/>
        <rFont val="Calibri"/>
        <family val="2"/>
      </rPr>
      <t>Communication network on gender equality developed for mass dissemination of two laws</t>
    </r>
    <r>
      <rPr>
        <b/>
        <sz val="11"/>
        <rFont val="Calibri"/>
        <family val="2"/>
      </rPr>
      <t xml:space="preserve">
Output 2.3 Indicators:
</t>
    </r>
    <r>
      <rPr>
        <sz val="11"/>
        <rFont val="Calibri"/>
        <family val="2"/>
      </rPr>
      <t>- Availability of communication network on gender equality</t>
    </r>
    <r>
      <rPr>
        <b/>
        <sz val="11"/>
        <rFont val="Calibri"/>
        <family val="2"/>
      </rPr>
      <t xml:space="preserve">
Annual targets: 
</t>
    </r>
    <r>
      <rPr>
        <sz val="11"/>
        <rFont val="Calibri"/>
        <family val="2"/>
      </rPr>
      <t xml:space="preserve">- A communication network  on gender euqality developed and operational with operational and sustainability strategy in place.
</t>
    </r>
  </si>
  <si>
    <r>
      <rPr>
        <b/>
        <sz val="11"/>
        <rFont val="Calibri"/>
        <family val="2"/>
      </rPr>
      <t>Output 2.2 Indicators:</t>
    </r>
    <r>
      <rPr>
        <sz val="11"/>
        <rFont val="Calibri"/>
        <family val="2"/>
      </rPr>
      <t xml:space="preserve">
- Number of key recommendations by different stakeholders fed into government policy dialog through VCCI to promote women's economic empowerment.
</t>
    </r>
    <r>
      <rPr>
        <b/>
        <sz val="11"/>
        <rFont val="Calibri"/>
        <family val="2"/>
      </rPr>
      <t>Annual Targets:</t>
    </r>
    <r>
      <rPr>
        <sz val="11"/>
        <rFont val="Calibri"/>
        <family val="2"/>
      </rPr>
      <t xml:space="preserve">
- One workshop organized for government, mass organizations, VCCI and civil society to share expereince on women's economic empowerment and to discuss policy recommendations</t>
    </r>
  </si>
  <si>
    <r>
      <rPr>
        <b/>
        <sz val="11"/>
        <rFont val="Calibri"/>
        <family val="2"/>
      </rPr>
      <t xml:space="preserve">Annual Targets:    </t>
    </r>
    <r>
      <rPr>
        <sz val="11"/>
        <rFont val="Calibri"/>
        <family val="2"/>
      </rPr>
      <t xml:space="preserve">
- At least one Plan of Action on Gender Equality by the ministries developed. 
- M&amp;E frameworks for GEL and DVL finalised and piloted. 
- Key duty bearers briefd about the Multi-agency collaboration guideline for implementation.</t>
    </r>
  </si>
  <si>
    <r>
      <t xml:space="preserve">Annual Targets:
</t>
    </r>
    <r>
      <rPr>
        <sz val="11"/>
        <rFont val="Calibri"/>
        <family val="2"/>
      </rPr>
      <t xml:space="preserve">-5 training materials/guides finalised to support the implementation of the two laws 
- 700 officials (at least 50 per cent women) trained on gender mainstreaming, gender equality and gender-based violence in respective sectors
-At least 01 Plan of Action on Gender developed </t>
    </r>
  </si>
  <si>
    <r>
      <rPr>
        <b/>
        <sz val="11"/>
        <rFont val="Calibri"/>
        <family val="2"/>
      </rPr>
      <t>Output 2.1</t>
    </r>
    <r>
      <rPr>
        <sz val="11"/>
        <rFont val="Calibri"/>
        <family val="2"/>
      </rPr>
      <t xml:space="preserve">  Networks on gender equality are strengthened and sustained through relevant government and outside of government systems, with effective linkages and information among stakeholder.
</t>
    </r>
    <r>
      <rPr>
        <b/>
        <sz val="11"/>
        <rFont val="Calibri"/>
        <family val="2"/>
      </rPr>
      <t>Output 2.1 Indicators:</t>
    </r>
    <r>
      <rPr>
        <sz val="11"/>
        <rFont val="Calibri"/>
        <family val="2"/>
      </rPr>
      <t xml:space="preserve">
- Percentage of network members (GAP, GEMCOMNET, DOVIPNET, NEW) who "strongly agree" and "agree" to the statement that their gender work is more successful due to the gender networks supported under JPGE
- Number of key issues fed into national policy dialogues
</t>
    </r>
    <r>
      <rPr>
        <b/>
        <sz val="11"/>
        <rFont val="Calibri"/>
        <family val="2"/>
      </rPr>
      <t>Annual Target:</t>
    </r>
    <r>
      <rPr>
        <sz val="11"/>
        <rFont val="Calibri"/>
        <family val="2"/>
      </rPr>
      <t xml:space="preserve">
- 70 per cent of network members who agree that their gender work is more successful due to the gender network supproted under JPGE
- 2 key gender issues fed into national policy dialogues </t>
    </r>
  </si>
  <si>
    <r>
      <rPr>
        <b/>
        <sz val="11"/>
        <rFont val="Calibri"/>
        <family val="2"/>
      </rPr>
      <t>Output 1.2 :</t>
    </r>
    <r>
      <rPr>
        <sz val="11"/>
        <rFont val="Calibri"/>
        <family val="2"/>
      </rPr>
      <t xml:space="preserve"> Relevant plans of action developed for the SMAs (MOLISA &amp; MOCST), line ministries, National Assembly, Communist Party at the central and local levels to implement, evaluate, monitor and report on the two Laws.
</t>
    </r>
    <r>
      <rPr>
        <b/>
        <sz val="11"/>
        <rFont val="Calibri"/>
        <family val="2"/>
      </rPr>
      <t>Output 1.2 Indicators</t>
    </r>
    <r>
      <rPr>
        <sz val="11"/>
        <rFont val="Calibri"/>
        <family val="2"/>
      </rPr>
      <t xml:space="preserve">: 
- Number of relevant POAs/national target programmes;
- Number of draft M&amp;E Frameworks for the two laws 
- Multi-agency collaboration mechanism for DVL implementation available
</t>
    </r>
    <r>
      <rPr>
        <b/>
        <sz val="11"/>
        <rFont val="Calibri"/>
        <family val="2"/>
      </rPr>
      <t xml:space="preserve">Annual Targets:    </t>
    </r>
    <r>
      <rPr>
        <sz val="11"/>
        <rFont val="Calibri"/>
        <family val="2"/>
      </rPr>
      <t xml:space="preserve">
- At least one Plan of Action on Gender Equality by the ministries developed. 
- M&amp;E frameworks for GEL and DVL finalised and piloted. 
- Key duty bearers briefed about the Multi-agency collaboration guideline for implementation.</t>
    </r>
  </si>
  <si>
    <r>
      <t xml:space="preserve">Output 1.3 Indicators: 
</t>
    </r>
    <r>
      <rPr>
        <sz val="11"/>
        <rFont val="Calibri"/>
        <family val="2"/>
      </rPr>
      <t>- Number of training materials/guides developed on gender and domestic violence
- Number of officials (women and men) trained on gender mainstreaming, gender equality and gender-based violence in various sectors
- Number of legal instruments and educational doocuments reviewed with gender lens
- Number of regularotyr and guiding documents developed to guide the implementation of the two laws</t>
    </r>
    <r>
      <rPr>
        <b/>
        <sz val="11"/>
        <rFont val="Calibri"/>
        <family val="2"/>
      </rPr>
      <t xml:space="preserve">
Annual Targets:
</t>
    </r>
    <r>
      <rPr>
        <sz val="11"/>
        <rFont val="Calibri"/>
        <family val="2"/>
      </rPr>
      <t xml:space="preserve">-5 training materials/guides finalised to support the implementation of the two laws 
- 700 officials (at least 50 per cent women) trained on gender mainstreaming, gender equality and gender-based violence in respective sectors
-At least 01 Plan of Action on Gender developed  
</t>
    </r>
  </si>
  <si>
    <r>
      <rPr>
        <b/>
        <sz val="11"/>
        <rFont val="Calibri"/>
        <family val="2"/>
      </rPr>
      <t xml:space="preserve">Output 2.1  </t>
    </r>
    <r>
      <rPr>
        <sz val="11"/>
        <rFont val="Calibri"/>
        <family val="2"/>
      </rPr>
      <t xml:space="preserve">Networks on gender equality are strengthened and sustained through relevant government and outside of government systems, with effective linkages and information among stakeholder.
</t>
    </r>
    <r>
      <rPr>
        <b/>
        <sz val="11"/>
        <rFont val="Calibri"/>
        <family val="2"/>
      </rPr>
      <t>Output 2.1 Indicators:</t>
    </r>
    <r>
      <rPr>
        <sz val="11"/>
        <rFont val="Calibri"/>
        <family val="2"/>
      </rPr>
      <t xml:space="preserve">
- Percentage of network members (GAP, GEMCOMNET, DOVIPNET, NEW) who "strongly agree" and "agree" to the statement that their gender work is more successful due to the gender networks supported under JPGE
- Number of key issues fed into national policy dialogues
</t>
    </r>
    <r>
      <rPr>
        <b/>
        <sz val="11"/>
        <rFont val="Calibri"/>
        <family val="2"/>
      </rPr>
      <t>Annual Target:</t>
    </r>
    <r>
      <rPr>
        <sz val="11"/>
        <rFont val="Calibri"/>
        <family val="2"/>
      </rPr>
      <t xml:space="preserve">
- 70 per cent of network members who agree that their gender work is more successful due to the gender network supproted under JPGE
- 2 key gender issues fed into national policy dialogues 
</t>
    </r>
    <r>
      <rPr>
        <b/>
        <sz val="11"/>
        <rFont val="Calibri"/>
        <family val="2"/>
      </rPr>
      <t xml:space="preserve">Output 2.3 </t>
    </r>
    <r>
      <rPr>
        <sz val="11"/>
        <rFont val="Calibri"/>
        <family val="2"/>
      </rPr>
      <t xml:space="preserve"> Communication network on gender equality developed for mass dissemination of two laws
</t>
    </r>
    <r>
      <rPr>
        <b/>
        <sz val="11"/>
        <rFont val="Calibri"/>
        <family val="2"/>
      </rPr>
      <t>Output 2.3 Indicators:</t>
    </r>
    <r>
      <rPr>
        <sz val="11"/>
        <rFont val="Calibri"/>
        <family val="2"/>
      </rPr>
      <t xml:space="preserve">
- Availability of communication network on gender equality
</t>
    </r>
    <r>
      <rPr>
        <b/>
        <sz val="11"/>
        <rFont val="Calibri"/>
        <family val="2"/>
      </rPr>
      <t xml:space="preserve">Annual targets: </t>
    </r>
    <r>
      <rPr>
        <sz val="11"/>
        <rFont val="Calibri"/>
        <family val="2"/>
      </rPr>
      <t xml:space="preserve">
'- A communication network  on gender euqality developed and operational with operational and sustainability strategy in place.</t>
    </r>
  </si>
  <si>
    <r>
      <rPr>
        <b/>
        <sz val="11"/>
        <rFont val="Calibri"/>
        <family val="2"/>
      </rPr>
      <t>Output 3.2:</t>
    </r>
    <r>
      <rPr>
        <b/>
        <u val="single"/>
        <sz val="11"/>
        <rFont val="Calibri"/>
        <family val="2"/>
      </rPr>
      <t xml:space="preserve"> </t>
    </r>
    <r>
      <rPr>
        <sz val="11"/>
        <rFont val="Calibri"/>
        <family val="2"/>
      </rPr>
      <t xml:space="preserve">Gender equality and sex-disaggregated indicators are integrated into ongoing national data collection processes and reporting.
</t>
    </r>
    <r>
      <rPr>
        <b/>
        <sz val="11"/>
        <rFont val="Calibri"/>
        <family val="2"/>
      </rPr>
      <t xml:space="preserve">Output 3.2 Indicators: </t>
    </r>
    <r>
      <rPr>
        <sz val="11"/>
        <rFont val="Calibri"/>
        <family val="2"/>
      </rPr>
      <t xml:space="preserve">
- Number of new key gender data available from national surveys
</t>
    </r>
    <r>
      <rPr>
        <b/>
        <sz val="11"/>
        <rFont val="Calibri"/>
        <family val="2"/>
      </rPr>
      <t>Annual targets :</t>
    </r>
    <r>
      <rPr>
        <sz val="11"/>
        <rFont val="Calibri"/>
        <family val="2"/>
      </rPr>
      <t xml:space="preserve">
- Gender data from national surveys  to feed into the national gender statistics indicator system
</t>
    </r>
  </si>
  <si>
    <r>
      <rPr>
        <b/>
        <sz val="11"/>
        <rFont val="Calibri"/>
        <family val="2"/>
      </rPr>
      <t>Output 3.3:</t>
    </r>
    <r>
      <rPr>
        <sz val="11"/>
        <rFont val="Calibri"/>
        <family val="2"/>
      </rPr>
      <t xml:space="preserve"> Data and information collected to promote national gender equality policy dialogues for marginalized groups. 
</t>
    </r>
    <r>
      <rPr>
        <b/>
        <sz val="11"/>
        <rFont val="Calibri"/>
        <family val="2"/>
      </rPr>
      <t xml:space="preserve">Output 3.3 </t>
    </r>
    <r>
      <rPr>
        <sz val="11"/>
        <rFont val="Calibri"/>
        <family val="2"/>
      </rPr>
      <t xml:space="preserve">Indicators: 
- Gender Equality data concerning marginalized women is collected and used for policy adovcacy and recommendations                                                                                                                                                                                        
</t>
    </r>
    <r>
      <rPr>
        <b/>
        <sz val="11"/>
        <rFont val="Calibri"/>
        <family val="2"/>
      </rPr>
      <t>Annual targets</t>
    </r>
    <r>
      <rPr>
        <sz val="11"/>
        <rFont val="Calibri"/>
        <family val="2"/>
      </rPr>
      <t>:                                                                                                                                                                                                                                                                                                                                                                                                                            
- Currently available data stock-taken and reviewed and new data collected through 3 research on vulnerable groups disseminated for advocacy purposes</t>
    </r>
  </si>
  <si>
    <r>
      <rPr>
        <b/>
        <sz val="11"/>
        <rFont val="Calibri"/>
        <family val="2"/>
      </rPr>
      <t xml:space="preserve">Output 3.4: </t>
    </r>
    <r>
      <rPr>
        <sz val="11"/>
        <rFont val="Calibri"/>
        <family val="2"/>
      </rPr>
      <t xml:space="preserve">Centralized clearinghouse of gender research reports and indicators by government, donors and political and civil society groups (VWU) established (through GSO). 
</t>
    </r>
    <r>
      <rPr>
        <b/>
        <sz val="11"/>
        <rFont val="Calibri"/>
        <family val="2"/>
      </rPr>
      <t xml:space="preserve">Output 3.4 </t>
    </r>
    <r>
      <rPr>
        <sz val="11"/>
        <rFont val="Calibri"/>
        <family val="2"/>
      </rPr>
      <t xml:space="preserve">Indicators:
- A centralized system for gender research reports and data available
</t>
    </r>
    <r>
      <rPr>
        <b/>
        <sz val="11"/>
        <rFont val="Calibri"/>
        <family val="2"/>
      </rPr>
      <t xml:space="preserve">Annual targets:   </t>
    </r>
    <r>
      <rPr>
        <sz val="11"/>
        <rFont val="Calibri"/>
        <family val="2"/>
      </rPr>
      <t xml:space="preserve">                                                                                                                                                                                                                                                                                                                                                                                                                            
-National Gender Statistics Indicators completed</t>
    </r>
  </si>
  <si>
    <t>UN Participating Agencies: UN Women, UNFPA, UNDP, ILO, UNICEF, UNESCO, UNIDO, IOM, FAO, WHO, UNODC.</t>
  </si>
  <si>
    <t>UN Women</t>
  </si>
  <si>
    <t>Director of  the GSO's Component Project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</si>
</sst>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00_);_(* \(#,##0.000\);_(* &quot;-&quot;??_);_(@_)"/>
    <numFmt numFmtId="170" formatCode="_(* #,##0.0_);_(* \(#,##0.0\);_(* &quot;-&quot;??_);_(@_)"/>
    <numFmt numFmtId="171" formatCode="0.0"/>
    <numFmt numFmtId="172" formatCode="_(* #,##0.0_);_(* \(#,##0.0\);_(* &quot;-&quot;?_);_(@_)"/>
    <numFmt numFmtId="173" formatCode="[$-409]dddd\,\ mmmm\ dd\,\ yyyy"/>
    <numFmt numFmtId="174" formatCode="0.00_);\(0.00\)"/>
    <numFmt numFmtId="175" formatCode="0.0_);\(0.0\)"/>
    <numFmt numFmtId="176" formatCode="0_);\(0\)"/>
    <numFmt numFmtId="177" formatCode="_(* #,##0.000_);_(* \(#,##0.000\);_(* &quot;-&quot;???_);_(@_)"/>
    <numFmt numFmtId="178" formatCode="_(* #,##0_);_(* \(#,##0\);_(* &quot;-&quot;?_);_(@_)"/>
    <numFmt numFmtId="179" formatCode="0.0000"/>
  </numFmts>
  <fonts count="123">
    <font>
      <sz val="10"/>
      <name val="Arial"/>
      <family val="0"/>
    </font>
    <font>
      <u val="single"/>
      <sz val="10"/>
      <color indexed="36"/>
      <name val="Arial"/>
      <family val="2"/>
    </font>
    <font>
      <u val="single"/>
      <sz val="10"/>
      <color indexed="12"/>
      <name val="Arial"/>
      <family val="2"/>
    </font>
    <font>
      <b/>
      <sz val="11"/>
      <name val="Arial"/>
      <family val="2"/>
    </font>
    <font>
      <b/>
      <sz val="11"/>
      <color indexed="8"/>
      <name val="Arial"/>
      <family val="2"/>
    </font>
    <font>
      <b/>
      <sz val="8"/>
      <name val="Tahoma"/>
      <family val="2"/>
    </font>
    <font>
      <sz val="8"/>
      <name val="Tahoma"/>
      <family val="2"/>
    </font>
    <font>
      <sz val="11"/>
      <name val="Arial"/>
      <family val="2"/>
    </font>
    <font>
      <b/>
      <u val="single"/>
      <sz val="11"/>
      <name val="Arial"/>
      <family val="2"/>
    </font>
    <font>
      <i/>
      <u val="single"/>
      <sz val="11"/>
      <name val="Arial"/>
      <family val="2"/>
    </font>
    <font>
      <sz val="11"/>
      <color indexed="10"/>
      <name val="Arial"/>
      <family val="2"/>
    </font>
    <font>
      <sz val="11"/>
      <color indexed="8"/>
      <name val="Arial"/>
      <family val="2"/>
    </font>
    <font>
      <sz val="11"/>
      <color indexed="54"/>
      <name val="Arial"/>
      <family val="2"/>
    </font>
    <font>
      <u val="single"/>
      <sz val="11"/>
      <name val="Arial"/>
      <family val="2"/>
    </font>
    <font>
      <sz val="11"/>
      <color indexed="9"/>
      <name val="Arial"/>
      <family val="2"/>
    </font>
    <font>
      <b/>
      <sz val="10"/>
      <name val="Arial"/>
      <family val="2"/>
    </font>
    <font>
      <b/>
      <u val="single"/>
      <sz val="10"/>
      <name val="Arial"/>
      <family val="2"/>
    </font>
    <font>
      <b/>
      <sz val="12"/>
      <name val="Arial"/>
      <family val="2"/>
    </font>
    <font>
      <b/>
      <sz val="11"/>
      <color indexed="9"/>
      <name val="Arial"/>
      <family val="2"/>
    </font>
    <font>
      <sz val="11"/>
      <name val="Tahoma"/>
      <family val="2"/>
    </font>
    <font>
      <sz val="11"/>
      <color indexed="12"/>
      <name val="Arial"/>
      <family val="2"/>
    </font>
    <font>
      <b/>
      <i/>
      <u val="single"/>
      <sz val="8"/>
      <name val="Arial"/>
      <family val="2"/>
    </font>
    <font>
      <b/>
      <u val="single"/>
      <sz val="11"/>
      <color indexed="10"/>
      <name val="Arial"/>
      <family val="2"/>
    </font>
    <font>
      <b/>
      <sz val="11"/>
      <color indexed="56"/>
      <name val="Arial"/>
      <family val="2"/>
    </font>
    <font>
      <b/>
      <sz val="11"/>
      <color indexed="61"/>
      <name val="Arial"/>
      <family val="2"/>
    </font>
    <font>
      <sz val="11"/>
      <color indexed="61"/>
      <name val="Arial"/>
      <family val="2"/>
    </font>
    <font>
      <sz val="11"/>
      <color indexed="56"/>
      <name val="Arial"/>
      <family val="2"/>
    </font>
    <font>
      <b/>
      <i/>
      <sz val="11"/>
      <name val="Arial"/>
      <family val="2"/>
    </font>
    <font>
      <b/>
      <sz val="11"/>
      <color indexed="48"/>
      <name val="Arial"/>
      <family val="2"/>
    </font>
    <font>
      <b/>
      <u val="single"/>
      <sz val="11"/>
      <color indexed="48"/>
      <name val="Arial"/>
      <family val="2"/>
    </font>
    <font>
      <sz val="11"/>
      <color indexed="55"/>
      <name val="Arial"/>
      <family val="2"/>
    </font>
    <font>
      <b/>
      <sz val="11"/>
      <color indexed="55"/>
      <name val="Arial"/>
      <family val="2"/>
    </font>
    <font>
      <b/>
      <sz val="11"/>
      <color indexed="10"/>
      <name val="Arial"/>
      <family val="2"/>
    </font>
    <font>
      <sz val="8"/>
      <name val="Arial"/>
      <family val="2"/>
    </font>
    <font>
      <sz val="10"/>
      <name val="Tahoma"/>
      <family val="2"/>
    </font>
    <font>
      <b/>
      <sz val="11"/>
      <name val="Tahoma"/>
      <family val="2"/>
    </font>
    <font>
      <sz val="12"/>
      <name val="Tahoma"/>
      <family val="2"/>
    </font>
    <font>
      <b/>
      <sz val="11"/>
      <name val="Calibri"/>
      <family val="2"/>
    </font>
    <font>
      <sz val="11"/>
      <name val="Calibri"/>
      <family val="2"/>
    </font>
    <font>
      <b/>
      <u val="single"/>
      <sz val="11"/>
      <name val="Calibri"/>
      <family val="2"/>
    </font>
    <font>
      <b/>
      <sz val="11"/>
      <color indexed="8"/>
      <name val="Calibri"/>
      <family val="2"/>
    </font>
    <font>
      <sz val="11"/>
      <color indexed="8"/>
      <name val="Calibri"/>
      <family val="2"/>
    </font>
    <font>
      <i/>
      <sz val="11"/>
      <color indexed="8"/>
      <name val="Calibri"/>
      <family val="2"/>
    </font>
    <font>
      <b/>
      <sz val="11"/>
      <color indexed="10"/>
      <name val="Calibri"/>
      <family val="2"/>
    </font>
    <font>
      <b/>
      <u val="single"/>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u val="single"/>
      <sz val="11"/>
      <name val="Calibri"/>
      <family val="2"/>
    </font>
    <font>
      <b/>
      <sz val="11"/>
      <color indexed="9"/>
      <name val="Calibri"/>
      <family val="2"/>
    </font>
    <font>
      <sz val="11"/>
      <color indexed="9"/>
      <name val="Calibri"/>
      <family val="2"/>
    </font>
    <font>
      <sz val="11"/>
      <color indexed="55"/>
      <name val="Calibri"/>
      <family val="2"/>
    </font>
    <font>
      <b/>
      <sz val="11"/>
      <color indexed="43"/>
      <name val="Calibri"/>
      <family val="2"/>
    </font>
    <font>
      <sz val="11"/>
      <color indexed="10"/>
      <name val="Calibri"/>
      <family val="2"/>
    </font>
    <font>
      <u val="single"/>
      <sz val="11"/>
      <name val="Calibri"/>
      <family val="2"/>
    </font>
    <font>
      <sz val="11"/>
      <color indexed="12"/>
      <name val="Calibri"/>
      <family val="2"/>
    </font>
    <font>
      <sz val="11"/>
      <color indexed="62"/>
      <name val="Calibri"/>
      <family val="2"/>
    </font>
    <font>
      <b/>
      <sz val="11"/>
      <color indexed="62"/>
      <name val="Calibri"/>
      <family val="2"/>
    </font>
    <font>
      <sz val="11"/>
      <color indexed="48"/>
      <name val="Calibri"/>
      <family val="2"/>
    </font>
    <font>
      <sz val="11"/>
      <color indexed="43"/>
      <name val="Calibri"/>
      <family val="2"/>
    </font>
    <font>
      <b/>
      <sz val="11"/>
      <color indexed="12"/>
      <name val="Calibri"/>
      <family val="2"/>
    </font>
    <font>
      <sz val="11"/>
      <color indexed="60"/>
      <name val="Calibri"/>
      <family val="2"/>
    </font>
    <font>
      <b/>
      <sz val="11"/>
      <color indexed="55"/>
      <name val="Calibri"/>
      <family val="2"/>
    </font>
    <font>
      <sz val="11"/>
      <color indexed="22"/>
      <name val="Calibri"/>
      <family val="2"/>
    </font>
    <font>
      <i/>
      <u val="single"/>
      <sz val="11"/>
      <color indexed="8"/>
      <name val="Calibri"/>
      <family val="2"/>
    </font>
    <font>
      <b/>
      <sz val="11"/>
      <color indexed="22"/>
      <name val="Calibri"/>
      <family val="2"/>
    </font>
    <font>
      <b/>
      <i/>
      <u val="single"/>
      <sz val="11"/>
      <color indexed="8"/>
      <name val="Calibri"/>
      <family val="2"/>
    </font>
    <font>
      <b/>
      <sz val="11"/>
      <color indexed="48"/>
      <name val="Calibri"/>
      <family val="2"/>
    </font>
    <font>
      <b/>
      <sz val="14"/>
      <name val="Calibri"/>
      <family val="2"/>
    </font>
    <font>
      <sz val="14"/>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2" tint="-0.24997000396251678"/>
      <name val="Calibri"/>
      <family val="2"/>
    </font>
    <font>
      <b/>
      <sz val="11"/>
      <color rgb="FFFF0000"/>
      <name val="Calibri"/>
      <family val="2"/>
    </font>
    <font>
      <sz val="11"/>
      <color rgb="FFFF0000"/>
      <name val="Calibri"/>
      <family val="2"/>
    </font>
    <font>
      <b/>
      <sz val="11"/>
      <color theme="1"/>
      <name val="Calibri"/>
      <family val="2"/>
    </font>
    <font>
      <sz val="11"/>
      <color rgb="FF0066FF"/>
      <name val="Calibri"/>
      <family val="2"/>
    </font>
    <font>
      <sz val="11"/>
      <color rgb="FF3366FF"/>
      <name val="Calibri"/>
      <family val="2"/>
    </font>
    <font>
      <sz val="11"/>
      <color theme="2" tint="-0.24997000396251678"/>
      <name val="Calibri"/>
      <family val="2"/>
    </font>
    <font>
      <b/>
      <sz val="11"/>
      <color rgb="FF0066FF"/>
      <name val="Calibri"/>
      <family val="2"/>
    </font>
    <font>
      <b/>
      <sz val="11"/>
      <color theme="0"/>
      <name val="Calibri"/>
      <family val="2"/>
    </font>
    <font>
      <sz val="11"/>
      <color theme="0"/>
      <name val="Calibri"/>
      <family val="2"/>
    </font>
    <font>
      <sz val="11"/>
      <color theme="1"/>
      <name val="Calibri"/>
      <family val="2"/>
    </font>
    <font>
      <sz val="11"/>
      <color theme="2" tint="-0.09996999800205231"/>
      <name val="Calibri"/>
      <family val="2"/>
    </font>
    <font>
      <sz val="11"/>
      <color rgb="FF0000CC"/>
      <name val="Calibri"/>
      <family val="2"/>
    </font>
    <font>
      <b/>
      <sz val="11"/>
      <color theme="2" tint="-0.09996999800205231"/>
      <name val="Calibri"/>
      <family val="2"/>
    </font>
    <font>
      <sz val="11"/>
      <color theme="0" tint="-0.1499900072813034"/>
      <name val="Calibri"/>
      <family val="2"/>
    </font>
    <font>
      <b/>
      <u val="single"/>
      <sz val="11"/>
      <color theme="1"/>
      <name val="Calibri"/>
      <family val="2"/>
    </font>
    <font>
      <i/>
      <u val="single"/>
      <sz val="11"/>
      <color theme="1"/>
      <name val="Calibri"/>
      <family val="2"/>
    </font>
    <font>
      <b/>
      <sz val="11"/>
      <color theme="0" tint="-0.1499900072813034"/>
      <name val="Calibri"/>
      <family val="2"/>
    </font>
    <font>
      <b/>
      <sz val="11"/>
      <color theme="0" tint="-0.04997999966144562"/>
      <name val="Calibri"/>
      <family val="2"/>
    </font>
    <font>
      <sz val="11"/>
      <color theme="0" tint="-0.04997999966144562"/>
      <name val="Calibri"/>
      <family val="2"/>
    </font>
    <font>
      <b/>
      <i/>
      <u val="single"/>
      <sz val="11"/>
      <color theme="1"/>
      <name val="Calibri"/>
      <family val="2"/>
    </font>
    <font>
      <b/>
      <sz val="11"/>
      <color rgb="FF3366FF"/>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12"/>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00B050"/>
        <bgColor indexed="64"/>
      </patternFill>
    </fill>
    <fill>
      <patternFill patternType="solid">
        <fgColor rgb="FFFF0000"/>
        <bgColor indexed="64"/>
      </patternFill>
    </fill>
  </fills>
  <borders count="2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tted"/>
      <bottom style="dotted"/>
    </border>
    <border>
      <left style="thin"/>
      <right style="thin"/>
      <top style="medium"/>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style="thin"/>
      <top>
        <color indexed="63"/>
      </top>
      <bottom style="thin"/>
    </border>
    <border>
      <left style="thin"/>
      <right style="thin"/>
      <top style="thin"/>
      <bottom style="dotted"/>
    </border>
    <border>
      <left style="thin"/>
      <right>
        <color indexed="63"/>
      </right>
      <top style="dotted"/>
      <bottom style="dotted"/>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medium"/>
    </border>
    <border>
      <left style="thin"/>
      <right style="thin"/>
      <top style="thin"/>
      <bottom style="medium">
        <color indexed="12"/>
      </bottom>
    </border>
    <border>
      <left>
        <color indexed="63"/>
      </left>
      <right style="thick">
        <color indexed="12"/>
      </right>
      <top style="thick">
        <color indexed="12"/>
      </top>
      <bottom>
        <color indexed="63"/>
      </bottom>
    </border>
    <border>
      <left>
        <color indexed="63"/>
      </left>
      <right>
        <color indexed="63"/>
      </right>
      <top style="dotted"/>
      <bottom style="dotted"/>
    </border>
    <border>
      <left>
        <color indexed="63"/>
      </left>
      <right style="thin"/>
      <top style="medium"/>
      <bottom style="thin"/>
    </border>
    <border>
      <left>
        <color indexed="63"/>
      </left>
      <right style="thin"/>
      <top style="thin"/>
      <bottom>
        <color indexed="63"/>
      </bottom>
    </border>
    <border>
      <left style="thin"/>
      <right style="thin"/>
      <top style="dotted"/>
      <bottom>
        <color indexed="63"/>
      </bottom>
    </border>
    <border>
      <left>
        <color indexed="63"/>
      </left>
      <right style="thin"/>
      <top style="thick">
        <color indexed="12"/>
      </top>
      <bottom style="thick">
        <color indexed="12"/>
      </bottom>
    </border>
    <border>
      <left style="thin"/>
      <right style="thin"/>
      <top style="thick">
        <color indexed="12"/>
      </top>
      <bottom style="thick">
        <color indexed="12"/>
      </bottom>
    </border>
    <border>
      <left>
        <color indexed="63"/>
      </left>
      <right>
        <color indexed="63"/>
      </right>
      <top style="thick">
        <color indexed="12"/>
      </top>
      <bottom style="thick">
        <color indexed="12"/>
      </bottom>
    </border>
    <border>
      <left style="hair"/>
      <right style="hair"/>
      <top style="hair"/>
      <bottom style="hair"/>
    </border>
    <border>
      <left style="hair"/>
      <right style="thick"/>
      <top style="hair"/>
      <bottom style="hair"/>
    </border>
    <border>
      <left style="thin"/>
      <right style="hair"/>
      <top style="hair"/>
      <bottom>
        <color indexed="63"/>
      </bottom>
    </border>
    <border>
      <left style="hair"/>
      <right style="hair"/>
      <top style="hair"/>
      <bottom>
        <color indexed="63"/>
      </bottom>
    </border>
    <border>
      <left style="hair"/>
      <right style="thick"/>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ck"/>
      <top style="hair"/>
      <bottom style="thin"/>
    </border>
    <border>
      <left style="thin"/>
      <right>
        <color indexed="63"/>
      </right>
      <top style="hair"/>
      <bottom style="thin"/>
    </border>
    <border>
      <left style="hair"/>
      <right>
        <color indexed="63"/>
      </right>
      <top style="hair"/>
      <bottom style="thin"/>
    </border>
    <border>
      <left style="hair"/>
      <right style="thin"/>
      <top style="hair"/>
      <bottom style="thin"/>
    </border>
    <border>
      <left style="hair"/>
      <right style="thin"/>
      <top style="hair"/>
      <bottom>
        <color indexed="63"/>
      </bottom>
    </border>
    <border>
      <left>
        <color indexed="63"/>
      </left>
      <right>
        <color indexed="63"/>
      </right>
      <top style="thick">
        <color indexed="30"/>
      </top>
      <bottom style="thin"/>
    </border>
    <border>
      <left style="thin"/>
      <right style="thick">
        <color indexed="30"/>
      </right>
      <top style="thin"/>
      <bottom>
        <color indexed="63"/>
      </bottom>
    </border>
    <border>
      <left style="thick">
        <color indexed="30"/>
      </left>
      <right style="thin"/>
      <top style="thin"/>
      <bottom style="thin"/>
    </border>
    <border>
      <left style="thin"/>
      <right style="thick">
        <color indexed="30"/>
      </right>
      <top style="thin"/>
      <bottom style="thin"/>
    </border>
    <border>
      <left style="thick">
        <color indexed="30"/>
      </left>
      <right>
        <color indexed="63"/>
      </right>
      <top style="thin"/>
      <bottom style="thin"/>
    </border>
    <border>
      <left>
        <color indexed="63"/>
      </left>
      <right style="thick">
        <color indexed="30"/>
      </right>
      <top style="thin"/>
      <bottom style="thin"/>
    </border>
    <border>
      <left>
        <color indexed="63"/>
      </left>
      <right style="thick">
        <color indexed="30"/>
      </right>
      <top style="thin"/>
      <bottom>
        <color indexed="63"/>
      </bottom>
    </border>
    <border>
      <left style="thick">
        <color indexed="30"/>
      </left>
      <right style="thin"/>
      <top>
        <color indexed="63"/>
      </top>
      <bottom>
        <color indexed="63"/>
      </bottom>
    </border>
    <border>
      <left style="thick">
        <color indexed="30"/>
      </left>
      <right style="thin"/>
      <top>
        <color indexed="63"/>
      </top>
      <bottom style="thin"/>
    </border>
    <border>
      <left>
        <color indexed="63"/>
      </left>
      <right style="thick">
        <color indexed="30"/>
      </right>
      <top>
        <color indexed="63"/>
      </top>
      <bottom style="thin"/>
    </border>
    <border>
      <left style="thin"/>
      <right style="thick">
        <color indexed="30"/>
      </right>
      <top>
        <color indexed="63"/>
      </top>
      <bottom style="thin"/>
    </border>
    <border>
      <left style="thick">
        <color indexed="30"/>
      </left>
      <right style="thin"/>
      <top style="thin"/>
      <bottom style="medium">
        <color indexed="12"/>
      </bottom>
    </border>
    <border>
      <left>
        <color indexed="63"/>
      </left>
      <right style="thick">
        <color indexed="30"/>
      </right>
      <top>
        <color indexed="63"/>
      </top>
      <bottom>
        <color indexed="63"/>
      </bottom>
    </border>
    <border>
      <left style="thin"/>
      <right style="thick">
        <color indexed="30"/>
      </right>
      <top>
        <color indexed="63"/>
      </top>
      <bottom>
        <color indexed="63"/>
      </bottom>
    </border>
    <border>
      <left style="thick">
        <color indexed="30"/>
      </left>
      <right style="thin"/>
      <top style="thin"/>
      <bottom>
        <color indexed="63"/>
      </bottom>
    </border>
    <border>
      <left style="thin"/>
      <right style="thick">
        <color indexed="30"/>
      </right>
      <top style="dotted"/>
      <bottom style="dotted"/>
    </border>
    <border>
      <left style="thick">
        <color indexed="30"/>
      </left>
      <right>
        <color indexed="63"/>
      </right>
      <top style="medium"/>
      <bottom style="thin"/>
    </border>
    <border>
      <left style="thin"/>
      <right style="thick">
        <color indexed="30"/>
      </right>
      <top style="medium"/>
      <bottom style="thin"/>
    </border>
    <border>
      <left style="thick">
        <color indexed="30"/>
      </left>
      <right>
        <color indexed="63"/>
      </right>
      <top style="thin"/>
      <bottom>
        <color indexed="63"/>
      </bottom>
    </border>
    <border>
      <left style="thick">
        <color indexed="30"/>
      </left>
      <right>
        <color indexed="63"/>
      </right>
      <top>
        <color indexed="63"/>
      </top>
      <bottom style="medium"/>
    </border>
    <border>
      <left style="thin"/>
      <right style="thick">
        <color indexed="30"/>
      </right>
      <top style="thin"/>
      <bottom style="medium"/>
    </border>
    <border>
      <left style="thick">
        <color indexed="30"/>
      </left>
      <right>
        <color indexed="63"/>
      </right>
      <top>
        <color indexed="63"/>
      </top>
      <bottom>
        <color indexed="63"/>
      </bottom>
    </border>
    <border>
      <left style="thick">
        <color indexed="30"/>
      </left>
      <right>
        <color indexed="63"/>
      </right>
      <top style="medium"/>
      <bottom>
        <color indexed="63"/>
      </bottom>
    </border>
    <border>
      <left style="thick">
        <color indexed="30"/>
      </left>
      <right>
        <color indexed="63"/>
      </right>
      <top>
        <color indexed="63"/>
      </top>
      <bottom style="thin"/>
    </border>
    <border>
      <left style="thin"/>
      <right style="thick">
        <color indexed="30"/>
      </right>
      <top style="thin"/>
      <bottom style="dotted"/>
    </border>
    <border>
      <left style="thick">
        <color indexed="30"/>
      </left>
      <right>
        <color indexed="63"/>
      </right>
      <top style="thick">
        <color indexed="12"/>
      </top>
      <bottom style="thick">
        <color indexed="12"/>
      </bottom>
    </border>
    <border>
      <left style="thin"/>
      <right style="thick">
        <color indexed="30"/>
      </right>
      <top style="thick">
        <color indexed="12"/>
      </top>
      <bottom style="thick">
        <color indexed="12"/>
      </bottom>
    </border>
    <border>
      <left style="hair"/>
      <right>
        <color indexed="63"/>
      </right>
      <top style="hair"/>
      <bottom>
        <color indexed="63"/>
      </bottom>
    </border>
    <border>
      <left style="thin"/>
      <right style="thin"/>
      <top style="hair"/>
      <bottom>
        <color indexed="63"/>
      </bottom>
    </border>
    <border>
      <left style="thin"/>
      <right style="thin"/>
      <top>
        <color indexed="63"/>
      </top>
      <bottom style="hair"/>
    </border>
    <border>
      <left style="thick">
        <color indexed="30"/>
      </left>
      <right style="thin"/>
      <top>
        <color indexed="63"/>
      </top>
      <bottom style="thin">
        <color indexed="30"/>
      </bottom>
    </border>
    <border>
      <left style="thick">
        <color indexed="30"/>
      </left>
      <right style="thin"/>
      <top style="thin">
        <color indexed="30"/>
      </top>
      <bottom>
        <color indexed="63"/>
      </bottom>
    </border>
    <border>
      <left>
        <color indexed="63"/>
      </left>
      <right>
        <color indexed="63"/>
      </right>
      <top>
        <color indexed="63"/>
      </top>
      <bottom style="thick">
        <color indexed="12"/>
      </bottom>
    </border>
    <border>
      <left style="thick">
        <color indexed="30"/>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ck">
        <color indexed="30"/>
      </right>
      <top style="double"/>
      <bottom>
        <color indexed="63"/>
      </bottom>
    </border>
    <border>
      <left style="thin"/>
      <right>
        <color indexed="63"/>
      </right>
      <top>
        <color indexed="63"/>
      </top>
      <bottom>
        <color indexed="63"/>
      </bottom>
    </border>
    <border>
      <left style="thin"/>
      <right>
        <color indexed="63"/>
      </right>
      <top style="thick">
        <color indexed="30"/>
      </top>
      <bottom style="thin"/>
    </border>
    <border>
      <left>
        <color indexed="63"/>
      </left>
      <right style="thin"/>
      <top style="thick">
        <color indexed="30"/>
      </top>
      <bottom style="thin"/>
    </border>
    <border>
      <left style="thick">
        <color indexed="30"/>
      </left>
      <right style="thin"/>
      <top style="thick">
        <color indexed="30"/>
      </top>
      <bottom>
        <color indexed="63"/>
      </bottom>
    </border>
    <border>
      <left style="thin"/>
      <right style="thin"/>
      <top style="thick">
        <color indexed="30"/>
      </top>
      <bottom>
        <color indexed="63"/>
      </bottom>
    </border>
    <border>
      <left style="thick">
        <color indexed="12"/>
      </left>
      <right style="thin"/>
      <top style="thick">
        <color indexed="12"/>
      </top>
      <bottom>
        <color indexed="63"/>
      </bottom>
    </border>
    <border>
      <left style="thin"/>
      <right style="thin"/>
      <top style="thick">
        <color indexed="12"/>
      </top>
      <bottom>
        <color indexed="63"/>
      </bottom>
    </border>
    <border>
      <left style="thin"/>
      <right>
        <color indexed="63"/>
      </right>
      <top style="thick">
        <color indexed="12"/>
      </top>
      <bottom>
        <color indexed="63"/>
      </bottom>
    </border>
    <border>
      <left>
        <color indexed="63"/>
      </left>
      <right>
        <color indexed="63"/>
      </right>
      <top style="thick">
        <color indexed="12"/>
      </top>
      <bottom>
        <color indexed="63"/>
      </bottom>
    </border>
    <border>
      <left style="thin"/>
      <right style="thin"/>
      <top style="medium"/>
      <bottom>
        <color indexed="63"/>
      </bottom>
    </border>
    <border>
      <left style="thin"/>
      <right style="thin"/>
      <top>
        <color indexed="63"/>
      </top>
      <bottom style="medium"/>
    </border>
    <border>
      <left style="thin"/>
      <right style="thick">
        <color indexed="30"/>
      </right>
      <top style="medium"/>
      <bottom>
        <color indexed="63"/>
      </bottom>
    </border>
    <border>
      <left style="thin"/>
      <right style="thick">
        <color indexed="30"/>
      </right>
      <top>
        <color indexed="63"/>
      </top>
      <bottom style="medium"/>
    </border>
    <border>
      <left>
        <color indexed="63"/>
      </left>
      <right style="thick">
        <color indexed="30"/>
      </right>
      <top style="thick">
        <color indexed="30"/>
      </top>
      <bottom style="thin"/>
    </border>
    <border>
      <left style="thin"/>
      <right>
        <color indexed="63"/>
      </right>
      <top style="thin"/>
      <bottom style="thin"/>
    </border>
    <border>
      <left>
        <color indexed="63"/>
      </left>
      <right style="thin"/>
      <top style="thin"/>
      <bottom style="thin"/>
    </border>
    <border>
      <left style="thick">
        <color indexed="30"/>
      </left>
      <right style="thin">
        <color indexed="30"/>
      </right>
      <top style="thick">
        <color indexed="30"/>
      </top>
      <bottom style="thin">
        <color indexed="30"/>
      </bottom>
    </border>
    <border>
      <left style="thin">
        <color indexed="30"/>
      </left>
      <right style="thin">
        <color indexed="30"/>
      </right>
      <top style="thick">
        <color indexed="30"/>
      </top>
      <bottom style="thin">
        <color indexed="30"/>
      </bottom>
    </border>
    <border>
      <left style="thin">
        <color indexed="30"/>
      </left>
      <right style="thick">
        <color indexed="30"/>
      </right>
      <top style="thick">
        <color indexed="30"/>
      </top>
      <bottom style="thin">
        <color indexed="30"/>
      </bottom>
    </border>
    <border>
      <left style="thick">
        <color indexed="30"/>
      </left>
      <right style="thin">
        <color indexed="30"/>
      </right>
      <top style="thin">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hair"/>
      <right style="hair"/>
      <top style="thin"/>
      <bottom style="hair"/>
    </border>
    <border>
      <left style="hair"/>
      <right style="hair"/>
      <top>
        <color indexed="63"/>
      </top>
      <bottom>
        <color indexed="63"/>
      </bottom>
    </border>
    <border>
      <left style="thin"/>
      <right style="thin"/>
      <top>
        <color indexed="63"/>
      </top>
      <bottom style="dotted"/>
    </border>
    <border>
      <left style="thin"/>
      <right style="thick">
        <color indexed="30"/>
      </right>
      <top>
        <color indexed="63"/>
      </top>
      <bottom style="dotted"/>
    </border>
    <border>
      <left style="thin"/>
      <right style="thin"/>
      <top style="dotted"/>
      <bottom style="thin"/>
    </border>
    <border>
      <left style="thin"/>
      <right style="thick">
        <color indexed="30"/>
      </right>
      <top style="dotted"/>
      <bottom style="thin"/>
    </border>
    <border>
      <left style="thin"/>
      <right>
        <color indexed="63"/>
      </right>
      <top style="medium"/>
      <bottom style="thin"/>
    </border>
    <border>
      <left style="thin"/>
      <right>
        <color indexed="63"/>
      </right>
      <top>
        <color indexed="63"/>
      </top>
      <bottom style="thin"/>
    </border>
    <border>
      <left style="thin">
        <color indexed="30"/>
      </left>
      <right style="thin"/>
      <top style="thin">
        <color indexed="30"/>
      </top>
      <bottom style="thin">
        <color indexed="30"/>
      </bottom>
    </border>
    <border>
      <left style="thin"/>
      <right style="thin"/>
      <top style="thin">
        <color indexed="30"/>
      </top>
      <bottom style="thin">
        <color indexed="30"/>
      </bottom>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thin"/>
    </border>
    <border>
      <left style="thin"/>
      <right style="double"/>
      <top style="hair"/>
      <bottom style="thin"/>
    </border>
    <border>
      <left>
        <color indexed="63"/>
      </left>
      <right style="thin"/>
      <top style="hair"/>
      <bottom style="thin"/>
    </border>
    <border>
      <left style="thick"/>
      <right style="thin"/>
      <top style="thin"/>
      <bottom style="thin"/>
    </border>
    <border>
      <left style="double"/>
      <right style="thin"/>
      <top style="thin"/>
      <bottom style="thin"/>
    </border>
    <border>
      <left style="thin"/>
      <right style="double"/>
      <top style="thin"/>
      <bottom style="thin"/>
    </border>
    <border>
      <left style="thin"/>
      <right style="thin"/>
      <top style="thin">
        <color indexed="30"/>
      </top>
      <bottom style="hair"/>
    </border>
    <border>
      <left style="double"/>
      <right style="thin"/>
      <top style="hair"/>
      <bottom>
        <color indexed="63"/>
      </bottom>
    </border>
    <border>
      <left style="thin"/>
      <right style="double"/>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ck"/>
      <top style="hair"/>
      <bottom style="thin"/>
    </border>
    <border>
      <left style="thin"/>
      <right style="thick"/>
      <top style="hair"/>
      <bottom style="hair"/>
    </border>
    <border>
      <left style="double"/>
      <right style="double"/>
      <top style="thin"/>
      <bottom style="thin"/>
    </border>
    <border>
      <left style="thin"/>
      <right style="thick"/>
      <top style="thin"/>
      <bottom style="thin"/>
    </border>
    <border>
      <left style="double"/>
      <right style="thin"/>
      <top>
        <color indexed="63"/>
      </top>
      <bottom style="hair"/>
    </border>
    <border>
      <left style="thin"/>
      <right style="double"/>
      <top>
        <color indexed="63"/>
      </top>
      <bottom style="hair"/>
    </border>
    <border>
      <left>
        <color indexed="63"/>
      </left>
      <right style="thin"/>
      <top>
        <color indexed="63"/>
      </top>
      <bottom style="hair"/>
    </border>
    <border>
      <left>
        <color indexed="63"/>
      </left>
      <right style="thin"/>
      <top style="thin">
        <color indexed="30"/>
      </top>
      <bottom style="hair"/>
    </border>
    <border>
      <left style="thin"/>
      <right style="double"/>
      <top style="thin">
        <color indexed="30"/>
      </top>
      <bottom style="hair"/>
    </border>
    <border>
      <left style="double"/>
      <right style="thin"/>
      <top style="thin">
        <color indexed="30"/>
      </top>
      <bottom style="hair"/>
    </border>
    <border>
      <left style="thick"/>
      <right style="thin"/>
      <top>
        <color indexed="63"/>
      </top>
      <bottom>
        <color indexed="63"/>
      </bottom>
    </border>
    <border>
      <left style="thick"/>
      <right style="thin"/>
      <top>
        <color indexed="63"/>
      </top>
      <bottom style="thin"/>
    </border>
    <border>
      <left style="thin"/>
      <right style="thick"/>
      <top style="thin"/>
      <bottom>
        <color indexed="63"/>
      </bottom>
    </border>
    <border>
      <left style="thin"/>
      <right style="thick"/>
      <top style="hair"/>
      <bottom>
        <color indexed="63"/>
      </bottom>
    </border>
    <border>
      <left>
        <color indexed="63"/>
      </left>
      <right style="thin"/>
      <top style="thin"/>
      <bottom style="hair"/>
    </border>
    <border>
      <left style="thin"/>
      <right>
        <color indexed="63"/>
      </right>
      <top style="thin"/>
      <bottom style="hair"/>
    </border>
    <border>
      <left>
        <color indexed="63"/>
      </left>
      <right>
        <color indexed="63"/>
      </right>
      <top>
        <color indexed="63"/>
      </top>
      <bottom style="hair">
        <color indexed="30"/>
      </bottom>
    </border>
    <border>
      <left>
        <color indexed="63"/>
      </left>
      <right>
        <color indexed="63"/>
      </right>
      <top>
        <color indexed="63"/>
      </top>
      <bottom style="hair"/>
    </border>
    <border>
      <left>
        <color indexed="63"/>
      </left>
      <right style="thick"/>
      <top style="thin"/>
      <bottom style="thin"/>
    </border>
    <border>
      <left style="thin"/>
      <right style="thick"/>
      <top style="thin"/>
      <bottom style="hair"/>
    </border>
    <border>
      <left style="thin"/>
      <right>
        <color indexed="63"/>
      </right>
      <top style="hair"/>
      <bottom style="hair"/>
    </border>
    <border>
      <left style="double"/>
      <right style="double"/>
      <top style="hair"/>
      <bottom style="thin"/>
    </border>
    <border>
      <left style="double"/>
      <right style="double"/>
      <top style="thin"/>
      <bottom style="hair"/>
    </border>
    <border>
      <left style="thin"/>
      <right>
        <color indexed="63"/>
      </right>
      <top>
        <color indexed="63"/>
      </top>
      <bottom style="hair"/>
    </border>
    <border>
      <left style="double"/>
      <right style="double"/>
      <top style="hair"/>
      <bottom style="hair"/>
    </border>
    <border>
      <left>
        <color indexed="63"/>
      </left>
      <right style="thin"/>
      <top style="hair"/>
      <bottom style="hair"/>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thin">
        <color indexed="30"/>
      </top>
      <bottom style="hair"/>
    </border>
    <border>
      <left style="thin"/>
      <right style="thick"/>
      <top>
        <color indexed="63"/>
      </top>
      <bottom>
        <color indexed="63"/>
      </bottom>
    </border>
    <border>
      <left style="thin"/>
      <right style="thick"/>
      <top>
        <color indexed="63"/>
      </top>
      <bottom style="hair"/>
    </border>
    <border>
      <left>
        <color indexed="63"/>
      </left>
      <right style="thin"/>
      <top style="thin"/>
      <bottom style="double"/>
    </border>
    <border>
      <left style="thick"/>
      <right style="thin"/>
      <top style="thin"/>
      <bottom>
        <color indexed="63"/>
      </bottom>
    </border>
    <border>
      <left>
        <color indexed="63"/>
      </left>
      <right>
        <color indexed="63"/>
      </right>
      <top style="hair">
        <color indexed="30"/>
      </top>
      <bottom style="hair">
        <color indexed="30"/>
      </bottom>
    </border>
    <border>
      <left>
        <color indexed="63"/>
      </left>
      <right>
        <color indexed="63"/>
      </right>
      <top style="hair">
        <color indexed="30"/>
      </top>
      <bottom>
        <color indexed="63"/>
      </bottom>
    </border>
    <border>
      <left style="thin"/>
      <right style="thick"/>
      <top style="thin">
        <color indexed="30"/>
      </top>
      <bottom style="hair"/>
    </border>
    <border>
      <left style="thick"/>
      <right style="thin"/>
      <top style="thin"/>
      <bottom style="medium">
        <color indexed="12"/>
      </bottom>
    </border>
    <border>
      <left style="thin"/>
      <right>
        <color indexed="63"/>
      </right>
      <top style="thin"/>
      <bottom style="double"/>
    </border>
    <border>
      <left style="thin"/>
      <right style="thick"/>
      <top style="thin"/>
      <bottom style="double"/>
    </border>
    <border>
      <left>
        <color indexed="63"/>
      </left>
      <right>
        <color indexed="63"/>
      </right>
      <top style="thin"/>
      <bottom style="hair"/>
    </border>
    <border>
      <left>
        <color indexed="63"/>
      </left>
      <right style="thick"/>
      <top>
        <color indexed="63"/>
      </top>
      <bottom>
        <color indexed="63"/>
      </bottom>
    </border>
    <border>
      <left style="double"/>
      <right style="double"/>
      <top>
        <color indexed="63"/>
      </top>
      <bottom style="hair"/>
    </border>
    <border>
      <left style="double"/>
      <right style="double"/>
      <top style="hair"/>
      <bottom>
        <color indexed="63"/>
      </bottom>
    </border>
    <border>
      <left style="thin"/>
      <right style="thin"/>
      <top style="thick"/>
      <bottom style="thick"/>
    </border>
    <border>
      <left>
        <color indexed="63"/>
      </left>
      <right>
        <color indexed="63"/>
      </right>
      <top style="double"/>
      <bottom style="thin"/>
    </border>
    <border>
      <left style="double"/>
      <right style="thin"/>
      <top>
        <color indexed="63"/>
      </top>
      <bottom style="thin"/>
    </border>
    <border>
      <left style="thin"/>
      <right style="double"/>
      <top>
        <color indexed="63"/>
      </top>
      <bottom style="thin"/>
    </border>
    <border>
      <left style="thin"/>
      <right style="double"/>
      <top style="thick"/>
      <bottom style="thick"/>
    </border>
    <border>
      <left style="double"/>
      <right style="thin"/>
      <top>
        <color indexed="63"/>
      </top>
      <bottom>
        <color indexed="63"/>
      </bottom>
    </border>
    <border>
      <left style="thin"/>
      <right style="double"/>
      <top>
        <color indexed="63"/>
      </top>
      <bottom>
        <color indexed="63"/>
      </bottom>
    </border>
    <border>
      <left style="thin"/>
      <right style="double"/>
      <top style="thin"/>
      <bottom style="thick"/>
    </border>
    <border>
      <left>
        <color indexed="63"/>
      </left>
      <right style="thick"/>
      <top style="thin"/>
      <bottom style="hair"/>
    </border>
    <border>
      <left style="double"/>
      <right style="thin"/>
      <top style="thin"/>
      <bottom>
        <color indexed="63"/>
      </bottom>
    </border>
    <border>
      <left style="thin"/>
      <right style="double"/>
      <top style="thin"/>
      <bottom>
        <color indexed="63"/>
      </bottom>
    </border>
    <border>
      <left>
        <color indexed="63"/>
      </left>
      <right style="thin"/>
      <top style="hair"/>
      <bottom style="dotted"/>
    </border>
    <border>
      <left style="thin"/>
      <right style="thin"/>
      <top style="hair"/>
      <bottom style="dotted"/>
    </border>
    <border>
      <left style="thick">
        <color indexed="8"/>
      </left>
      <right>
        <color indexed="63"/>
      </right>
      <top>
        <color indexed="63"/>
      </top>
      <bottom>
        <color indexed="63"/>
      </bottom>
    </border>
    <border>
      <left style="thin"/>
      <right>
        <color indexed="63"/>
      </right>
      <top style="thin"/>
      <bottom>
        <color indexed="63"/>
      </bottom>
    </border>
    <border>
      <left style="double"/>
      <right>
        <color indexed="63"/>
      </right>
      <top style="thin"/>
      <bottom style="thin"/>
    </border>
    <border>
      <left>
        <color indexed="63"/>
      </left>
      <right style="double"/>
      <top style="thin"/>
      <bottom style="thin"/>
    </border>
    <border>
      <left>
        <color indexed="63"/>
      </left>
      <right style="double"/>
      <top style="hair"/>
      <bottom>
        <color indexed="63"/>
      </bottom>
    </border>
    <border>
      <left style="thin"/>
      <right style="thick"/>
      <top>
        <color indexed="63"/>
      </top>
      <bottom style="thin"/>
    </border>
    <border>
      <left style="thick"/>
      <right style="thin"/>
      <top style="thin"/>
      <bottom style="thick"/>
    </border>
    <border>
      <left style="thin"/>
      <right style="thin"/>
      <top style="thin"/>
      <bottom style="thick"/>
    </border>
    <border>
      <left style="double"/>
      <right style="thin"/>
      <top style="thin"/>
      <bottom style="thick"/>
    </border>
    <border>
      <left style="thin"/>
      <right style="thick"/>
      <top style="thin"/>
      <bottom style="thick"/>
    </border>
    <border>
      <left style="thin"/>
      <right style="double"/>
      <top style="thin"/>
      <bottom style="medium"/>
    </border>
    <border>
      <left style="double"/>
      <right style="thin"/>
      <top style="thin"/>
      <bottom style="medium"/>
    </border>
    <border>
      <left style="thin"/>
      <right>
        <color indexed="63"/>
      </right>
      <top style="thin"/>
      <bottom style="medium"/>
    </border>
    <border>
      <left style="thin"/>
      <right>
        <color indexed="63"/>
      </right>
      <top style="thin"/>
      <bottom style="thick"/>
    </border>
    <border>
      <left>
        <color indexed="63"/>
      </left>
      <right style="thin"/>
      <top style="thin"/>
      <bottom style="thick"/>
    </border>
    <border>
      <left>
        <color indexed="63"/>
      </left>
      <right>
        <color indexed="63"/>
      </right>
      <top style="hair"/>
      <bottom style="thin"/>
    </border>
    <border>
      <left>
        <color indexed="63"/>
      </left>
      <right>
        <color indexed="63"/>
      </right>
      <top style="thin"/>
      <bottom style="double"/>
    </border>
    <border>
      <left style="double"/>
      <right style="thick"/>
      <top style="thin"/>
      <bottom style="thin"/>
    </border>
    <border>
      <left style="double"/>
      <right style="thin"/>
      <top style="hair"/>
      <bottom style="thick"/>
    </border>
    <border>
      <left style="thin"/>
      <right style="thin"/>
      <top style="hair"/>
      <bottom style="thick"/>
    </border>
    <border>
      <left style="thin"/>
      <right style="double"/>
      <top style="hair"/>
      <bottom style="thick"/>
    </border>
    <border>
      <left>
        <color indexed="63"/>
      </left>
      <right style="thin"/>
      <top style="hair"/>
      <bottom style="thick"/>
    </border>
    <border>
      <left style="thin"/>
      <right style="thin"/>
      <top style="thick">
        <color indexed="8"/>
      </top>
      <bottom style="thick"/>
    </border>
    <border>
      <left style="thin"/>
      <right style="double"/>
      <top style="thick">
        <color indexed="8"/>
      </top>
      <bottom style="thick"/>
    </border>
    <border>
      <left style="double"/>
      <right style="thin"/>
      <top style="thick">
        <color indexed="8"/>
      </top>
      <bottom style="thick"/>
    </border>
    <border>
      <left style="thin"/>
      <right>
        <color indexed="63"/>
      </right>
      <top style="thick">
        <color indexed="8"/>
      </top>
      <bottom style="thick"/>
    </border>
    <border>
      <left>
        <color indexed="63"/>
      </left>
      <right style="thin"/>
      <top style="thick">
        <color indexed="8"/>
      </top>
      <bottom style="thick"/>
    </border>
    <border>
      <left style="thin"/>
      <right style="thick"/>
      <top style="thick"/>
      <bottom style="thick"/>
    </border>
    <border>
      <left style="thin"/>
      <right style="thick"/>
      <top style="thick">
        <color indexed="8"/>
      </top>
      <bottom style="thick"/>
    </border>
    <border>
      <left style="double"/>
      <right style="double"/>
      <top>
        <color indexed="63"/>
      </top>
      <bottom>
        <color indexed="63"/>
      </bottom>
    </border>
    <border>
      <left style="double"/>
      <right style="double"/>
      <top>
        <color indexed="63"/>
      </top>
      <bottom style="thin"/>
    </border>
    <border>
      <left style="double"/>
      <right style="double"/>
      <top style="thin"/>
      <bottom style="thick"/>
    </border>
    <border>
      <left style="thin"/>
      <right style="thin"/>
      <top style="hair"/>
      <bottom style="thick">
        <color indexed="8"/>
      </bottom>
    </border>
    <border>
      <left style="thin"/>
      <right style="double"/>
      <top style="hair"/>
      <bottom style="thick">
        <color indexed="8"/>
      </bottom>
    </border>
    <border>
      <left style="double"/>
      <right style="thin"/>
      <top style="hair"/>
      <bottom style="thick">
        <color indexed="8"/>
      </bottom>
    </border>
    <border>
      <left style="thin"/>
      <right style="thick"/>
      <top style="hair"/>
      <bottom style="thick">
        <color indexed="8"/>
      </bottom>
    </border>
    <border>
      <left>
        <color indexed="63"/>
      </left>
      <right style="thick"/>
      <top style="double"/>
      <bottom style="thin"/>
    </border>
    <border>
      <left style="thin"/>
      <right>
        <color indexed="63"/>
      </right>
      <top style="double"/>
      <bottom style="thin"/>
    </border>
    <border>
      <left>
        <color indexed="63"/>
      </left>
      <right style="thin"/>
      <top style="double"/>
      <bottom style="thin"/>
    </border>
    <border>
      <left style="thin"/>
      <right style="thin"/>
      <top style="thin">
        <color indexed="30"/>
      </top>
      <bottom>
        <color indexed="63"/>
      </bottom>
    </border>
    <border>
      <left style="thin"/>
      <right>
        <color indexed="63"/>
      </right>
      <top style="thin">
        <color indexed="30"/>
      </top>
      <bottom>
        <color indexed="63"/>
      </bottom>
    </border>
    <border>
      <left>
        <color indexed="63"/>
      </left>
      <right style="thick"/>
      <top>
        <color indexed="63"/>
      </top>
      <bottom style="thin"/>
    </border>
    <border>
      <left style="thin"/>
      <right>
        <color indexed="63"/>
      </right>
      <top style="hair"/>
      <bottom style="thick"/>
    </border>
    <border>
      <left style="thin"/>
      <right style="thin"/>
      <top style="double"/>
      <bottom style="thin"/>
    </border>
    <border>
      <left style="thin"/>
      <right style="thin"/>
      <top style="thick"/>
      <bottom>
        <color indexed="63"/>
      </bottom>
    </border>
    <border>
      <left style="thick"/>
      <right>
        <color indexed="63"/>
      </right>
      <top style="thin"/>
      <bottom style="thin"/>
    </border>
    <border>
      <left style="thin"/>
      <right style="thin"/>
      <top style="thick"/>
      <bottom style="thin"/>
    </border>
    <border>
      <left style="thick"/>
      <right style="thin"/>
      <top style="thick"/>
      <bottom style="thin"/>
    </border>
    <border>
      <left>
        <color indexed="63"/>
      </left>
      <right style="double"/>
      <top>
        <color indexed="63"/>
      </top>
      <bottom>
        <color indexed="63"/>
      </bottom>
    </border>
    <border>
      <left style="double"/>
      <right style="double"/>
      <top style="double"/>
      <bottom style="thin"/>
    </border>
    <border>
      <left style="thin"/>
      <right style="thick"/>
      <top style="thick"/>
      <bottom style="thin"/>
    </border>
    <border>
      <left style="double"/>
      <right style="thin"/>
      <top style="double"/>
      <bottom style="thin"/>
    </border>
    <border>
      <left>
        <color indexed="63"/>
      </left>
      <right style="thin"/>
      <top style="thick"/>
      <bottom style="thin"/>
    </border>
    <border>
      <left style="thick"/>
      <right>
        <color indexed="63"/>
      </right>
      <top>
        <color indexed="63"/>
      </top>
      <bottom style="thin"/>
    </border>
    <border>
      <left style="thin"/>
      <right>
        <color indexed="63"/>
      </right>
      <top style="thick"/>
      <bottom>
        <color indexed="63"/>
      </bottom>
    </border>
    <border>
      <left/>
      <right/>
      <top style="thick"/>
      <bottom/>
    </border>
    <border>
      <left>
        <color indexed="63"/>
      </left>
      <right style="thin"/>
      <top style="thick"/>
      <bottom>
        <color indexed="63"/>
      </bottom>
    </border>
    <border>
      <left style="thick"/>
      <right style="thin"/>
      <top style="thick"/>
      <bottom style="thick"/>
    </border>
    <border>
      <left style="thick"/>
      <right>
        <color indexed="63"/>
      </right>
      <top style="double"/>
      <bottom style="thin"/>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ck"/>
      <bottom>
        <color indexed="63"/>
      </bottom>
    </border>
    <border>
      <left style="thick"/>
      <right>
        <color indexed="63"/>
      </right>
      <top style="hair"/>
      <bottom style="hair"/>
    </border>
    <border>
      <left>
        <color indexed="63"/>
      </left>
      <right>
        <color indexed="63"/>
      </right>
      <top style="hair"/>
      <bottom style="hair"/>
    </border>
    <border>
      <left style="thick"/>
      <right>
        <color indexed="63"/>
      </right>
      <top style="hair"/>
      <bottom>
        <color indexed="63"/>
      </bottom>
    </border>
    <border>
      <left>
        <color indexed="63"/>
      </left>
      <right>
        <color indexed="63"/>
      </right>
      <top style="hair"/>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double"/>
      <right style="thin"/>
      <top style="thick"/>
      <bottom style="thin"/>
    </border>
    <border>
      <left style="thin"/>
      <right style="double"/>
      <top style="thick"/>
      <bottom style="thin"/>
    </border>
    <border>
      <left style="double"/>
      <right style="double"/>
      <top style="thick"/>
      <bottom style="thin"/>
    </border>
    <border>
      <left style="double"/>
      <right style="thick"/>
      <top style="thick"/>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2206">
    <xf numFmtId="0" fontId="0" fillId="0" borderId="0" xfId="0"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Alignment="1">
      <alignment horizontal="right"/>
    </xf>
    <xf numFmtId="0" fontId="3" fillId="0" borderId="0" xfId="0" applyFont="1" applyAlignment="1">
      <alignment/>
    </xf>
    <xf numFmtId="0" fontId="3" fillId="0" borderId="10" xfId="0"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xf>
    <xf numFmtId="0" fontId="9" fillId="0" borderId="0" xfId="0" applyFont="1" applyFill="1" applyBorder="1" applyAlignment="1">
      <alignment vertical="top"/>
    </xf>
    <xf numFmtId="0" fontId="3" fillId="0" borderId="10" xfId="0" applyFont="1" applyFill="1" applyBorder="1" applyAlignment="1">
      <alignment horizontal="justify" vertical="top" wrapText="1"/>
    </xf>
    <xf numFmtId="0" fontId="3" fillId="0" borderId="0" xfId="0" applyFont="1" applyAlignment="1">
      <alignment vertical="top" wrapText="1"/>
    </xf>
    <xf numFmtId="0" fontId="3" fillId="0" borderId="10" xfId="0" applyFont="1" applyFill="1" applyBorder="1" applyAlignment="1">
      <alignment horizontal="left" vertical="top" wrapText="1"/>
    </xf>
    <xf numFmtId="0" fontId="3" fillId="0" borderId="0" xfId="0" applyFont="1" applyFill="1" applyAlignment="1">
      <alignment vertical="top" wrapText="1"/>
    </xf>
    <xf numFmtId="0" fontId="7" fillId="0" borderId="0" xfId="0" applyFont="1" applyBorder="1" applyAlignment="1">
      <alignment/>
    </xf>
    <xf numFmtId="0" fontId="3" fillId="0" borderId="0" xfId="0" applyFont="1" applyBorder="1" applyAlignment="1">
      <alignment/>
    </xf>
    <xf numFmtId="0" fontId="7" fillId="0" borderId="10" xfId="0" applyFont="1" applyFill="1" applyBorder="1" applyAlignment="1">
      <alignment horizontal="left" vertical="top" wrapText="1"/>
    </xf>
    <xf numFmtId="0" fontId="3" fillId="0" borderId="11" xfId="0" applyFont="1" applyFill="1" applyBorder="1" applyAlignment="1">
      <alignment vertical="top"/>
    </xf>
    <xf numFmtId="0" fontId="3" fillId="0" borderId="0" xfId="0" applyFont="1" applyBorder="1" applyAlignment="1">
      <alignment horizontal="center"/>
    </xf>
    <xf numFmtId="0" fontId="3" fillId="0" borderId="0" xfId="0" applyFont="1" applyAlignment="1">
      <alignment horizontal="center"/>
    </xf>
    <xf numFmtId="0" fontId="3" fillId="33" borderId="10" xfId="0" applyFont="1" applyFill="1" applyBorder="1" applyAlignment="1">
      <alignment horizontal="left" vertical="top" wrapText="1"/>
    </xf>
    <xf numFmtId="164" fontId="3" fillId="33" borderId="10" xfId="42" applyNumberFormat="1" applyFont="1" applyFill="1" applyBorder="1" applyAlignment="1">
      <alignment horizontal="right" vertical="top" wrapText="1"/>
    </xf>
    <xf numFmtId="3" fontId="3" fillId="33" borderId="10" xfId="0" applyNumberFormat="1" applyFont="1" applyFill="1" applyBorder="1" applyAlignment="1">
      <alignment horizontal="center" vertical="top" wrapText="1"/>
    </xf>
    <xf numFmtId="164" fontId="7" fillId="33" borderId="10" xfId="42" applyNumberFormat="1" applyFont="1" applyFill="1" applyBorder="1" applyAlignment="1">
      <alignment horizontal="justify" vertical="top" wrapText="1"/>
    </xf>
    <xf numFmtId="164" fontId="3" fillId="33" borderId="10" xfId="42" applyNumberFormat="1" applyFont="1" applyFill="1" applyBorder="1" applyAlignment="1">
      <alignment horizontal="justify" vertical="top" wrapText="1"/>
    </xf>
    <xf numFmtId="3" fontId="3" fillId="33" borderId="12" xfId="0" applyNumberFormat="1" applyFont="1" applyFill="1" applyBorder="1" applyAlignment="1">
      <alignment horizontal="center" vertical="top" wrapText="1"/>
    </xf>
    <xf numFmtId="164" fontId="7" fillId="33" borderId="12" xfId="42" applyNumberFormat="1" applyFont="1" applyFill="1" applyBorder="1" applyAlignment="1">
      <alignment horizontal="justify" vertical="top" wrapText="1"/>
    </xf>
    <xf numFmtId="164" fontId="3" fillId="33" borderId="12" xfId="42" applyNumberFormat="1" applyFont="1" applyFill="1" applyBorder="1" applyAlignment="1">
      <alignment horizontal="justify" vertical="top" wrapText="1"/>
    </xf>
    <xf numFmtId="0" fontId="3" fillId="33" borderId="13" xfId="0" applyFont="1" applyFill="1" applyBorder="1" applyAlignment="1">
      <alignment horizontal="left" vertical="top" wrapText="1"/>
    </xf>
    <xf numFmtId="0" fontId="3" fillId="0" borderId="10" xfId="0" applyFont="1" applyFill="1" applyBorder="1" applyAlignment="1">
      <alignment vertical="top"/>
    </xf>
    <xf numFmtId="0" fontId="3" fillId="0" borderId="14" xfId="0" applyFont="1" applyFill="1" applyBorder="1" applyAlignment="1">
      <alignment horizontal="left" vertical="top" wrapText="1"/>
    </xf>
    <xf numFmtId="0" fontId="7" fillId="0" borderId="15" xfId="0" applyFont="1" applyBorder="1" applyAlignment="1">
      <alignment horizontal="center" vertical="top" wrapText="1"/>
    </xf>
    <xf numFmtId="0" fontId="3" fillId="34" borderId="0" xfId="0" applyFont="1" applyFill="1" applyAlignment="1">
      <alignment vertical="top" wrapText="1"/>
    </xf>
    <xf numFmtId="0" fontId="3" fillId="35" borderId="16" xfId="0" applyFont="1" applyFill="1" applyBorder="1" applyAlignment="1">
      <alignment vertical="top" wrapText="1"/>
    </xf>
    <xf numFmtId="0" fontId="3" fillId="35" borderId="16" xfId="0" applyFont="1" applyFill="1" applyBorder="1" applyAlignment="1">
      <alignment horizontal="left" vertical="top" wrapText="1"/>
    </xf>
    <xf numFmtId="3" fontId="3" fillId="35" borderId="16" xfId="0" applyNumberFormat="1" applyFont="1" applyFill="1" applyBorder="1" applyAlignment="1">
      <alignment horizontal="center" vertical="top" wrapText="1"/>
    </xf>
    <xf numFmtId="0" fontId="3" fillId="35" borderId="17" xfId="0" applyFont="1" applyFill="1" applyBorder="1" applyAlignment="1">
      <alignment vertical="top" wrapText="1"/>
    </xf>
    <xf numFmtId="0" fontId="3" fillId="35" borderId="17" xfId="0" applyFont="1" applyFill="1" applyBorder="1" applyAlignment="1">
      <alignment horizontal="left" vertical="top" wrapText="1"/>
    </xf>
    <xf numFmtId="3" fontId="3" fillId="35" borderId="17" xfId="0" applyNumberFormat="1" applyFont="1" applyFill="1" applyBorder="1" applyAlignment="1">
      <alignment horizontal="center" vertical="top" wrapText="1"/>
    </xf>
    <xf numFmtId="164" fontId="3" fillId="35" borderId="18" xfId="42" applyNumberFormat="1" applyFont="1" applyFill="1" applyBorder="1" applyAlignment="1">
      <alignment horizontal="center" vertical="center" wrapText="1"/>
    </xf>
    <xf numFmtId="164" fontId="3" fillId="33" borderId="13" xfId="42" applyNumberFormat="1" applyFont="1" applyFill="1" applyBorder="1" applyAlignment="1">
      <alignment horizontal="justify" vertical="top" wrapText="1"/>
    </xf>
    <xf numFmtId="0" fontId="3" fillId="33" borderId="11" xfId="0" applyFont="1" applyFill="1" applyBorder="1" applyAlignment="1">
      <alignment horizontal="center" vertical="center" wrapText="1"/>
    </xf>
    <xf numFmtId="164" fontId="3" fillId="33" borderId="11" xfId="42"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164" fontId="3" fillId="33" borderId="19" xfId="42" applyNumberFormat="1" applyFont="1" applyFill="1" applyBorder="1" applyAlignment="1">
      <alignment horizontal="center" vertical="center" wrapText="1"/>
    </xf>
    <xf numFmtId="3" fontId="7" fillId="33" borderId="10" xfId="0" applyNumberFormat="1" applyFont="1" applyFill="1" applyBorder="1" applyAlignment="1">
      <alignment horizontal="center"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22" xfId="0" applyFont="1" applyFill="1" applyBorder="1" applyAlignment="1">
      <alignment horizontal="left" vertical="top" wrapText="1"/>
    </xf>
    <xf numFmtId="3" fontId="3" fillId="33" borderId="22" xfId="0" applyNumberFormat="1" applyFont="1" applyFill="1" applyBorder="1" applyAlignment="1">
      <alignment horizontal="center" vertical="top" wrapText="1"/>
    </xf>
    <xf numFmtId="164" fontId="3" fillId="33" borderId="22" xfId="42" applyNumberFormat="1" applyFont="1" applyFill="1" applyBorder="1" applyAlignment="1">
      <alignment horizontal="right" vertical="top" wrapText="1"/>
    </xf>
    <xf numFmtId="0" fontId="3" fillId="0" borderId="10" xfId="0" applyFont="1" applyFill="1" applyBorder="1" applyAlignment="1">
      <alignment horizontal="left" vertical="top"/>
    </xf>
    <xf numFmtId="0" fontId="7" fillId="0" borderId="10" xfId="0" applyFont="1" applyFill="1" applyBorder="1" applyAlignment="1">
      <alignment horizontal="center" vertical="center" wrapText="1"/>
    </xf>
    <xf numFmtId="3" fontId="7" fillId="0" borderId="12" xfId="0" applyNumberFormat="1" applyFont="1" applyFill="1" applyBorder="1" applyAlignment="1">
      <alignment horizontal="center" vertical="top" wrapText="1"/>
    </xf>
    <xf numFmtId="0" fontId="7" fillId="0" borderId="12" xfId="0" applyFont="1" applyBorder="1" applyAlignment="1">
      <alignment horizontal="justify" vertical="top" wrapText="1"/>
    </xf>
    <xf numFmtId="0" fontId="3" fillId="0" borderId="0" xfId="0" applyFont="1" applyFill="1" applyBorder="1" applyAlignment="1">
      <alignment vertical="top" wrapText="1"/>
    </xf>
    <xf numFmtId="164" fontId="3" fillId="33" borderId="12" xfId="42" applyNumberFormat="1" applyFont="1" applyFill="1" applyBorder="1" applyAlignment="1">
      <alignment horizontal="right" vertical="top" wrapText="1"/>
    </xf>
    <xf numFmtId="0" fontId="3" fillId="34" borderId="10" xfId="0" applyFont="1" applyFill="1" applyBorder="1" applyAlignment="1">
      <alignment vertical="top" wrapText="1"/>
    </xf>
    <xf numFmtId="0" fontId="3" fillId="0" borderId="10" xfId="0" applyFont="1" applyFill="1" applyBorder="1" applyAlignment="1">
      <alignment horizontal="center" vertical="top" wrapText="1"/>
    </xf>
    <xf numFmtId="0" fontId="7" fillId="34" borderId="10" xfId="0" applyFont="1" applyFill="1" applyBorder="1" applyAlignment="1">
      <alignment horizontal="center" vertical="top" wrapText="1"/>
    </xf>
    <xf numFmtId="0" fontId="7" fillId="34" borderId="10" xfId="0" applyFont="1" applyFill="1" applyBorder="1" applyAlignment="1">
      <alignment vertical="top" wrapText="1"/>
    </xf>
    <xf numFmtId="0" fontId="3" fillId="0" borderId="15" xfId="0" applyFont="1" applyFill="1" applyBorder="1" applyAlignment="1">
      <alignment vertical="top" wrapText="1"/>
    </xf>
    <xf numFmtId="0" fontId="7" fillId="0" borderId="0" xfId="0" applyFont="1" applyFill="1" applyBorder="1" applyAlignment="1">
      <alignment/>
    </xf>
    <xf numFmtId="164" fontId="3" fillId="0" borderId="10" xfId="0" applyNumberFormat="1" applyFont="1" applyFill="1" applyBorder="1" applyAlignment="1">
      <alignment horizontal="left" vertical="top"/>
    </xf>
    <xf numFmtId="0" fontId="7" fillId="34" borderId="15" xfId="0" applyFont="1" applyFill="1" applyBorder="1" applyAlignment="1">
      <alignment horizontal="center" vertical="top" wrapText="1"/>
    </xf>
    <xf numFmtId="3" fontId="7" fillId="36" borderId="13" xfId="0" applyNumberFormat="1" applyFont="1" applyFill="1" applyBorder="1" applyAlignment="1">
      <alignment horizontal="center" vertical="top" wrapText="1"/>
    </xf>
    <xf numFmtId="164" fontId="7" fillId="36" borderId="13" xfId="42" applyNumberFormat="1" applyFont="1" applyFill="1" applyBorder="1" applyAlignment="1">
      <alignment horizontal="justify" vertical="top"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3" fillId="33" borderId="10" xfId="0" applyFont="1" applyFill="1" applyBorder="1" applyAlignment="1">
      <alignment horizontal="center" vertical="center" wrapText="1"/>
    </xf>
    <xf numFmtId="0" fontId="7" fillId="34" borderId="0" xfId="0" applyFont="1" applyFill="1" applyBorder="1" applyAlignment="1">
      <alignment vertical="top" wrapText="1"/>
    </xf>
    <xf numFmtId="0" fontId="7" fillId="34" borderId="0" xfId="0" applyFont="1" applyFill="1" applyAlignment="1">
      <alignment vertical="top" wrapText="1"/>
    </xf>
    <xf numFmtId="0" fontId="7" fillId="36" borderId="10" xfId="0" applyFont="1" applyFill="1" applyBorder="1" applyAlignment="1">
      <alignment horizontal="center" vertical="top" wrapText="1"/>
    </xf>
    <xf numFmtId="3" fontId="7" fillId="36" borderId="10" xfId="0" applyNumberFormat="1" applyFont="1" applyFill="1" applyBorder="1" applyAlignment="1">
      <alignment horizontal="center" vertical="top" wrapText="1"/>
    </xf>
    <xf numFmtId="0" fontId="7" fillId="36" borderId="10" xfId="0" applyFont="1" applyFill="1" applyBorder="1" applyAlignment="1">
      <alignment horizontal="justify" vertical="top" wrapText="1"/>
    </xf>
    <xf numFmtId="0" fontId="11" fillId="36" borderId="10" xfId="0" applyFont="1" applyFill="1" applyBorder="1" applyAlignment="1">
      <alignment horizontal="left" vertical="top" wrapText="1"/>
    </xf>
    <xf numFmtId="0" fontId="3" fillId="0" borderId="0" xfId="0" applyFont="1" applyBorder="1" applyAlignment="1">
      <alignment vertical="top" wrapText="1"/>
    </xf>
    <xf numFmtId="0" fontId="7" fillId="34" borderId="10" xfId="0" applyFont="1" applyFill="1" applyBorder="1" applyAlignment="1">
      <alignment horizontal="left" vertical="top" wrapText="1"/>
    </xf>
    <xf numFmtId="164" fontId="3" fillId="36" borderId="10" xfId="42" applyNumberFormat="1" applyFont="1" applyFill="1" applyBorder="1" applyAlignment="1">
      <alignment horizontal="justify" vertical="top" wrapText="1"/>
    </xf>
    <xf numFmtId="0" fontId="7" fillId="36" borderId="10" xfId="0" applyFont="1" applyFill="1" applyBorder="1" applyAlignment="1">
      <alignment horizontal="left" vertical="top" wrapText="1"/>
    </xf>
    <xf numFmtId="164" fontId="3" fillId="36" borderId="10" xfId="42" applyNumberFormat="1" applyFont="1" applyFill="1" applyBorder="1" applyAlignment="1">
      <alignment vertical="top" wrapText="1"/>
    </xf>
    <xf numFmtId="0" fontId="7" fillId="0" borderId="12" xfId="0" applyFont="1" applyBorder="1" applyAlignment="1">
      <alignment vertical="top" wrapText="1"/>
    </xf>
    <xf numFmtId="0" fontId="3" fillId="34" borderId="0" xfId="0" applyFont="1" applyFill="1" applyBorder="1" applyAlignment="1">
      <alignment vertical="top" wrapText="1"/>
    </xf>
    <xf numFmtId="164" fontId="3" fillId="33" borderId="13" xfId="42" applyNumberFormat="1" applyFont="1" applyFill="1" applyBorder="1" applyAlignment="1">
      <alignment horizontal="right" vertical="top" wrapText="1"/>
    </xf>
    <xf numFmtId="0" fontId="7" fillId="33" borderId="10" xfId="0" applyFont="1" applyFill="1" applyBorder="1" applyAlignment="1">
      <alignment horizontal="justify" vertical="top" wrapText="1"/>
    </xf>
    <xf numFmtId="0" fontId="3" fillId="33" borderId="23" xfId="0" applyFont="1" applyFill="1" applyBorder="1" applyAlignment="1">
      <alignment horizontal="left" vertical="top" wrapText="1"/>
    </xf>
    <xf numFmtId="3" fontId="3" fillId="33" borderId="23" xfId="0" applyNumberFormat="1" applyFont="1" applyFill="1" applyBorder="1" applyAlignment="1">
      <alignment horizontal="center" vertical="top" wrapText="1"/>
    </xf>
    <xf numFmtId="0" fontId="7" fillId="0" borderId="22" xfId="0" applyFont="1" applyFill="1" applyBorder="1" applyAlignment="1">
      <alignment horizontal="left" vertical="top" wrapText="1"/>
    </xf>
    <xf numFmtId="0" fontId="3" fillId="0" borderId="22" xfId="0" applyFont="1" applyFill="1" applyBorder="1" applyAlignment="1">
      <alignment horizontal="left" vertical="top"/>
    </xf>
    <xf numFmtId="164" fontId="7" fillId="33" borderId="23" xfId="42" applyNumberFormat="1" applyFont="1" applyFill="1" applyBorder="1" applyAlignment="1">
      <alignment horizontal="justify" vertical="top" wrapText="1"/>
    </xf>
    <xf numFmtId="0" fontId="3" fillId="0" borderId="0" xfId="0" applyFont="1" applyAlignment="1">
      <alignment horizontal="right" vertical="top" wrapText="1"/>
    </xf>
    <xf numFmtId="0" fontId="3" fillId="0" borderId="0" xfId="0" applyFont="1" applyFill="1" applyBorder="1" applyAlignment="1">
      <alignment horizontal="left" vertical="top" wrapText="1"/>
    </xf>
    <xf numFmtId="164" fontId="3" fillId="0" borderId="12" xfId="42" applyNumberFormat="1" applyFont="1" applyFill="1" applyBorder="1" applyAlignment="1">
      <alignment horizontal="justify" vertical="top" wrapText="1"/>
    </xf>
    <xf numFmtId="164" fontId="7" fillId="0" borderId="12" xfId="42" applyNumberFormat="1" applyFont="1" applyBorder="1" applyAlignment="1">
      <alignment horizontal="justify" vertical="top" wrapText="1"/>
    </xf>
    <xf numFmtId="0" fontId="7" fillId="33" borderId="20" xfId="0" applyFont="1" applyFill="1" applyBorder="1" applyAlignment="1">
      <alignment vertical="top" wrapText="1"/>
    </xf>
    <xf numFmtId="0" fontId="7" fillId="36" borderId="10" xfId="0" applyFont="1" applyFill="1" applyBorder="1" applyAlignment="1">
      <alignment vertical="top" wrapText="1"/>
    </xf>
    <xf numFmtId="0" fontId="3" fillId="36" borderId="10" xfId="0" applyFont="1" applyFill="1" applyBorder="1" applyAlignment="1">
      <alignment horizontal="left" vertical="top" wrapText="1"/>
    </xf>
    <xf numFmtId="0" fontId="3" fillId="36" borderId="10" xfId="0" applyFont="1" applyFill="1" applyBorder="1" applyAlignment="1">
      <alignment horizontal="right" vertical="top" wrapText="1"/>
    </xf>
    <xf numFmtId="0" fontId="7" fillId="36" borderId="10" xfId="0" applyFont="1" applyFill="1" applyBorder="1" applyAlignment="1">
      <alignment/>
    </xf>
    <xf numFmtId="0" fontId="3" fillId="36" borderId="10" xfId="0" applyFont="1" applyFill="1" applyBorder="1" applyAlignment="1">
      <alignment vertical="top"/>
    </xf>
    <xf numFmtId="164" fontId="7" fillId="36" borderId="10" xfId="42" applyNumberFormat="1" applyFont="1" applyFill="1" applyBorder="1" applyAlignment="1">
      <alignment vertical="top" wrapText="1"/>
    </xf>
    <xf numFmtId="164" fontId="3" fillId="36" borderId="10" xfId="44" applyNumberFormat="1" applyFont="1" applyFill="1" applyBorder="1" applyAlignment="1">
      <alignment vertical="top" wrapText="1"/>
    </xf>
    <xf numFmtId="0" fontId="3" fillId="36" borderId="10" xfId="0" applyFont="1" applyFill="1" applyBorder="1" applyAlignment="1">
      <alignment/>
    </xf>
    <xf numFmtId="0" fontId="3" fillId="36" borderId="11" xfId="0" applyFont="1" applyFill="1" applyBorder="1" applyAlignment="1">
      <alignment horizontal="right" vertical="top" wrapText="1"/>
    </xf>
    <xf numFmtId="164" fontId="3" fillId="36" borderId="11" xfId="42" applyNumberFormat="1" applyFont="1" applyFill="1" applyBorder="1" applyAlignment="1">
      <alignment vertical="top" wrapText="1"/>
    </xf>
    <xf numFmtId="0" fontId="3" fillId="33" borderId="24" xfId="0" applyFont="1" applyFill="1" applyBorder="1" applyAlignment="1">
      <alignment horizontal="left" vertical="top" wrapText="1"/>
    </xf>
    <xf numFmtId="0" fontId="7" fillId="36" borderId="11" xfId="0" applyFont="1" applyFill="1" applyBorder="1" applyAlignment="1">
      <alignment vertical="top" wrapText="1"/>
    </xf>
    <xf numFmtId="0" fontId="3" fillId="36" borderId="13" xfId="0" applyFont="1" applyFill="1" applyBorder="1" applyAlignment="1">
      <alignment horizontal="left" vertical="top" wrapText="1"/>
    </xf>
    <xf numFmtId="0" fontId="7" fillId="36" borderId="13" xfId="0" applyFont="1" applyFill="1" applyBorder="1" applyAlignment="1">
      <alignment horizontal="justify" vertical="top" wrapText="1"/>
    </xf>
    <xf numFmtId="164" fontId="3" fillId="33" borderId="23" xfId="42" applyNumberFormat="1" applyFont="1" applyFill="1" applyBorder="1" applyAlignment="1">
      <alignment horizontal="right" vertical="top" wrapText="1"/>
    </xf>
    <xf numFmtId="164" fontId="7" fillId="34" borderId="10" xfId="42" applyNumberFormat="1" applyFont="1" applyFill="1" applyBorder="1" applyAlignment="1">
      <alignment vertical="top" wrapText="1"/>
    </xf>
    <xf numFmtId="0" fontId="7" fillId="0" borderId="0" xfId="0" applyFont="1" applyFill="1" applyBorder="1" applyAlignment="1">
      <alignment horizontal="left" vertical="top" wrapText="1"/>
    </xf>
    <xf numFmtId="0" fontId="3" fillId="0" borderId="10" xfId="0" applyFont="1" applyFill="1" applyBorder="1" applyAlignment="1">
      <alignment horizontal="center" vertical="center" wrapText="1"/>
    </xf>
    <xf numFmtId="3" fontId="3" fillId="36" borderId="10" xfId="0" applyNumberFormat="1" applyFont="1" applyFill="1" applyBorder="1" applyAlignment="1">
      <alignment horizontal="center" vertical="top" wrapText="1"/>
    </xf>
    <xf numFmtId="0" fontId="3" fillId="36" borderId="10" xfId="0" applyFont="1" applyFill="1" applyBorder="1" applyAlignment="1">
      <alignment horizontal="center" vertical="top" wrapText="1"/>
    </xf>
    <xf numFmtId="164" fontId="7" fillId="36" borderId="10" xfId="42" applyNumberFormat="1" applyFont="1" applyFill="1" applyBorder="1" applyAlignment="1">
      <alignment horizontal="justify" vertical="top" wrapText="1"/>
    </xf>
    <xf numFmtId="164" fontId="3" fillId="36" borderId="10" xfId="42" applyNumberFormat="1" applyFont="1" applyFill="1" applyBorder="1" applyAlignment="1">
      <alignment horizontal="left" vertical="top"/>
    </xf>
    <xf numFmtId="0" fontId="24" fillId="33" borderId="0" xfId="0" applyFont="1" applyFill="1" applyAlignment="1">
      <alignment horizontal="center"/>
    </xf>
    <xf numFmtId="164" fontId="25" fillId="33" borderId="0" xfId="42" applyNumberFormat="1" applyFont="1" applyFill="1" applyAlignment="1">
      <alignment/>
    </xf>
    <xf numFmtId="0" fontId="25" fillId="33" borderId="0" xfId="0" applyFont="1" applyFill="1" applyAlignment="1">
      <alignment/>
    </xf>
    <xf numFmtId="0" fontId="24" fillId="0" borderId="0" xfId="0" applyFont="1" applyAlignment="1">
      <alignment horizontal="center"/>
    </xf>
    <xf numFmtId="164" fontId="25" fillId="0" borderId="0" xfId="42" applyNumberFormat="1" applyFont="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170" fontId="25" fillId="0" borderId="0" xfId="42" applyNumberFormat="1" applyFont="1" applyAlignment="1">
      <alignment/>
    </xf>
    <xf numFmtId="164" fontId="24" fillId="0" borderId="0" xfId="42" applyNumberFormat="1" applyFont="1" applyAlignment="1">
      <alignment horizontal="center"/>
    </xf>
    <xf numFmtId="164" fontId="25" fillId="0" borderId="0" xfId="0" applyNumberFormat="1" applyFont="1" applyAlignment="1">
      <alignment/>
    </xf>
    <xf numFmtId="0" fontId="8" fillId="0" borderId="10" xfId="0" applyFont="1" applyFill="1" applyBorder="1" applyAlignment="1">
      <alignment horizontal="left" vertical="top" wrapText="1"/>
    </xf>
    <xf numFmtId="178" fontId="3" fillId="0" borderId="10" xfId="0" applyNumberFormat="1" applyFont="1" applyFill="1" applyBorder="1" applyAlignment="1">
      <alignment vertical="top"/>
    </xf>
    <xf numFmtId="164" fontId="25" fillId="0" borderId="0" xfId="42" applyNumberFormat="1" applyFont="1" applyAlignment="1">
      <alignment horizontal="center"/>
    </xf>
    <xf numFmtId="164" fontId="25" fillId="0" borderId="0" xfId="0" applyNumberFormat="1" applyFont="1" applyAlignment="1">
      <alignment horizontal="center"/>
    </xf>
    <xf numFmtId="0" fontId="7" fillId="0" borderId="25" xfId="0" applyFont="1" applyFill="1" applyBorder="1" applyAlignment="1">
      <alignment/>
    </xf>
    <xf numFmtId="0" fontId="7" fillId="0" borderId="19" xfId="0" applyFont="1" applyFill="1" applyBorder="1" applyAlignment="1">
      <alignment/>
    </xf>
    <xf numFmtId="0" fontId="7" fillId="0" borderId="26" xfId="0" applyFont="1" applyFill="1" applyBorder="1" applyAlignment="1">
      <alignment/>
    </xf>
    <xf numFmtId="0" fontId="7" fillId="0" borderId="15" xfId="0" applyFont="1" applyFill="1" applyBorder="1" applyAlignment="1">
      <alignment horizontal="left" vertical="top" wrapText="1"/>
    </xf>
    <xf numFmtId="0" fontId="7" fillId="0" borderId="12" xfId="0" applyFont="1" applyBorder="1" applyAlignment="1">
      <alignment horizontal="left" vertical="top" wrapText="1"/>
    </xf>
    <xf numFmtId="0" fontId="7" fillId="33" borderId="10" xfId="0" applyFont="1" applyFill="1" applyBorder="1" applyAlignment="1">
      <alignment horizontal="right" vertical="top" wrapText="1"/>
    </xf>
    <xf numFmtId="0" fontId="7" fillId="34" borderId="0" xfId="0" applyFont="1" applyFill="1" applyBorder="1" applyAlignment="1">
      <alignment vertical="top"/>
    </xf>
    <xf numFmtId="0" fontId="3" fillId="34" borderId="10" xfId="0" applyFont="1" applyFill="1" applyBorder="1" applyAlignment="1">
      <alignment vertical="top"/>
    </xf>
    <xf numFmtId="0" fontId="7" fillId="34" borderId="0" xfId="0" applyFont="1" applyFill="1" applyAlignment="1">
      <alignment/>
    </xf>
    <xf numFmtId="0" fontId="3" fillId="0" borderId="12" xfId="0" applyFont="1" applyFill="1" applyBorder="1" applyAlignment="1">
      <alignment horizontal="center" vertical="top" wrapText="1"/>
    </xf>
    <xf numFmtId="0" fontId="7" fillId="36" borderId="11" xfId="0" applyFont="1" applyFill="1" applyBorder="1" applyAlignment="1">
      <alignment horizontal="center" vertical="top" wrapText="1"/>
    </xf>
    <xf numFmtId="0" fontId="7" fillId="36" borderId="11" xfId="0" applyFont="1" applyFill="1" applyBorder="1" applyAlignment="1">
      <alignment horizontal="left" vertical="top" wrapText="1"/>
    </xf>
    <xf numFmtId="0" fontId="14" fillId="0" borderId="0" xfId="0" applyFont="1" applyFill="1" applyAlignment="1">
      <alignment vertical="top" wrapText="1"/>
    </xf>
    <xf numFmtId="0" fontId="18" fillId="0" borderId="0" xfId="0" applyFont="1" applyFill="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3" fontId="18" fillId="0" borderId="0" xfId="0" applyNumberFormat="1" applyFont="1" applyFill="1" applyBorder="1" applyAlignment="1">
      <alignment horizontal="center" vertical="top" wrapText="1"/>
    </xf>
    <xf numFmtId="0" fontId="7" fillId="36" borderId="11" xfId="0" applyFont="1" applyFill="1" applyBorder="1" applyAlignment="1">
      <alignment/>
    </xf>
    <xf numFmtId="0" fontId="7" fillId="0" borderId="0" xfId="0" applyFont="1" applyBorder="1" applyAlignment="1">
      <alignment vertical="top"/>
    </xf>
    <xf numFmtId="0" fontId="7" fillId="34" borderId="0" xfId="0" applyFont="1" applyFill="1" applyBorder="1" applyAlignment="1">
      <alignment/>
    </xf>
    <xf numFmtId="0" fontId="14" fillId="0" borderId="0" xfId="0" applyFont="1" applyFill="1" applyBorder="1" applyAlignment="1">
      <alignment vertical="top" wrapText="1"/>
    </xf>
    <xf numFmtId="0" fontId="25" fillId="0" borderId="0" xfId="0" applyFont="1" applyBorder="1" applyAlignment="1">
      <alignment/>
    </xf>
    <xf numFmtId="0" fontId="25" fillId="33" borderId="0" xfId="0" applyFont="1" applyFill="1" applyBorder="1" applyAlignment="1">
      <alignment/>
    </xf>
    <xf numFmtId="0" fontId="26" fillId="0" borderId="0" xfId="0" applyFont="1" applyBorder="1" applyAlignment="1">
      <alignment/>
    </xf>
    <xf numFmtId="164" fontId="3" fillId="34" borderId="10" xfId="42" applyNumberFormat="1" applyFont="1" applyFill="1" applyBorder="1" applyAlignment="1">
      <alignment vertical="top" wrapText="1"/>
    </xf>
    <xf numFmtId="0" fontId="3" fillId="0" borderId="14" xfId="0" applyFont="1" applyFill="1" applyBorder="1" applyAlignment="1">
      <alignment vertical="top"/>
    </xf>
    <xf numFmtId="0" fontId="3" fillId="0" borderId="22" xfId="0" applyFont="1" applyFill="1" applyBorder="1" applyAlignment="1">
      <alignment horizontal="center" vertical="top" wrapText="1"/>
    </xf>
    <xf numFmtId="0" fontId="3" fillId="36" borderId="27" xfId="0" applyFont="1" applyFill="1" applyBorder="1" applyAlignment="1">
      <alignment vertical="top" wrapText="1"/>
    </xf>
    <xf numFmtId="0" fontId="7" fillId="36" borderId="13" xfId="0" applyFont="1" applyFill="1" applyBorder="1" applyAlignment="1">
      <alignment horizontal="left" vertical="top" wrapText="1"/>
    </xf>
    <xf numFmtId="164" fontId="3" fillId="36" borderId="13" xfId="42" applyNumberFormat="1" applyFont="1" applyFill="1" applyBorder="1" applyAlignment="1">
      <alignment horizontal="right" vertical="top" wrapText="1"/>
    </xf>
    <xf numFmtId="0" fontId="3" fillId="36" borderId="28" xfId="0" applyFont="1" applyFill="1" applyBorder="1" applyAlignment="1">
      <alignment vertical="top" wrapText="1"/>
    </xf>
    <xf numFmtId="0" fontId="3" fillId="36" borderId="28" xfId="0" applyFont="1" applyFill="1" applyBorder="1" applyAlignment="1">
      <alignment horizontal="right" vertical="top" wrapText="1"/>
    </xf>
    <xf numFmtId="0" fontId="7" fillId="36" borderId="28" xfId="0" applyFont="1" applyFill="1" applyBorder="1" applyAlignment="1">
      <alignment horizontal="center" vertical="top" wrapText="1"/>
    </xf>
    <xf numFmtId="0" fontId="7" fillId="36" borderId="28" xfId="0" applyFont="1" applyFill="1" applyBorder="1" applyAlignment="1">
      <alignment horizontal="left" vertical="top" wrapText="1"/>
    </xf>
    <xf numFmtId="0" fontId="7" fillId="36" borderId="28" xfId="0" applyFont="1" applyFill="1" applyBorder="1" applyAlignment="1">
      <alignment vertical="top" wrapText="1"/>
    </xf>
    <xf numFmtId="164" fontId="7" fillId="33" borderId="22" xfId="42" applyNumberFormat="1" applyFont="1" applyFill="1" applyBorder="1" applyAlignment="1">
      <alignment horizontal="justify" vertical="top" wrapText="1"/>
    </xf>
    <xf numFmtId="3" fontId="12" fillId="33" borderId="13" xfId="0" applyNumberFormat="1" applyFont="1" applyFill="1" applyBorder="1" applyAlignment="1">
      <alignment horizontal="center" vertical="top" wrapText="1"/>
    </xf>
    <xf numFmtId="0" fontId="12" fillId="33" borderId="13" xfId="0" applyFont="1" applyFill="1" applyBorder="1" applyAlignment="1">
      <alignment horizontal="left" vertical="top" wrapText="1"/>
    </xf>
    <xf numFmtId="0" fontId="12" fillId="33" borderId="13" xfId="0" applyFont="1" applyFill="1" applyBorder="1" applyAlignment="1">
      <alignment horizontal="justify" vertical="top" wrapText="1"/>
    </xf>
    <xf numFmtId="164" fontId="12" fillId="33" borderId="13" xfId="42" applyNumberFormat="1" applyFont="1" applyFill="1" applyBorder="1" applyAlignment="1">
      <alignment horizontal="justify" vertical="top" wrapText="1"/>
    </xf>
    <xf numFmtId="0" fontId="3" fillId="36" borderId="18" xfId="0" applyFont="1" applyFill="1" applyBorder="1" applyAlignment="1">
      <alignment horizontal="left" vertical="top" wrapText="1"/>
    </xf>
    <xf numFmtId="0" fontId="7" fillId="36" borderId="18" xfId="0" applyFont="1" applyFill="1" applyBorder="1" applyAlignment="1">
      <alignment horizontal="justify" vertical="top" wrapText="1"/>
    </xf>
    <xf numFmtId="164" fontId="3" fillId="36" borderId="18" xfId="42" applyNumberFormat="1" applyFont="1" applyFill="1" applyBorder="1" applyAlignment="1">
      <alignment horizontal="justify" vertical="top" wrapText="1"/>
    </xf>
    <xf numFmtId="164" fontId="3" fillId="36" borderId="10" xfId="42" applyNumberFormat="1" applyFont="1" applyFill="1" applyBorder="1" applyAlignment="1">
      <alignment horizontal="right" vertical="top" wrapText="1"/>
    </xf>
    <xf numFmtId="3" fontId="3" fillId="36" borderId="18" xfId="0" applyNumberFormat="1" applyFont="1" applyFill="1" applyBorder="1" applyAlignment="1">
      <alignment horizontal="center" vertical="top" wrapText="1"/>
    </xf>
    <xf numFmtId="164" fontId="3" fillId="36" borderId="18" xfId="42" applyNumberFormat="1" applyFont="1" applyFill="1" applyBorder="1" applyAlignment="1">
      <alignment horizontal="right" vertical="top" wrapText="1"/>
    </xf>
    <xf numFmtId="164" fontId="3" fillId="36" borderId="18" xfId="0" applyNumberFormat="1" applyFont="1" applyFill="1" applyBorder="1" applyAlignment="1">
      <alignment horizontal="right" vertical="top" wrapText="1"/>
    </xf>
    <xf numFmtId="164" fontId="7" fillId="0" borderId="10" xfId="42" applyNumberFormat="1" applyFont="1" applyFill="1" applyBorder="1" applyAlignment="1">
      <alignment horizontal="left" vertical="top" wrapText="1"/>
    </xf>
    <xf numFmtId="0" fontId="3" fillId="33" borderId="29" xfId="0" applyFont="1" applyFill="1" applyBorder="1" applyAlignment="1">
      <alignment horizontal="center" vertical="center" wrapText="1"/>
    </xf>
    <xf numFmtId="0" fontId="3" fillId="0" borderId="0" xfId="0" applyFont="1" applyAlignment="1">
      <alignment vertical="center" wrapText="1"/>
    </xf>
    <xf numFmtId="0" fontId="7" fillId="33" borderId="19"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7" fillId="35" borderId="16" xfId="0" applyFont="1" applyFill="1" applyBorder="1" applyAlignment="1">
      <alignment horizontal="justify" vertical="top" wrapText="1"/>
    </xf>
    <xf numFmtId="0" fontId="7" fillId="35" borderId="17" xfId="0" applyFont="1" applyFill="1" applyBorder="1" applyAlignment="1">
      <alignment horizontal="justify" vertical="top" wrapText="1"/>
    </xf>
    <xf numFmtId="0" fontId="7" fillId="33" borderId="22" xfId="0" applyFont="1" applyFill="1" applyBorder="1" applyAlignment="1">
      <alignment horizontal="justify" vertical="top" wrapText="1"/>
    </xf>
    <xf numFmtId="0" fontId="7" fillId="33" borderId="1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36"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7" fillId="35" borderId="16"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25" fillId="0" borderId="0" xfId="0" applyFont="1" applyAlignment="1">
      <alignment horizontal="left"/>
    </xf>
    <xf numFmtId="0" fontId="25" fillId="33" borderId="0" xfId="0" applyFont="1" applyFill="1" applyAlignment="1">
      <alignment horizontal="left"/>
    </xf>
    <xf numFmtId="0" fontId="25" fillId="37" borderId="0" xfId="0" applyFont="1" applyFill="1" applyAlignment="1">
      <alignment horizontal="left"/>
    </xf>
    <xf numFmtId="0" fontId="26" fillId="0" borderId="0" xfId="0" applyFont="1" applyAlignment="1">
      <alignment horizontal="left"/>
    </xf>
    <xf numFmtId="0" fontId="7" fillId="36" borderId="10" xfId="58" applyFont="1" applyFill="1" applyBorder="1" applyAlignment="1">
      <alignment vertical="top" wrapText="1"/>
      <protection/>
    </xf>
    <xf numFmtId="0" fontId="10" fillId="36" borderId="10" xfId="0" applyFont="1" applyFill="1" applyBorder="1" applyAlignment="1" quotePrefix="1">
      <alignment horizontal="left" vertical="top" wrapText="1"/>
    </xf>
    <xf numFmtId="164" fontId="7" fillId="36" borderId="18" xfId="42" applyNumberFormat="1" applyFont="1" applyFill="1" applyBorder="1" applyAlignment="1">
      <alignment horizontal="justify" vertical="top" wrapText="1"/>
    </xf>
    <xf numFmtId="164" fontId="14" fillId="0" borderId="20" xfId="42" applyNumberFormat="1" applyFont="1" applyFill="1" applyBorder="1" applyAlignment="1">
      <alignment horizontal="justify" vertical="top" wrapText="1"/>
    </xf>
    <xf numFmtId="164" fontId="7" fillId="35" borderId="21" xfId="42" applyNumberFormat="1" applyFont="1" applyFill="1" applyBorder="1" applyAlignment="1">
      <alignment horizontal="justify" vertical="top" wrapText="1"/>
    </xf>
    <xf numFmtId="164" fontId="7" fillId="35" borderId="27" xfId="42" applyNumberFormat="1" applyFont="1" applyFill="1" applyBorder="1" applyAlignment="1">
      <alignment horizontal="justify" vertical="top" wrapText="1"/>
    </xf>
    <xf numFmtId="9" fontId="7" fillId="0" borderId="0" xfId="0" applyNumberFormat="1" applyFont="1" applyAlignment="1">
      <alignment/>
    </xf>
    <xf numFmtId="0" fontId="3" fillId="0" borderId="12" xfId="0" applyFont="1" applyBorder="1" applyAlignment="1">
      <alignment/>
    </xf>
    <xf numFmtId="164" fontId="27" fillId="33" borderId="13" xfId="42" applyNumberFormat="1" applyFont="1" applyFill="1" applyBorder="1" applyAlignment="1">
      <alignment horizontal="justify" vertical="top" wrapText="1"/>
    </xf>
    <xf numFmtId="164" fontId="27" fillId="33" borderId="22" xfId="42" applyNumberFormat="1" applyFont="1" applyFill="1" applyBorder="1" applyAlignment="1">
      <alignment horizontal="right" vertical="top" wrapText="1"/>
    </xf>
    <xf numFmtId="164" fontId="27" fillId="33" borderId="10" xfId="42" applyNumberFormat="1" applyFont="1" applyFill="1" applyBorder="1" applyAlignment="1">
      <alignment horizontal="justify" vertical="top" wrapText="1"/>
    </xf>
    <xf numFmtId="164" fontId="27" fillId="33" borderId="10" xfId="42" applyNumberFormat="1" applyFont="1" applyFill="1" applyBorder="1" applyAlignment="1">
      <alignment horizontal="right" vertical="top" wrapText="1"/>
    </xf>
    <xf numFmtId="164" fontId="3" fillId="0" borderId="0" xfId="42" applyNumberFormat="1" applyFont="1" applyAlignment="1">
      <alignment/>
    </xf>
    <xf numFmtId="0" fontId="3" fillId="33" borderId="0" xfId="0" applyFont="1" applyFill="1" applyBorder="1" applyAlignment="1">
      <alignment vertical="top"/>
    </xf>
    <xf numFmtId="164" fontId="3" fillId="0" borderId="0" xfId="0" applyNumberFormat="1" applyFont="1" applyBorder="1" applyAlignment="1">
      <alignment/>
    </xf>
    <xf numFmtId="0" fontId="7" fillId="33" borderId="23" xfId="0" applyFont="1" applyFill="1" applyBorder="1" applyAlignment="1">
      <alignment horizontal="justify" vertical="top" wrapText="1"/>
    </xf>
    <xf numFmtId="0" fontId="7" fillId="33" borderId="12" xfId="0" applyFont="1" applyFill="1" applyBorder="1" applyAlignment="1">
      <alignment vertical="top" wrapText="1"/>
    </xf>
    <xf numFmtId="0" fontId="7" fillId="33" borderId="30" xfId="0" applyFont="1" applyFill="1" applyBorder="1" applyAlignment="1">
      <alignment vertical="top" wrapText="1"/>
    </xf>
    <xf numFmtId="164" fontId="3" fillId="34" borderId="23" xfId="42" applyNumberFormat="1" applyFont="1" applyFill="1" applyBorder="1" applyAlignment="1">
      <alignment horizontal="justify" vertical="top" wrapText="1"/>
    </xf>
    <xf numFmtId="164" fontId="3" fillId="34" borderId="10" xfId="42" applyNumberFormat="1" applyFont="1" applyFill="1" applyBorder="1" applyAlignment="1">
      <alignment horizontal="justify" vertical="top" wrapText="1"/>
    </xf>
    <xf numFmtId="0" fontId="7" fillId="36" borderId="11" xfId="58" applyFont="1" applyFill="1" applyBorder="1" applyAlignment="1">
      <alignment vertical="top" wrapText="1"/>
      <protection/>
    </xf>
    <xf numFmtId="164" fontId="3" fillId="36" borderId="11" xfId="42" applyNumberFormat="1" applyFont="1" applyFill="1" applyBorder="1" applyAlignment="1">
      <alignment horizontal="left" vertical="top"/>
    </xf>
    <xf numFmtId="164" fontId="3" fillId="36" borderId="11" xfId="44" applyNumberFormat="1" applyFont="1" applyFill="1" applyBorder="1" applyAlignment="1">
      <alignment vertical="top" wrapText="1"/>
    </xf>
    <xf numFmtId="0" fontId="7" fillId="36" borderId="31" xfId="0" applyFont="1" applyFill="1" applyBorder="1" applyAlignment="1">
      <alignment vertical="top" wrapText="1"/>
    </xf>
    <xf numFmtId="0" fontId="3" fillId="36" borderId="32" xfId="0" applyFont="1" applyFill="1" applyBorder="1" applyAlignment="1">
      <alignment vertical="top" wrapText="1"/>
    </xf>
    <xf numFmtId="164" fontId="3" fillId="33" borderId="0" xfId="0" applyNumberFormat="1" applyFont="1" applyFill="1" applyAlignment="1">
      <alignment/>
    </xf>
    <xf numFmtId="0" fontId="3" fillId="33" borderId="0" xfId="0" applyFont="1" applyFill="1" applyAlignment="1">
      <alignment/>
    </xf>
    <xf numFmtId="164" fontId="3" fillId="0" borderId="0" xfId="0" applyNumberFormat="1" applyFont="1" applyAlignment="1">
      <alignment/>
    </xf>
    <xf numFmtId="164" fontId="7" fillId="35" borderId="20" xfId="42" applyNumberFormat="1" applyFont="1" applyFill="1" applyBorder="1" applyAlignment="1">
      <alignment horizontal="justify" vertical="top" wrapText="1"/>
    </xf>
    <xf numFmtId="0" fontId="28" fillId="0" borderId="10" xfId="0" applyFont="1" applyFill="1" applyBorder="1" applyAlignment="1">
      <alignment vertical="top"/>
    </xf>
    <xf numFmtId="0" fontId="8" fillId="0" borderId="22"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33" xfId="0" applyFont="1" applyFill="1" applyBorder="1" applyAlignment="1">
      <alignment horizontal="left" vertical="top" wrapText="1"/>
    </xf>
    <xf numFmtId="0" fontId="7" fillId="33" borderId="33" xfId="0" applyFont="1" applyFill="1" applyBorder="1" applyAlignment="1">
      <alignment vertical="top" wrapText="1"/>
    </xf>
    <xf numFmtId="164" fontId="7" fillId="33" borderId="33" xfId="42" applyNumberFormat="1" applyFont="1" applyFill="1" applyBorder="1" applyAlignment="1">
      <alignment horizontal="justify" vertical="top" wrapText="1"/>
    </xf>
    <xf numFmtId="0" fontId="3" fillId="36" borderId="34" xfId="0" applyFont="1" applyFill="1" applyBorder="1" applyAlignment="1">
      <alignment vertical="top" wrapText="1"/>
    </xf>
    <xf numFmtId="0" fontId="3" fillId="36" borderId="35" xfId="0" applyFont="1" applyFill="1" applyBorder="1" applyAlignment="1">
      <alignment horizontal="center" vertical="top" wrapText="1"/>
    </xf>
    <xf numFmtId="3" fontId="3" fillId="36" borderId="35" xfId="0" applyNumberFormat="1" applyFont="1" applyFill="1" applyBorder="1" applyAlignment="1">
      <alignment horizontal="center" vertical="top" wrapText="1"/>
    </xf>
    <xf numFmtId="0" fontId="7" fillId="36" borderId="35" xfId="0" applyFont="1" applyFill="1" applyBorder="1" applyAlignment="1">
      <alignment horizontal="left" vertical="top" wrapText="1"/>
    </xf>
    <xf numFmtId="0" fontId="7" fillId="36" borderId="36" xfId="0" applyFont="1" applyFill="1" applyBorder="1" applyAlignment="1">
      <alignment vertical="top" wrapText="1"/>
    </xf>
    <xf numFmtId="0" fontId="7" fillId="36" borderId="35" xfId="0" applyFont="1" applyFill="1" applyBorder="1" applyAlignment="1">
      <alignment vertical="top" wrapText="1"/>
    </xf>
    <xf numFmtId="164" fontId="7" fillId="36" borderId="35" xfId="42" applyNumberFormat="1" applyFont="1" applyFill="1" applyBorder="1" applyAlignment="1">
      <alignment horizontal="justify" vertical="top" wrapText="1"/>
    </xf>
    <xf numFmtId="164" fontId="3" fillId="36" borderId="35" xfId="42" applyNumberFormat="1" applyFont="1" applyFill="1" applyBorder="1" applyAlignment="1">
      <alignment horizontal="justify" vertical="top" wrapText="1"/>
    </xf>
    <xf numFmtId="164" fontId="3" fillId="36" borderId="35" xfId="42" applyNumberFormat="1" applyFont="1" applyFill="1" applyBorder="1" applyAlignment="1">
      <alignment horizontal="right" vertical="top" wrapText="1"/>
    </xf>
    <xf numFmtId="164" fontId="3" fillId="0" borderId="0" xfId="0" applyNumberFormat="1" applyFont="1" applyFill="1" applyAlignment="1">
      <alignment vertical="top" wrapText="1"/>
    </xf>
    <xf numFmtId="3" fontId="7" fillId="33" borderId="33" xfId="0" applyNumberFormat="1" applyFont="1" applyFill="1" applyBorder="1" applyAlignment="1">
      <alignment horizontal="center" vertical="top" wrapText="1"/>
    </xf>
    <xf numFmtId="0" fontId="3" fillId="33" borderId="14" xfId="0" applyFont="1" applyFill="1" applyBorder="1" applyAlignment="1">
      <alignment vertical="top" wrapText="1"/>
    </xf>
    <xf numFmtId="0" fontId="3" fillId="0" borderId="22" xfId="0" applyFont="1" applyFill="1" applyBorder="1" applyAlignment="1">
      <alignment horizontal="justify" vertical="top"/>
    </xf>
    <xf numFmtId="0" fontId="3" fillId="0" borderId="22" xfId="0" applyFont="1" applyFill="1" applyBorder="1" applyAlignment="1">
      <alignment horizontal="left" vertical="top" wrapText="1"/>
    </xf>
    <xf numFmtId="0" fontId="3" fillId="0" borderId="2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178" fontId="3" fillId="0" borderId="22" xfId="0" applyNumberFormat="1" applyFont="1" applyFill="1" applyBorder="1" applyAlignment="1">
      <alignment vertical="top"/>
    </xf>
    <xf numFmtId="164" fontId="3" fillId="0" borderId="22" xfId="0" applyNumberFormat="1" applyFont="1" applyFill="1" applyBorder="1" applyAlignment="1">
      <alignment horizontal="left" vertical="top"/>
    </xf>
    <xf numFmtId="0" fontId="3" fillId="0" borderId="22" xfId="0" applyFont="1" applyFill="1" applyBorder="1" applyAlignment="1">
      <alignment horizontal="justify" vertical="top" wrapText="1"/>
    </xf>
    <xf numFmtId="0" fontId="3" fillId="34" borderId="22" xfId="0" applyFont="1" applyFill="1" applyBorder="1" applyAlignment="1">
      <alignment vertical="top"/>
    </xf>
    <xf numFmtId="0" fontId="3" fillId="0" borderId="22" xfId="0" applyFont="1" applyFill="1" applyBorder="1" applyAlignment="1">
      <alignment vertical="top"/>
    </xf>
    <xf numFmtId="164" fontId="3" fillId="33" borderId="33" xfId="42" applyNumberFormat="1" applyFont="1" applyFill="1" applyBorder="1" applyAlignment="1">
      <alignment horizontal="justify" vertical="top" wrapText="1"/>
    </xf>
    <xf numFmtId="164" fontId="3" fillId="33" borderId="33" xfId="42" applyNumberFormat="1" applyFont="1" applyFill="1" applyBorder="1" applyAlignment="1">
      <alignment horizontal="right" vertical="top" wrapText="1"/>
    </xf>
    <xf numFmtId="0" fontId="8" fillId="34" borderId="37" xfId="0" applyFont="1" applyFill="1" applyBorder="1" applyAlignment="1">
      <alignment horizontal="left" vertical="top" wrapText="1"/>
    </xf>
    <xf numFmtId="0" fontId="8" fillId="34" borderId="38" xfId="0" applyFont="1" applyFill="1" applyBorder="1" applyAlignment="1">
      <alignment horizontal="left" vertical="top" wrapText="1"/>
    </xf>
    <xf numFmtId="0" fontId="8" fillId="34" borderId="11" xfId="0" applyFont="1" applyFill="1" applyBorder="1" applyAlignment="1">
      <alignment horizontal="left" vertical="top" wrapText="1"/>
    </xf>
    <xf numFmtId="0" fontId="7" fillId="34" borderId="39" xfId="0" applyFont="1" applyFill="1" applyBorder="1" applyAlignment="1">
      <alignment horizontal="left" vertical="top" wrapText="1"/>
    </xf>
    <xf numFmtId="0" fontId="8" fillId="34" borderId="40" xfId="0" applyFont="1" applyFill="1" applyBorder="1" applyAlignment="1">
      <alignment horizontal="left" vertical="top" wrapText="1"/>
    </xf>
    <xf numFmtId="0" fontId="8" fillId="34" borderId="41" xfId="0" applyFont="1" applyFill="1" applyBorder="1" applyAlignment="1">
      <alignment horizontal="left" vertical="top" wrapText="1"/>
    </xf>
    <xf numFmtId="0" fontId="7" fillId="0" borderId="42" xfId="0" applyFont="1" applyFill="1" applyBorder="1" applyAlignment="1">
      <alignment horizontal="right" vertical="top" wrapText="1"/>
    </xf>
    <xf numFmtId="0" fontId="3" fillId="0" borderId="42" xfId="0" applyFont="1" applyFill="1" applyBorder="1" applyAlignment="1">
      <alignment horizontal="center" vertical="top" wrapText="1"/>
    </xf>
    <xf numFmtId="0" fontId="7" fillId="0" borderId="42" xfId="0" applyFont="1" applyFill="1" applyBorder="1" applyAlignment="1">
      <alignment horizontal="left" vertical="top" wrapText="1"/>
    </xf>
    <xf numFmtId="0" fontId="7" fillId="0" borderId="42" xfId="0" applyFont="1" applyFill="1" applyBorder="1" applyAlignment="1">
      <alignment vertical="top" wrapText="1"/>
    </xf>
    <xf numFmtId="0" fontId="7" fillId="0" borderId="43" xfId="0" applyFont="1" applyFill="1" applyBorder="1" applyAlignment="1">
      <alignment horizontal="left" vertical="top" wrapText="1"/>
    </xf>
    <xf numFmtId="3" fontId="3" fillId="0" borderId="44" xfId="42" applyNumberFormat="1" applyFont="1" applyFill="1" applyBorder="1" applyAlignment="1">
      <alignment vertical="top" wrapText="1"/>
    </xf>
    <xf numFmtId="3" fontId="3" fillId="0" borderId="44" xfId="0" applyNumberFormat="1" applyFont="1" applyFill="1" applyBorder="1" applyAlignment="1">
      <alignment vertical="top" wrapText="1"/>
    </xf>
    <xf numFmtId="3" fontId="3" fillId="0" borderId="45" xfId="42" applyNumberFormat="1" applyFont="1" applyFill="1" applyBorder="1" applyAlignment="1">
      <alignment vertical="top" wrapText="1"/>
    </xf>
    <xf numFmtId="0" fontId="8" fillId="34" borderId="15" xfId="0" applyFont="1" applyFill="1" applyBorder="1" applyAlignment="1">
      <alignment horizontal="left" vertical="top" wrapText="1"/>
    </xf>
    <xf numFmtId="0" fontId="7" fillId="34" borderId="10" xfId="0" applyFont="1" applyFill="1" applyBorder="1" applyAlignment="1">
      <alignment horizontal="left" vertical="top"/>
    </xf>
    <xf numFmtId="0" fontId="7" fillId="0" borderId="46" xfId="0" applyFont="1" applyFill="1" applyBorder="1" applyAlignment="1">
      <alignment horizontal="right" vertical="top" wrapText="1"/>
    </xf>
    <xf numFmtId="0" fontId="7" fillId="0" borderId="47" xfId="0" applyFont="1" applyFill="1" applyBorder="1" applyAlignment="1">
      <alignment horizontal="left" vertical="top" wrapText="1"/>
    </xf>
    <xf numFmtId="3" fontId="3" fillId="0" borderId="48" xfId="42" applyNumberFormat="1" applyFont="1" applyFill="1" applyBorder="1" applyAlignment="1">
      <alignment vertical="top" wrapText="1"/>
    </xf>
    <xf numFmtId="0" fontId="7" fillId="0" borderId="25" xfId="0" applyFont="1" applyFill="1" applyBorder="1" applyAlignment="1">
      <alignment horizontal="left" vertical="top" wrapText="1"/>
    </xf>
    <xf numFmtId="0" fontId="7" fillId="0" borderId="39" xfId="0" applyFont="1" applyFill="1" applyBorder="1" applyAlignment="1">
      <alignment horizontal="left" vertical="top" wrapText="1"/>
    </xf>
    <xf numFmtId="3" fontId="3" fillId="0" borderId="40" xfId="42" applyNumberFormat="1" applyFont="1" applyFill="1" applyBorder="1" applyAlignment="1">
      <alignment vertical="top" wrapText="1"/>
    </xf>
    <xf numFmtId="3" fontId="3" fillId="0" borderId="49" xfId="42" applyNumberFormat="1" applyFont="1" applyFill="1" applyBorder="1" applyAlignment="1">
      <alignment vertical="top" wrapText="1"/>
    </xf>
    <xf numFmtId="0" fontId="3" fillId="0" borderId="11" xfId="0" applyFont="1" applyFill="1" applyBorder="1" applyAlignment="1">
      <alignment vertical="top" wrapText="1"/>
    </xf>
    <xf numFmtId="0" fontId="3" fillId="0" borderId="42" xfId="0" applyFont="1" applyFill="1" applyBorder="1" applyAlignment="1">
      <alignment horizontal="center" vertical="center" wrapText="1"/>
    </xf>
    <xf numFmtId="0" fontId="7" fillId="34" borderId="22" xfId="0" applyFont="1" applyFill="1" applyBorder="1" applyAlignment="1">
      <alignment horizontal="left" vertical="top" wrapText="1"/>
    </xf>
    <xf numFmtId="0" fontId="7" fillId="33" borderId="5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55" xfId="0" applyFont="1" applyFill="1" applyBorder="1" applyAlignment="1">
      <alignment vertical="center" wrapText="1"/>
    </xf>
    <xf numFmtId="0" fontId="8" fillId="34" borderId="55" xfId="0" applyFont="1" applyFill="1" applyBorder="1" applyAlignment="1">
      <alignment horizontal="left" vertical="top" wrapText="1"/>
    </xf>
    <xf numFmtId="0" fontId="3" fillId="0" borderId="55" xfId="0" applyFont="1" applyFill="1" applyBorder="1" applyAlignment="1">
      <alignment vertical="top" wrapText="1"/>
    </xf>
    <xf numFmtId="0" fontId="7" fillId="36" borderId="52" xfId="0" applyFont="1" applyFill="1" applyBorder="1" applyAlignment="1">
      <alignment/>
    </xf>
    <xf numFmtId="0" fontId="3" fillId="36" borderId="53" xfId="0" applyFont="1" applyFill="1" applyBorder="1" applyAlignment="1">
      <alignment vertical="top" wrapText="1"/>
    </xf>
    <xf numFmtId="0" fontId="3" fillId="0" borderId="53" xfId="0" applyFont="1" applyFill="1" applyBorder="1" applyAlignment="1">
      <alignment vertical="top" wrapText="1"/>
    </xf>
    <xf numFmtId="3" fontId="3" fillId="0" borderId="53" xfId="0" applyNumberFormat="1" applyFont="1" applyFill="1" applyBorder="1" applyAlignment="1">
      <alignment vertical="top" wrapText="1"/>
    </xf>
    <xf numFmtId="0" fontId="7" fillId="33" borderId="56" xfId="0" applyFont="1" applyFill="1" applyBorder="1" applyAlignment="1">
      <alignment horizontal="left" vertical="top"/>
    </xf>
    <xf numFmtId="0" fontId="3" fillId="0" borderId="53" xfId="0" applyFont="1" applyFill="1" applyBorder="1" applyAlignment="1">
      <alignment vertical="top"/>
    </xf>
    <xf numFmtId="0" fontId="7" fillId="0" borderId="57" xfId="0" applyFont="1" applyFill="1" applyBorder="1" applyAlignment="1">
      <alignment/>
    </xf>
    <xf numFmtId="0" fontId="7" fillId="0" borderId="58" xfId="0" applyFont="1" applyFill="1" applyBorder="1" applyAlignment="1">
      <alignment/>
    </xf>
    <xf numFmtId="0" fontId="3" fillId="0" borderId="59" xfId="0" applyFont="1" applyFill="1" applyBorder="1" applyAlignment="1">
      <alignment vertical="top" wrapText="1"/>
    </xf>
    <xf numFmtId="0" fontId="3" fillId="0" borderId="60" xfId="0" applyFont="1" applyFill="1" applyBorder="1" applyAlignment="1">
      <alignment vertical="top" wrapText="1"/>
    </xf>
    <xf numFmtId="0" fontId="7" fillId="36" borderId="61" xfId="0" applyFont="1" applyFill="1" applyBorder="1" applyAlignment="1">
      <alignment/>
    </xf>
    <xf numFmtId="0" fontId="3" fillId="33" borderId="62" xfId="0" applyFont="1" applyFill="1" applyBorder="1" applyAlignment="1">
      <alignment vertical="top"/>
    </xf>
    <xf numFmtId="0" fontId="3" fillId="34" borderId="53" xfId="0" applyFont="1" applyFill="1" applyBorder="1" applyAlignment="1">
      <alignment vertical="top" wrapText="1"/>
    </xf>
    <xf numFmtId="0" fontId="3" fillId="34" borderId="63" xfId="0" applyFont="1" applyFill="1" applyBorder="1" applyAlignment="1">
      <alignment vertical="top" wrapText="1"/>
    </xf>
    <xf numFmtId="0" fontId="7" fillId="36" borderId="64" xfId="0" applyFont="1" applyFill="1" applyBorder="1" applyAlignment="1">
      <alignment/>
    </xf>
    <xf numFmtId="0" fontId="3" fillId="36" borderId="51" xfId="0" applyFont="1" applyFill="1" applyBorder="1" applyAlignment="1">
      <alignment vertical="top" wrapText="1"/>
    </xf>
    <xf numFmtId="164" fontId="3" fillId="0" borderId="53" xfId="0" applyNumberFormat="1" applyFont="1" applyFill="1" applyBorder="1" applyAlignment="1">
      <alignment vertical="top" wrapText="1"/>
    </xf>
    <xf numFmtId="0" fontId="3" fillId="0" borderId="53" xfId="0" applyFont="1" applyFill="1" applyBorder="1" applyAlignment="1">
      <alignment vertical="center" wrapText="1"/>
    </xf>
    <xf numFmtId="164" fontId="3" fillId="36" borderId="53" xfId="0" applyNumberFormat="1" applyFont="1" applyFill="1" applyBorder="1" applyAlignment="1">
      <alignment vertical="top" wrapText="1"/>
    </xf>
    <xf numFmtId="0" fontId="3" fillId="0" borderId="53"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36" borderId="53" xfId="0" applyFont="1" applyFill="1" applyBorder="1" applyAlignment="1">
      <alignment horizontal="left" vertical="top" wrapText="1"/>
    </xf>
    <xf numFmtId="0" fontId="3" fillId="36" borderId="51" xfId="0" applyFont="1" applyFill="1" applyBorder="1" applyAlignment="1">
      <alignment horizontal="left" vertical="top"/>
    </xf>
    <xf numFmtId="0" fontId="3" fillId="0" borderId="53" xfId="0" applyFont="1" applyFill="1" applyBorder="1" applyAlignment="1">
      <alignment horizontal="left" vertical="top"/>
    </xf>
    <xf numFmtId="0" fontId="3" fillId="36" borderId="53" xfId="0" applyFont="1" applyFill="1" applyBorder="1" applyAlignment="1">
      <alignment horizontal="left" vertical="top"/>
    </xf>
    <xf numFmtId="0" fontId="7" fillId="33" borderId="59" xfId="0" applyFont="1" applyFill="1" applyBorder="1" applyAlignment="1">
      <alignment horizontal="left" vertical="top" wrapText="1"/>
    </xf>
    <xf numFmtId="0" fontId="3" fillId="0" borderId="63" xfId="0" applyFont="1" applyFill="1" applyBorder="1" applyAlignment="1">
      <alignment vertical="top" wrapText="1"/>
    </xf>
    <xf numFmtId="0" fontId="3" fillId="0" borderId="51" xfId="0" applyFont="1" applyFill="1" applyBorder="1" applyAlignment="1">
      <alignment vertical="top" wrapText="1"/>
    </xf>
    <xf numFmtId="0" fontId="7" fillId="0" borderId="57" xfId="0" applyFont="1" applyBorder="1" applyAlignment="1">
      <alignment vertical="top" wrapText="1"/>
    </xf>
    <xf numFmtId="0" fontId="3" fillId="0" borderId="65" xfId="0" applyFont="1" applyBorder="1" applyAlignment="1">
      <alignment vertical="center" wrapText="1"/>
    </xf>
    <xf numFmtId="0" fontId="7" fillId="36" borderId="66" xfId="0" applyFont="1" applyFill="1" applyBorder="1" applyAlignment="1">
      <alignment vertical="top" wrapText="1"/>
    </xf>
    <xf numFmtId="0" fontId="3" fillId="36" borderId="67" xfId="0" applyFont="1" applyFill="1" applyBorder="1" applyAlignment="1">
      <alignment vertical="center" wrapText="1"/>
    </xf>
    <xf numFmtId="0" fontId="3" fillId="36" borderId="68" xfId="0" applyFont="1" applyFill="1" applyBorder="1" applyAlignment="1">
      <alignment vertical="top" wrapText="1"/>
    </xf>
    <xf numFmtId="0" fontId="3" fillId="36" borderId="69" xfId="0" applyFont="1" applyFill="1" applyBorder="1" applyAlignment="1">
      <alignment vertical="top" wrapText="1"/>
    </xf>
    <xf numFmtId="0" fontId="3" fillId="36" borderId="70" xfId="0" applyFont="1" applyFill="1" applyBorder="1" applyAlignment="1">
      <alignment vertical="center" wrapText="1"/>
    </xf>
    <xf numFmtId="0" fontId="18" fillId="0" borderId="71" xfId="0" applyFont="1" applyFill="1" applyBorder="1" applyAlignment="1">
      <alignment vertical="top" wrapText="1"/>
    </xf>
    <xf numFmtId="0" fontId="3" fillId="35" borderId="72" xfId="0" applyFont="1" applyFill="1" applyBorder="1" applyAlignment="1">
      <alignment vertical="top" wrapText="1"/>
    </xf>
    <xf numFmtId="0" fontId="3" fillId="35" borderId="69" xfId="0" applyFont="1" applyFill="1" applyBorder="1" applyAlignment="1">
      <alignment vertical="top" wrapText="1"/>
    </xf>
    <xf numFmtId="0" fontId="3" fillId="33" borderId="72" xfId="0" applyFont="1" applyFill="1" applyBorder="1" applyAlignment="1">
      <alignment vertical="top" wrapText="1"/>
    </xf>
    <xf numFmtId="0" fontId="3" fillId="33" borderId="71" xfId="0" applyFont="1" applyFill="1" applyBorder="1" applyAlignment="1">
      <alignment vertical="top" wrapText="1"/>
    </xf>
    <xf numFmtId="164" fontId="3" fillId="33" borderId="53" xfId="0" applyNumberFormat="1" applyFont="1" applyFill="1" applyBorder="1" applyAlignment="1">
      <alignment vertical="top" wrapText="1"/>
    </xf>
    <xf numFmtId="0" fontId="3" fillId="33" borderId="73" xfId="0" applyFont="1" applyFill="1" applyBorder="1" applyAlignment="1">
      <alignment vertical="top" wrapText="1"/>
    </xf>
    <xf numFmtId="164" fontId="3" fillId="33" borderId="74" xfId="0" applyNumberFormat="1" applyFont="1" applyFill="1" applyBorder="1" applyAlignment="1">
      <alignment vertical="top" wrapText="1"/>
    </xf>
    <xf numFmtId="164" fontId="3" fillId="33" borderId="65" xfId="0" applyNumberFormat="1" applyFont="1" applyFill="1" applyBorder="1" applyAlignment="1">
      <alignment vertical="top" wrapText="1"/>
    </xf>
    <xf numFmtId="0" fontId="7" fillId="33" borderId="71" xfId="0" applyFont="1" applyFill="1" applyBorder="1" applyAlignment="1">
      <alignment vertical="top" wrapText="1"/>
    </xf>
    <xf numFmtId="0" fontId="3" fillId="36" borderId="75" xfId="0" applyFont="1" applyFill="1" applyBorder="1" applyAlignment="1">
      <alignment vertical="top" wrapText="1"/>
    </xf>
    <xf numFmtId="164" fontId="3" fillId="36" borderId="76" xfId="0" applyNumberFormat="1" applyFont="1" applyFill="1" applyBorder="1" applyAlignment="1">
      <alignment vertical="top" wrapText="1"/>
    </xf>
    <xf numFmtId="0" fontId="3" fillId="34" borderId="11" xfId="0" applyFont="1" applyFill="1" applyBorder="1" applyAlignment="1">
      <alignment vertical="top" wrapText="1"/>
    </xf>
    <xf numFmtId="0" fontId="3" fillId="34" borderId="11" xfId="0" applyFont="1" applyFill="1" applyBorder="1" applyAlignment="1">
      <alignment vertical="center" wrapText="1"/>
    </xf>
    <xf numFmtId="0" fontId="3" fillId="34" borderId="15" xfId="0" applyFont="1" applyFill="1" applyBorder="1" applyAlignment="1">
      <alignment vertical="center" wrapText="1"/>
    </xf>
    <xf numFmtId="0" fontId="7" fillId="34" borderId="22" xfId="0" applyFont="1" applyFill="1" applyBorder="1" applyAlignment="1">
      <alignment horizontal="left" vertical="top"/>
    </xf>
    <xf numFmtId="0" fontId="8" fillId="34" borderId="77" xfId="0" applyFont="1" applyFill="1" applyBorder="1" applyAlignment="1">
      <alignment horizontal="left" vertical="top" wrapText="1"/>
    </xf>
    <xf numFmtId="0" fontId="7" fillId="0" borderId="78" xfId="0" applyFont="1" applyFill="1" applyBorder="1" applyAlignment="1">
      <alignment horizontal="left" vertical="top" wrapText="1"/>
    </xf>
    <xf numFmtId="0" fontId="8" fillId="0" borderId="11" xfId="0" applyFont="1" applyFill="1" applyBorder="1" applyAlignment="1">
      <alignment vertical="top" wrapText="1"/>
    </xf>
    <xf numFmtId="0" fontId="8" fillId="0" borderId="64" xfId="0" applyFont="1" applyFill="1" applyBorder="1" applyAlignment="1">
      <alignment vertical="top" wrapText="1"/>
    </xf>
    <xf numFmtId="0" fontId="7" fillId="34" borderId="57"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0" fillId="0" borderId="57" xfId="0" applyFont="1" applyFill="1" applyBorder="1" applyAlignment="1">
      <alignment horizontal="left" vertical="top" wrapText="1"/>
    </xf>
    <xf numFmtId="0" fontId="0" fillId="0" borderId="80" xfId="0" applyFont="1" applyFill="1" applyBorder="1" applyAlignment="1">
      <alignment horizontal="left" vertical="top" wrapText="1"/>
    </xf>
    <xf numFmtId="0" fontId="3" fillId="0" borderId="81"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34" borderId="64" xfId="0" applyFont="1" applyFill="1" applyBorder="1" applyAlignment="1">
      <alignment horizontal="left" vertical="top" wrapText="1"/>
    </xf>
    <xf numFmtId="0" fontId="3" fillId="34" borderId="57" xfId="0" applyFont="1" applyFill="1" applyBorder="1" applyAlignment="1">
      <alignment horizontal="left" vertical="top" wrapText="1"/>
    </xf>
    <xf numFmtId="0" fontId="3" fillId="34" borderId="58" xfId="0" applyFont="1" applyFill="1" applyBorder="1" applyAlignment="1">
      <alignment horizontal="left" vertical="top" wrapText="1"/>
    </xf>
    <xf numFmtId="0" fontId="8" fillId="0" borderId="64"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8"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79" xfId="0" applyFont="1" applyFill="1" applyBorder="1" applyAlignment="1">
      <alignment horizontal="left" vertical="top" wrapText="1"/>
    </xf>
    <xf numFmtId="0" fontId="3" fillId="0" borderId="57" xfId="0" applyFont="1" applyFill="1" applyBorder="1" applyAlignment="1">
      <alignment horizontal="center" vertical="top" wrapText="1"/>
    </xf>
    <xf numFmtId="0" fontId="7" fillId="34" borderId="32" xfId="0" applyFont="1" applyFill="1" applyBorder="1" applyAlignment="1">
      <alignment horizontal="left" vertical="top" wrapText="1"/>
    </xf>
    <xf numFmtId="0" fontId="7" fillId="34" borderId="20" xfId="0" applyFont="1" applyFill="1" applyBorder="1" applyAlignment="1">
      <alignment horizontal="left" vertical="top" wrapText="1"/>
    </xf>
    <xf numFmtId="0" fontId="7" fillId="34" borderId="14" xfId="0" applyFont="1" applyFill="1" applyBorder="1" applyAlignment="1">
      <alignment horizontal="left" vertical="top" wrapText="1"/>
    </xf>
    <xf numFmtId="0" fontId="7" fillId="0" borderId="64"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58"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20" xfId="0" applyFont="1" applyFill="1" applyBorder="1" applyAlignment="1">
      <alignment horizontal="left" vertical="top" wrapText="1"/>
    </xf>
    <xf numFmtId="0" fontId="7" fillId="34" borderId="64" xfId="0" applyFont="1" applyFill="1" applyBorder="1" applyAlignment="1">
      <alignment horizontal="left" vertical="top" wrapText="1"/>
    </xf>
    <xf numFmtId="0" fontId="7" fillId="34" borderId="57" xfId="0" applyFont="1" applyFill="1" applyBorder="1" applyAlignment="1">
      <alignment horizontal="left" vertical="top" wrapText="1"/>
    </xf>
    <xf numFmtId="0" fontId="3" fillId="0" borderId="82" xfId="0" applyFont="1" applyBorder="1" applyAlignment="1">
      <alignment horizontal="left" vertical="center" wrapText="1"/>
    </xf>
    <xf numFmtId="0" fontId="0" fillId="0" borderId="82" xfId="0" applyBorder="1" applyAlignment="1">
      <alignment/>
    </xf>
    <xf numFmtId="0" fontId="8" fillId="33" borderId="83" xfId="0" applyFont="1" applyFill="1" applyBorder="1" applyAlignment="1">
      <alignment horizontal="left" vertical="center" wrapText="1"/>
    </xf>
    <xf numFmtId="0" fontId="8" fillId="33" borderId="84" xfId="0" applyFont="1" applyFill="1" applyBorder="1" applyAlignment="1">
      <alignment horizontal="left" vertical="center" wrapText="1"/>
    </xf>
    <xf numFmtId="0" fontId="8" fillId="33" borderId="85" xfId="0" applyFont="1" applyFill="1" applyBorder="1" applyAlignment="1">
      <alignment horizontal="left" vertical="center" wrapText="1"/>
    </xf>
    <xf numFmtId="0" fontId="22" fillId="33" borderId="84" xfId="0" applyFont="1" applyFill="1" applyBorder="1" applyAlignment="1">
      <alignment horizontal="left" vertical="center" wrapText="1"/>
    </xf>
    <xf numFmtId="0" fontId="22" fillId="33" borderId="86" xfId="0" applyFont="1" applyFill="1" applyBorder="1" applyAlignment="1">
      <alignment horizontal="left" vertical="center" wrapText="1"/>
    </xf>
    <xf numFmtId="0" fontId="8" fillId="33" borderId="73" xfId="0" applyFont="1" applyFill="1" applyBorder="1" applyAlignment="1">
      <alignment horizontal="left" vertical="top" wrapText="1"/>
    </xf>
    <xf numFmtId="0" fontId="7" fillId="33" borderId="25" xfId="0" applyFont="1" applyFill="1" applyBorder="1" applyAlignment="1">
      <alignment horizontal="left" vertical="top"/>
    </xf>
    <xf numFmtId="0" fontId="7" fillId="33" borderId="59" xfId="0" applyFont="1" applyFill="1" applyBorder="1" applyAlignment="1">
      <alignment horizontal="left" vertical="top"/>
    </xf>
    <xf numFmtId="0" fontId="7" fillId="33" borderId="54" xfId="0" applyFont="1" applyFill="1" applyBorder="1" applyAlignment="1">
      <alignment horizontal="left" vertical="top" wrapText="1"/>
    </xf>
    <xf numFmtId="0" fontId="7" fillId="33" borderId="19" xfId="0" applyFont="1" applyFill="1" applyBorder="1" applyAlignment="1">
      <alignment horizontal="left" vertical="top"/>
    </xf>
    <xf numFmtId="0" fontId="7" fillId="33" borderId="55" xfId="0" applyFont="1" applyFill="1" applyBorder="1" applyAlignment="1">
      <alignment horizontal="left" vertical="top"/>
    </xf>
    <xf numFmtId="0" fontId="3" fillId="33" borderId="54" xfId="0" applyFont="1" applyFill="1" applyBorder="1" applyAlignment="1">
      <alignment horizontal="left" vertical="top" wrapText="1"/>
    </xf>
    <xf numFmtId="0" fontId="8" fillId="33" borderId="57"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87"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33" borderId="92" xfId="0" applyFont="1" applyFill="1" applyBorder="1" applyAlignment="1">
      <alignment horizontal="left" vertical="center" wrapText="1"/>
    </xf>
    <xf numFmtId="0" fontId="8" fillId="33" borderId="93" xfId="0" applyFont="1" applyFill="1" applyBorder="1" applyAlignment="1">
      <alignment horizontal="left" vertical="center" wrapText="1"/>
    </xf>
    <xf numFmtId="0" fontId="8" fillId="33" borderId="94" xfId="0" applyFont="1" applyFill="1" applyBorder="1" applyAlignment="1">
      <alignment horizontal="left" vertical="center" wrapText="1"/>
    </xf>
    <xf numFmtId="0" fontId="3" fillId="33" borderId="95" xfId="0"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center" wrapText="1"/>
    </xf>
    <xf numFmtId="164" fontId="3" fillId="0" borderId="0" xfId="42" applyNumberFormat="1" applyFont="1" applyAlignment="1">
      <alignment horizontal="left" vertical="center" wrapText="1"/>
    </xf>
    <xf numFmtId="164" fontId="3" fillId="0" borderId="0" xfId="42" applyNumberFormat="1" applyFont="1" applyAlignment="1">
      <alignment vertical="center" wrapText="1"/>
    </xf>
    <xf numFmtId="0" fontId="8" fillId="33" borderId="68"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56" xfId="0" applyFont="1" applyFill="1" applyBorder="1" applyAlignment="1">
      <alignment horizontal="left" vertical="top" wrapText="1"/>
    </xf>
    <xf numFmtId="0" fontId="7" fillId="38" borderId="54" xfId="0" applyFont="1" applyFill="1" applyBorder="1" applyAlignment="1">
      <alignment horizontal="left" vertical="top" wrapText="1"/>
    </xf>
    <xf numFmtId="0" fontId="7" fillId="38" borderId="19" xfId="0" applyFont="1" applyFill="1" applyBorder="1" applyAlignment="1">
      <alignment horizontal="left" vertical="top" wrapText="1"/>
    </xf>
    <xf numFmtId="0" fontId="7" fillId="38" borderId="55"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55" xfId="0" applyFont="1" applyFill="1" applyBorder="1" applyAlignment="1">
      <alignment horizontal="left" vertical="top" wrapText="1"/>
    </xf>
    <xf numFmtId="0" fontId="3" fillId="35" borderId="13" xfId="0" applyFont="1" applyFill="1" applyBorder="1" applyAlignment="1">
      <alignment horizontal="center" vertical="center" wrapText="1"/>
    </xf>
    <xf numFmtId="0" fontId="3" fillId="35" borderId="96" xfId="0" applyFont="1" applyFill="1" applyBorder="1" applyAlignment="1">
      <alignment horizontal="center" vertical="center" wrapText="1"/>
    </xf>
    <xf numFmtId="0" fontId="3" fillId="35" borderId="97" xfId="0" applyFont="1" applyFill="1" applyBorder="1" applyAlignment="1">
      <alignment horizontal="center" vertical="center" wrapText="1"/>
    </xf>
    <xf numFmtId="0" fontId="3" fillId="35" borderId="98" xfId="0" applyFont="1" applyFill="1" applyBorder="1" applyAlignment="1">
      <alignment horizontal="center" vertical="center" wrapText="1"/>
    </xf>
    <xf numFmtId="0" fontId="3" fillId="35" borderId="99" xfId="0" applyFont="1" applyFill="1" applyBorder="1" applyAlignment="1">
      <alignment horizontal="center" vertical="center" wrapText="1"/>
    </xf>
    <xf numFmtId="164" fontId="3" fillId="33" borderId="50" xfId="42" applyNumberFormat="1" applyFont="1" applyFill="1" applyBorder="1" applyAlignment="1">
      <alignment horizontal="center" vertical="center" wrapText="1"/>
    </xf>
    <xf numFmtId="164" fontId="3" fillId="33" borderId="100" xfId="42" applyNumberFormat="1" applyFont="1" applyFill="1" applyBorder="1" applyAlignment="1">
      <alignment horizontal="center" vertical="center" wrapText="1"/>
    </xf>
    <xf numFmtId="164" fontId="3" fillId="33" borderId="101" xfId="42" applyNumberFormat="1" applyFont="1" applyFill="1" applyBorder="1" applyAlignment="1">
      <alignment horizontal="center" vertical="center" wrapText="1"/>
    </xf>
    <xf numFmtId="164" fontId="3" fillId="33" borderId="102" xfId="42" applyNumberFormat="1" applyFont="1" applyFill="1" applyBorder="1" applyAlignment="1">
      <alignment horizontal="center" vertical="center" wrapText="1"/>
    </xf>
    <xf numFmtId="0" fontId="3" fillId="34" borderId="15" xfId="0" applyFont="1" applyFill="1" applyBorder="1" applyAlignment="1">
      <alignment vertical="top" wrapText="1"/>
    </xf>
    <xf numFmtId="0" fontId="3" fillId="34" borderId="87" xfId="0" applyFont="1" applyFill="1" applyBorder="1" applyAlignment="1">
      <alignment vertical="center" wrapText="1"/>
    </xf>
    <xf numFmtId="0" fontId="3" fillId="0" borderId="39" xfId="0" applyFont="1" applyFill="1" applyBorder="1" applyAlignment="1">
      <alignment horizontal="left" vertical="top" wrapText="1"/>
    </xf>
    <xf numFmtId="164" fontId="7" fillId="0" borderId="44" xfId="42" applyNumberFormat="1" applyFont="1" applyFill="1" applyBorder="1" applyAlignment="1">
      <alignment horizontal="right" vertical="top" wrapText="1"/>
    </xf>
    <xf numFmtId="164" fontId="3" fillId="0" borderId="44" xfId="42" applyNumberFormat="1" applyFont="1" applyFill="1" applyBorder="1" applyAlignment="1">
      <alignment horizontal="right" vertical="top" wrapText="1"/>
    </xf>
    <xf numFmtId="164" fontId="7" fillId="34" borderId="40" xfId="42" applyNumberFormat="1" applyFont="1" applyFill="1" applyBorder="1" applyAlignment="1">
      <alignment horizontal="left" vertical="top" wrapText="1"/>
    </xf>
    <xf numFmtId="0" fontId="3" fillId="39" borderId="11" xfId="0" applyFont="1" applyFill="1" applyBorder="1" applyAlignment="1">
      <alignment vertical="top" wrapText="1"/>
    </xf>
    <xf numFmtId="0" fontId="7" fillId="39" borderId="22" xfId="0" applyFont="1" applyFill="1" applyBorder="1" applyAlignment="1">
      <alignment horizontal="left" vertical="top" wrapText="1"/>
    </xf>
    <xf numFmtId="0" fontId="7" fillId="39" borderId="39" xfId="0" applyFont="1" applyFill="1" applyBorder="1" applyAlignment="1">
      <alignment horizontal="left" vertical="top" wrapText="1"/>
    </xf>
    <xf numFmtId="164" fontId="7" fillId="39" borderId="40" xfId="42" applyNumberFormat="1" applyFont="1" applyFill="1" applyBorder="1" applyAlignment="1">
      <alignment horizontal="left" vertical="top" wrapText="1"/>
    </xf>
    <xf numFmtId="0" fontId="7" fillId="39" borderId="42" xfId="0" applyFont="1" applyFill="1" applyBorder="1" applyAlignment="1">
      <alignment vertical="top" wrapText="1"/>
    </xf>
    <xf numFmtId="0" fontId="7" fillId="39" borderId="42" xfId="0" applyFont="1" applyFill="1" applyBorder="1" applyAlignment="1">
      <alignment horizontal="left" vertical="top" wrapText="1"/>
    </xf>
    <xf numFmtId="0" fontId="7" fillId="39" borderId="43" xfId="0" applyFont="1" applyFill="1" applyBorder="1" applyAlignment="1">
      <alignment horizontal="left" vertical="top" wrapText="1"/>
    </xf>
    <xf numFmtId="164" fontId="3" fillId="39" borderId="44" xfId="42" applyNumberFormat="1" applyFont="1" applyFill="1" applyBorder="1" applyAlignment="1">
      <alignment horizontal="right" vertical="top" wrapText="1"/>
    </xf>
    <xf numFmtId="0" fontId="3" fillId="40" borderId="11" xfId="0" applyFont="1" applyFill="1" applyBorder="1" applyAlignment="1">
      <alignment vertical="top" wrapText="1"/>
    </xf>
    <xf numFmtId="164" fontId="7" fillId="39" borderId="40" xfId="42" applyNumberFormat="1" applyFont="1" applyFill="1" applyBorder="1" applyAlignment="1">
      <alignment horizontal="right" vertical="top" wrapText="1"/>
    </xf>
    <xf numFmtId="164" fontId="7" fillId="0" borderId="12" xfId="42" applyNumberFormat="1" applyFont="1" applyBorder="1" applyAlignment="1">
      <alignment horizontal="right" vertical="top" wrapText="1"/>
    </xf>
    <xf numFmtId="164" fontId="7" fillId="36" borderId="13" xfId="42" applyNumberFormat="1" applyFont="1" applyFill="1" applyBorder="1" applyAlignment="1">
      <alignment horizontal="right" vertical="top" wrapText="1"/>
    </xf>
    <xf numFmtId="164" fontId="7" fillId="36" borderId="10" xfId="42" applyNumberFormat="1" applyFont="1" applyFill="1" applyBorder="1" applyAlignment="1">
      <alignment horizontal="right" vertical="top" wrapText="1"/>
    </xf>
    <xf numFmtId="164" fontId="7" fillId="34" borderId="40" xfId="42" applyNumberFormat="1" applyFont="1" applyFill="1" applyBorder="1" applyAlignment="1">
      <alignment horizontal="right" vertical="top" wrapText="1"/>
    </xf>
    <xf numFmtId="164" fontId="7" fillId="34" borderId="37" xfId="42" applyNumberFormat="1" applyFont="1" applyFill="1" applyBorder="1" applyAlignment="1">
      <alignment horizontal="right" vertical="top" wrapText="1"/>
    </xf>
    <xf numFmtId="164" fontId="7" fillId="0" borderId="10" xfId="42" applyNumberFormat="1" applyFont="1" applyFill="1" applyBorder="1" applyAlignment="1">
      <alignment horizontal="right" vertical="top" wrapText="1"/>
    </xf>
    <xf numFmtId="164" fontId="7" fillId="0" borderId="22" xfId="42" applyNumberFormat="1" applyFont="1" applyFill="1" applyBorder="1" applyAlignment="1">
      <alignment horizontal="right" vertical="top" wrapText="1"/>
    </xf>
    <xf numFmtId="164" fontId="7" fillId="39" borderId="44" xfId="42" applyNumberFormat="1" applyFont="1" applyFill="1" applyBorder="1" applyAlignment="1">
      <alignment horizontal="right" vertical="top" wrapText="1"/>
    </xf>
    <xf numFmtId="164" fontId="7" fillId="36" borderId="28" xfId="42" applyNumberFormat="1" applyFont="1" applyFill="1" applyBorder="1" applyAlignment="1">
      <alignment horizontal="right" vertical="top" wrapText="1"/>
    </xf>
    <xf numFmtId="164" fontId="8" fillId="33" borderId="15" xfId="42" applyNumberFormat="1" applyFont="1" applyFill="1" applyBorder="1" applyAlignment="1">
      <alignment horizontal="right" vertical="top" wrapText="1"/>
    </xf>
    <xf numFmtId="164" fontId="7" fillId="33" borderId="25" xfId="42" applyNumberFormat="1" applyFont="1" applyFill="1" applyBorder="1" applyAlignment="1">
      <alignment horizontal="right" vertical="top"/>
    </xf>
    <xf numFmtId="164" fontId="7" fillId="0" borderId="40" xfId="42" applyNumberFormat="1" applyFont="1" applyFill="1" applyBorder="1" applyAlignment="1">
      <alignment horizontal="right" vertical="top" wrapText="1"/>
    </xf>
    <xf numFmtId="164" fontId="7" fillId="36" borderId="11" xfId="42" applyNumberFormat="1" applyFont="1" applyFill="1" applyBorder="1" applyAlignment="1">
      <alignment horizontal="right" vertical="top"/>
    </xf>
    <xf numFmtId="164" fontId="7" fillId="33" borderId="19" xfId="42" applyNumberFormat="1" applyFont="1" applyFill="1" applyBorder="1" applyAlignment="1">
      <alignment horizontal="right" vertical="top"/>
    </xf>
    <xf numFmtId="164" fontId="11" fillId="36" borderId="10" xfId="42" applyNumberFormat="1" applyFont="1" applyFill="1" applyBorder="1" applyAlignment="1">
      <alignment horizontal="right" vertical="top" wrapText="1"/>
    </xf>
    <xf numFmtId="164" fontId="8" fillId="33" borderId="84" xfId="42" applyNumberFormat="1" applyFont="1" applyFill="1" applyBorder="1" applyAlignment="1">
      <alignment horizontal="right" vertical="top" wrapText="1"/>
    </xf>
    <xf numFmtId="164" fontId="7" fillId="36" borderId="11" xfId="42" applyNumberFormat="1" applyFont="1" applyFill="1" applyBorder="1" applyAlignment="1">
      <alignment horizontal="right" vertical="top" wrapText="1"/>
    </xf>
    <xf numFmtId="164" fontId="7" fillId="38" borderId="19" xfId="42" applyNumberFormat="1" applyFont="1" applyFill="1" applyBorder="1" applyAlignment="1">
      <alignment horizontal="right" vertical="top" wrapText="1"/>
    </xf>
    <xf numFmtId="164" fontId="7" fillId="33" borderId="19" xfId="42" applyNumberFormat="1" applyFont="1" applyFill="1" applyBorder="1" applyAlignment="1">
      <alignment horizontal="right" vertical="top" wrapText="1"/>
    </xf>
    <xf numFmtId="164" fontId="3" fillId="33" borderId="103" xfId="42" applyNumberFormat="1" applyFont="1" applyFill="1" applyBorder="1" applyAlignment="1">
      <alignment horizontal="center" vertical="center" wrapText="1"/>
    </xf>
    <xf numFmtId="164" fontId="3" fillId="33" borderId="104" xfId="42" applyNumberFormat="1" applyFont="1" applyFill="1" applyBorder="1" applyAlignment="1">
      <alignment horizontal="center" vertical="center" wrapText="1"/>
    </xf>
    <xf numFmtId="164" fontId="3" fillId="33" borderId="105" xfId="42" applyNumberFormat="1" applyFont="1" applyFill="1" applyBorder="1" applyAlignment="1">
      <alignment horizontal="center" vertical="center" wrapText="1"/>
    </xf>
    <xf numFmtId="164" fontId="3" fillId="33" borderId="106" xfId="42" applyNumberFormat="1" applyFont="1" applyFill="1" applyBorder="1" applyAlignment="1">
      <alignment horizontal="center" vertical="center" wrapText="1"/>
    </xf>
    <xf numFmtId="164" fontId="3" fillId="33" borderId="107" xfId="42" applyNumberFormat="1" applyFont="1" applyFill="1" applyBorder="1" applyAlignment="1">
      <alignment horizontal="center" vertical="center" wrapText="1"/>
    </xf>
    <xf numFmtId="0" fontId="3" fillId="33" borderId="108" xfId="0" applyFont="1" applyFill="1" applyBorder="1" applyAlignment="1">
      <alignment horizontal="center" vertical="center" wrapText="1"/>
    </xf>
    <xf numFmtId="0" fontId="7" fillId="33" borderId="106"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8" fillId="33" borderId="106" xfId="0" applyFont="1" applyFill="1" applyBorder="1" applyAlignment="1">
      <alignment horizontal="left" vertical="top" wrapText="1"/>
    </xf>
    <xf numFmtId="0" fontId="8" fillId="33" borderId="107" xfId="0" applyFont="1" applyFill="1" applyBorder="1" applyAlignment="1">
      <alignment horizontal="left" vertical="top" wrapText="1"/>
    </xf>
    <xf numFmtId="0" fontId="8" fillId="33" borderId="108" xfId="0" applyFont="1" applyFill="1" applyBorder="1" applyAlignment="1">
      <alignment horizontal="left" vertical="top" wrapText="1"/>
    </xf>
    <xf numFmtId="164" fontId="7" fillId="34" borderId="106" xfId="42" applyNumberFormat="1" applyFont="1" applyFill="1" applyBorder="1" applyAlignment="1">
      <alignment horizontal="left" vertical="top" wrapText="1"/>
    </xf>
    <xf numFmtId="164" fontId="7" fillId="34" borderId="109" xfId="42" applyNumberFormat="1" applyFont="1" applyFill="1" applyBorder="1" applyAlignment="1">
      <alignment horizontal="right" vertical="top" wrapText="1"/>
    </xf>
    <xf numFmtId="164" fontId="7" fillId="34" borderId="37" xfId="42" applyNumberFormat="1" applyFont="1" applyFill="1" applyBorder="1" applyAlignment="1">
      <alignment horizontal="left" vertical="top" wrapText="1"/>
    </xf>
    <xf numFmtId="164" fontId="7" fillId="0" borderId="43" xfId="42" applyNumberFormat="1" applyFont="1" applyFill="1" applyBorder="1" applyAlignment="1">
      <alignment horizontal="left" vertical="top" wrapText="1"/>
    </xf>
    <xf numFmtId="164" fontId="7" fillId="34" borderId="107" xfId="0" applyNumberFormat="1" applyFont="1" applyFill="1" applyBorder="1" applyAlignment="1">
      <alignment horizontal="left" vertical="top" wrapText="1"/>
    </xf>
    <xf numFmtId="164" fontId="7" fillId="34" borderId="108" xfId="0" applyNumberFormat="1" applyFont="1" applyFill="1" applyBorder="1" applyAlignment="1">
      <alignment horizontal="left" vertical="top" wrapText="1"/>
    </xf>
    <xf numFmtId="164" fontId="7" fillId="0" borderId="47" xfId="42" applyNumberFormat="1" applyFont="1" applyFill="1" applyBorder="1" applyAlignment="1">
      <alignment horizontal="left" vertical="top" wrapText="1"/>
    </xf>
    <xf numFmtId="0" fontId="3" fillId="39" borderId="11" xfId="0" applyFont="1" applyFill="1" applyBorder="1" applyAlignment="1">
      <alignment horizontal="center" vertical="center" wrapText="1"/>
    </xf>
    <xf numFmtId="0" fontId="3" fillId="39" borderId="11" xfId="0" applyFont="1" applyFill="1" applyBorder="1" applyAlignment="1">
      <alignment vertical="center" wrapText="1"/>
    </xf>
    <xf numFmtId="164" fontId="7" fillId="0" borderId="42" xfId="42" applyNumberFormat="1" applyFont="1" applyFill="1" applyBorder="1" applyAlignment="1">
      <alignment horizontal="left" vertical="top" wrapText="1"/>
    </xf>
    <xf numFmtId="164" fontId="7" fillId="39" borderId="109" xfId="42" applyNumberFormat="1" applyFont="1" applyFill="1" applyBorder="1" applyAlignment="1">
      <alignment horizontal="right" vertical="top" wrapText="1"/>
    </xf>
    <xf numFmtId="164" fontId="3" fillId="34" borderId="40" xfId="42" applyNumberFormat="1" applyFont="1" applyFill="1" applyBorder="1" applyAlignment="1">
      <alignment horizontal="right" vertical="top" wrapText="1"/>
    </xf>
    <xf numFmtId="164" fontId="3" fillId="34" borderId="40" xfId="42" applyNumberFormat="1" applyFont="1" applyFill="1" applyBorder="1" applyAlignment="1">
      <alignment horizontal="left" vertical="top" wrapText="1"/>
    </xf>
    <xf numFmtId="164" fontId="3" fillId="34" borderId="107" xfId="0" applyNumberFormat="1" applyFont="1" applyFill="1" applyBorder="1" applyAlignment="1">
      <alignment horizontal="left" vertical="top" wrapText="1"/>
    </xf>
    <xf numFmtId="164" fontId="3" fillId="34" borderId="108" xfId="0" applyNumberFormat="1" applyFont="1" applyFill="1" applyBorder="1" applyAlignment="1">
      <alignment horizontal="left" vertical="top" wrapText="1"/>
    </xf>
    <xf numFmtId="164" fontId="7" fillId="34" borderId="44" xfId="42" applyNumberFormat="1" applyFont="1" applyFill="1" applyBorder="1" applyAlignment="1">
      <alignment horizontal="left" vertical="top" wrapText="1"/>
    </xf>
    <xf numFmtId="0" fontId="3" fillId="40" borderId="10" xfId="0" applyFont="1" applyFill="1" applyBorder="1" applyAlignment="1">
      <alignment horizontal="center" vertical="center" wrapText="1"/>
    </xf>
    <xf numFmtId="164" fontId="3" fillId="0" borderId="47" xfId="42" applyNumberFormat="1" applyFont="1" applyFill="1" applyBorder="1" applyAlignment="1">
      <alignment horizontal="left" vertical="top" wrapText="1"/>
    </xf>
    <xf numFmtId="164" fontId="7" fillId="34" borderId="110" xfId="42" applyNumberFormat="1" applyFont="1" applyFill="1" applyBorder="1" applyAlignment="1">
      <alignment horizontal="right" vertical="top" wrapText="1"/>
    </xf>
    <xf numFmtId="164" fontId="7" fillId="34" borderId="44" xfId="42" applyNumberFormat="1" applyFont="1" applyFill="1" applyBorder="1" applyAlignment="1">
      <alignment horizontal="right" vertical="top" wrapText="1"/>
    </xf>
    <xf numFmtId="164" fontId="3" fillId="34" borderId="44" xfId="42" applyNumberFormat="1" applyFont="1" applyFill="1" applyBorder="1" applyAlignment="1">
      <alignment horizontal="right" vertical="top" wrapText="1"/>
    </xf>
    <xf numFmtId="0" fontId="7" fillId="40" borderId="42" xfId="0" applyFont="1" applyFill="1" applyBorder="1" applyAlignment="1">
      <alignment vertical="top" wrapText="1"/>
    </xf>
    <xf numFmtId="164" fontId="7" fillId="39" borderId="47" xfId="42" applyNumberFormat="1" applyFont="1" applyFill="1" applyBorder="1" applyAlignment="1">
      <alignment horizontal="left" vertical="top" wrapText="1"/>
    </xf>
    <xf numFmtId="164" fontId="7" fillId="0" borderId="42" xfId="42" applyNumberFormat="1" applyFont="1" applyFill="1" applyBorder="1" applyAlignment="1">
      <alignment vertical="top" wrapText="1"/>
    </xf>
    <xf numFmtId="178" fontId="7" fillId="0" borderId="42" xfId="0" applyNumberFormat="1" applyFont="1" applyFill="1" applyBorder="1" applyAlignment="1">
      <alignment vertical="top" wrapText="1"/>
    </xf>
    <xf numFmtId="0" fontId="3" fillId="34" borderId="57" xfId="0" applyFont="1" applyFill="1" applyBorder="1" applyAlignment="1">
      <alignment vertical="top" wrapText="1"/>
    </xf>
    <xf numFmtId="0" fontId="3" fillId="34" borderId="14" xfId="0" applyFont="1" applyFill="1" applyBorder="1" applyAlignment="1">
      <alignment horizontal="left" vertical="top" wrapText="1"/>
    </xf>
    <xf numFmtId="0" fontId="7" fillId="34" borderId="22" xfId="0" applyFont="1" applyFill="1" applyBorder="1" applyAlignment="1">
      <alignment horizontal="center" vertical="top" wrapText="1"/>
    </xf>
    <xf numFmtId="3" fontId="7" fillId="34" borderId="22" xfId="0" applyNumberFormat="1" applyFont="1" applyFill="1" applyBorder="1" applyAlignment="1">
      <alignment horizontal="center" vertical="top" wrapText="1"/>
    </xf>
    <xf numFmtId="0" fontId="7" fillId="34" borderId="22" xfId="0" applyFont="1" applyFill="1" applyBorder="1" applyAlignment="1">
      <alignment horizontal="justify" vertical="top" wrapText="1"/>
    </xf>
    <xf numFmtId="0" fontId="7" fillId="34" borderId="25" xfId="0" applyFont="1" applyFill="1" applyBorder="1" applyAlignment="1">
      <alignment horizontal="justify" vertical="top" wrapText="1"/>
    </xf>
    <xf numFmtId="164" fontId="7" fillId="34" borderId="10" xfId="42" applyNumberFormat="1" applyFont="1" applyFill="1" applyBorder="1" applyAlignment="1">
      <alignment horizontal="right" vertical="top" wrapText="1"/>
    </xf>
    <xf numFmtId="164" fontId="3" fillId="34" borderId="22" xfId="42" applyNumberFormat="1" applyFont="1" applyFill="1" applyBorder="1" applyAlignment="1">
      <alignment horizontal="justify" vertical="top" wrapText="1"/>
    </xf>
    <xf numFmtId="3" fontId="7" fillId="34" borderId="10" xfId="0" applyNumberFormat="1" applyFont="1" applyFill="1" applyBorder="1" applyAlignment="1">
      <alignment horizontal="center" vertical="top" wrapText="1"/>
    </xf>
    <xf numFmtId="0" fontId="7" fillId="34" borderId="10" xfId="0" applyFont="1" applyFill="1" applyBorder="1" applyAlignment="1">
      <alignment horizontal="justify" vertical="top" wrapText="1"/>
    </xf>
    <xf numFmtId="0" fontId="7" fillId="34" borderId="111" xfId="0" applyFont="1" applyFill="1" applyBorder="1" applyAlignment="1">
      <alignment vertical="top" wrapText="1"/>
    </xf>
    <xf numFmtId="3" fontId="7" fillId="34" borderId="111" xfId="0" applyNumberFormat="1" applyFont="1" applyFill="1" applyBorder="1" applyAlignment="1">
      <alignment horizontal="center" vertical="top" wrapText="1"/>
    </xf>
    <xf numFmtId="0" fontId="3" fillId="34" borderId="111" xfId="0" applyFont="1" applyFill="1" applyBorder="1" applyAlignment="1">
      <alignment horizontal="center" vertical="top" wrapText="1"/>
    </xf>
    <xf numFmtId="0" fontId="7" fillId="34" borderId="111" xfId="0" applyFont="1" applyFill="1" applyBorder="1" applyAlignment="1">
      <alignment horizontal="left" vertical="top" wrapText="1"/>
    </xf>
    <xf numFmtId="164" fontId="7" fillId="34" borderId="111" xfId="42" applyNumberFormat="1" applyFont="1" applyFill="1" applyBorder="1" applyAlignment="1">
      <alignment vertical="top" wrapText="1"/>
    </xf>
    <xf numFmtId="164" fontId="7" fillId="34" borderId="111" xfId="42" applyNumberFormat="1" applyFont="1" applyFill="1" applyBorder="1" applyAlignment="1">
      <alignment horizontal="right" vertical="top" wrapText="1"/>
    </xf>
    <xf numFmtId="164" fontId="3" fillId="34" borderId="111" xfId="42" applyNumberFormat="1" applyFont="1" applyFill="1" applyBorder="1" applyAlignment="1">
      <alignment vertical="top" wrapText="1"/>
    </xf>
    <xf numFmtId="164" fontId="3" fillId="34" borderId="111" xfId="42" applyNumberFormat="1" applyFont="1" applyFill="1" applyBorder="1" applyAlignment="1">
      <alignment horizontal="justify" vertical="top" wrapText="1"/>
    </xf>
    <xf numFmtId="0" fontId="3" fillId="34" borderId="112" xfId="0" applyFont="1" applyFill="1" applyBorder="1" applyAlignment="1">
      <alignment vertical="top" wrapText="1"/>
    </xf>
    <xf numFmtId="0" fontId="7" fillId="34" borderId="12" xfId="0" applyFont="1" applyFill="1" applyBorder="1" applyAlignment="1">
      <alignment vertical="top" wrapText="1"/>
    </xf>
    <xf numFmtId="3" fontId="7" fillId="34" borderId="12" xfId="0" applyNumberFormat="1" applyFont="1" applyFill="1" applyBorder="1" applyAlignment="1">
      <alignment horizontal="center" vertical="top" wrapText="1"/>
    </xf>
    <xf numFmtId="0" fontId="3" fillId="34" borderId="12" xfId="0" applyFont="1" applyFill="1" applyBorder="1" applyAlignment="1">
      <alignment horizontal="center" vertical="top" wrapText="1"/>
    </xf>
    <xf numFmtId="164" fontId="7" fillId="34" borderId="12" xfId="42" applyNumberFormat="1" applyFont="1" applyFill="1" applyBorder="1" applyAlignment="1">
      <alignment vertical="top" wrapText="1"/>
    </xf>
    <xf numFmtId="164" fontId="7" fillId="34" borderId="12" xfId="42" applyNumberFormat="1" applyFont="1" applyFill="1" applyBorder="1" applyAlignment="1">
      <alignment horizontal="right" vertical="top" wrapText="1"/>
    </xf>
    <xf numFmtId="164" fontId="3" fillId="34" borderId="12" xfId="42" applyNumberFormat="1" applyFont="1" applyFill="1" applyBorder="1" applyAlignment="1">
      <alignment vertical="top" wrapText="1"/>
    </xf>
    <xf numFmtId="164" fontId="3" fillId="34" borderId="12" xfId="42" applyNumberFormat="1" applyFont="1" applyFill="1" applyBorder="1" applyAlignment="1">
      <alignment horizontal="justify" vertical="top" wrapText="1"/>
    </xf>
    <xf numFmtId="0" fontId="3" fillId="34" borderId="65" xfId="0" applyFont="1" applyFill="1" applyBorder="1" applyAlignment="1">
      <alignment vertical="top" wrapText="1"/>
    </xf>
    <xf numFmtId="0" fontId="7" fillId="34" borderId="12" xfId="0" applyFont="1" applyFill="1" applyBorder="1" applyAlignment="1">
      <alignment horizontal="left" vertical="top" wrapText="1"/>
    </xf>
    <xf numFmtId="0" fontId="7" fillId="34" borderId="113" xfId="0" applyFont="1" applyFill="1" applyBorder="1" applyAlignment="1">
      <alignment vertical="top" wrapText="1"/>
    </xf>
    <xf numFmtId="3" fontId="7" fillId="34" borderId="113" xfId="0" applyNumberFormat="1" applyFont="1" applyFill="1" applyBorder="1" applyAlignment="1">
      <alignment horizontal="center" vertical="top" wrapText="1"/>
    </xf>
    <xf numFmtId="0" fontId="3" fillId="34" borderId="113" xfId="0" applyFont="1" applyFill="1" applyBorder="1" applyAlignment="1">
      <alignment horizontal="center" vertical="top" wrapText="1"/>
    </xf>
    <xf numFmtId="0" fontId="7" fillId="34" borderId="113" xfId="0" applyFont="1" applyFill="1" applyBorder="1" applyAlignment="1">
      <alignment horizontal="left" vertical="top" wrapText="1"/>
    </xf>
    <xf numFmtId="164" fontId="7" fillId="34" borderId="113" xfId="42" applyNumberFormat="1" applyFont="1" applyFill="1" applyBorder="1" applyAlignment="1">
      <alignment horizontal="right" vertical="top" wrapText="1"/>
    </xf>
    <xf numFmtId="169" fontId="3" fillId="34" borderId="113" xfId="42" applyNumberFormat="1" applyFont="1" applyFill="1" applyBorder="1" applyAlignment="1">
      <alignment vertical="top" wrapText="1"/>
    </xf>
    <xf numFmtId="164" fontId="3" fillId="34" borderId="113" xfId="42" applyNumberFormat="1" applyFont="1" applyFill="1" applyBorder="1" applyAlignment="1">
      <alignment vertical="top" wrapText="1"/>
    </xf>
    <xf numFmtId="164" fontId="3" fillId="34" borderId="113" xfId="42" applyNumberFormat="1" applyFont="1" applyFill="1" applyBorder="1" applyAlignment="1">
      <alignment horizontal="justify" vertical="top" wrapText="1"/>
    </xf>
    <xf numFmtId="0" fontId="3" fillId="34" borderId="114" xfId="0" applyFont="1" applyFill="1" applyBorder="1" applyAlignment="1">
      <alignment vertical="top" wrapText="1"/>
    </xf>
    <xf numFmtId="0" fontId="3" fillId="34" borderId="22" xfId="0" applyFont="1" applyFill="1" applyBorder="1" applyAlignment="1">
      <alignment vertical="top" wrapText="1"/>
    </xf>
    <xf numFmtId="0" fontId="3" fillId="34" borderId="22" xfId="0" applyFont="1" applyFill="1" applyBorder="1" applyAlignment="1">
      <alignment horizontal="center" vertical="top" wrapText="1"/>
    </xf>
    <xf numFmtId="164" fontId="7" fillId="34" borderId="22" xfId="42" applyNumberFormat="1" applyFont="1" applyFill="1" applyBorder="1" applyAlignment="1">
      <alignment horizontal="right" vertical="top" wrapText="1"/>
    </xf>
    <xf numFmtId="0" fontId="3" fillId="34" borderId="60" xfId="0" applyFont="1" applyFill="1" applyBorder="1" applyAlignment="1">
      <alignment horizontal="left" vertical="top" wrapText="1"/>
    </xf>
    <xf numFmtId="0" fontId="3" fillId="34" borderId="23" xfId="0" applyFont="1" applyFill="1" applyBorder="1" applyAlignment="1">
      <alignment vertical="top" wrapText="1"/>
    </xf>
    <xf numFmtId="3" fontId="3" fillId="34" borderId="23" xfId="0" applyNumberFormat="1" applyFont="1" applyFill="1" applyBorder="1" applyAlignment="1">
      <alignment horizontal="center" vertical="top" wrapText="1"/>
    </xf>
    <xf numFmtId="0" fontId="7" fillId="34" borderId="23" xfId="0" applyFont="1" applyFill="1" applyBorder="1" applyAlignment="1">
      <alignment horizontal="left" vertical="top" wrapText="1"/>
    </xf>
    <xf numFmtId="0" fontId="7" fillId="34" borderId="23" xfId="0" applyFont="1" applyFill="1" applyBorder="1" applyAlignment="1">
      <alignment horizontal="justify" vertical="top" wrapText="1"/>
    </xf>
    <xf numFmtId="164" fontId="7" fillId="34" borderId="23" xfId="42" applyNumberFormat="1" applyFont="1" applyFill="1" applyBorder="1" applyAlignment="1">
      <alignment horizontal="right" vertical="top" wrapText="1"/>
    </xf>
    <xf numFmtId="0" fontId="3" fillId="34" borderId="74" xfId="0" applyFont="1" applyFill="1" applyBorder="1" applyAlignment="1">
      <alignment horizontal="left" vertical="top" wrapText="1"/>
    </xf>
    <xf numFmtId="164" fontId="10" fillId="34" borderId="111" xfId="42" applyNumberFormat="1" applyFont="1" applyFill="1" applyBorder="1" applyAlignment="1">
      <alignment vertical="top" wrapText="1"/>
    </xf>
    <xf numFmtId="164" fontId="3" fillId="36" borderId="10" xfId="42" applyNumberFormat="1" applyFont="1" applyFill="1" applyBorder="1" applyAlignment="1" quotePrefix="1">
      <alignment horizontal="right" vertical="top" wrapText="1"/>
    </xf>
    <xf numFmtId="164" fontId="7" fillId="34" borderId="23" xfId="42" applyNumberFormat="1" applyFont="1" applyFill="1" applyBorder="1" applyAlignment="1">
      <alignment horizontal="left" vertical="top" wrapText="1"/>
    </xf>
    <xf numFmtId="164" fontId="7" fillId="34" borderId="22" xfId="42" applyNumberFormat="1" applyFont="1" applyFill="1" applyBorder="1" applyAlignment="1">
      <alignment horizontal="left" vertical="top" wrapText="1"/>
    </xf>
    <xf numFmtId="164" fontId="7" fillId="34" borderId="77" xfId="42" applyNumberFormat="1" applyFont="1" applyFill="1" applyBorder="1" applyAlignment="1">
      <alignment horizontal="left" vertical="top" wrapText="1"/>
    </xf>
    <xf numFmtId="164" fontId="7" fillId="34" borderId="110" xfId="42" applyNumberFormat="1" applyFont="1" applyFill="1" applyBorder="1" applyAlignment="1">
      <alignment horizontal="left" vertical="top" wrapText="1"/>
    </xf>
    <xf numFmtId="164" fontId="7" fillId="0" borderId="22" xfId="42" applyNumberFormat="1" applyFont="1" applyFill="1" applyBorder="1" applyAlignment="1">
      <alignment horizontal="left" vertical="top" wrapText="1"/>
    </xf>
    <xf numFmtId="164" fontId="3" fillId="39" borderId="47" xfId="42" applyNumberFormat="1" applyFont="1" applyFill="1" applyBorder="1" applyAlignment="1">
      <alignment horizontal="left" vertical="top" wrapText="1"/>
    </xf>
    <xf numFmtId="164" fontId="7" fillId="36" borderId="28" xfId="42" applyNumberFormat="1" applyFont="1" applyFill="1" applyBorder="1" applyAlignment="1">
      <alignment vertical="top" wrapText="1"/>
    </xf>
    <xf numFmtId="164" fontId="8" fillId="33" borderId="15" xfId="42" applyNumberFormat="1" applyFont="1" applyFill="1" applyBorder="1" applyAlignment="1">
      <alignment horizontal="left" vertical="center" wrapText="1"/>
    </xf>
    <xf numFmtId="164" fontId="7" fillId="33" borderId="25" xfId="42" applyNumberFormat="1" applyFont="1" applyFill="1" applyBorder="1" applyAlignment="1">
      <alignment horizontal="left" vertical="top"/>
    </xf>
    <xf numFmtId="164" fontId="7" fillId="0" borderId="77" xfId="42" applyNumberFormat="1" applyFont="1" applyFill="1" applyBorder="1" applyAlignment="1">
      <alignment horizontal="left" vertical="top" wrapText="1"/>
    </xf>
    <xf numFmtId="164" fontId="7" fillId="36" borderId="11" xfId="42" applyNumberFormat="1" applyFont="1" applyFill="1" applyBorder="1" applyAlignment="1">
      <alignment/>
    </xf>
    <xf numFmtId="164" fontId="7" fillId="33" borderId="19" xfId="42" applyNumberFormat="1" applyFont="1" applyFill="1" applyBorder="1" applyAlignment="1">
      <alignment horizontal="left" vertical="top"/>
    </xf>
    <xf numFmtId="164" fontId="11" fillId="36" borderId="10" xfId="42" applyNumberFormat="1" applyFont="1" applyFill="1" applyBorder="1" applyAlignment="1">
      <alignment horizontal="left" vertical="top" wrapText="1"/>
    </xf>
    <xf numFmtId="164" fontId="8" fillId="33" borderId="84" xfId="42" applyNumberFormat="1" applyFont="1" applyFill="1" applyBorder="1" applyAlignment="1">
      <alignment horizontal="left" vertical="center" wrapText="1"/>
    </xf>
    <xf numFmtId="164" fontId="7" fillId="38" borderId="19" xfId="42" applyNumberFormat="1" applyFont="1" applyFill="1" applyBorder="1" applyAlignment="1">
      <alignment horizontal="left" vertical="top" wrapText="1"/>
    </xf>
    <xf numFmtId="164" fontId="7" fillId="33" borderId="19" xfId="42" applyNumberFormat="1" applyFont="1" applyFill="1" applyBorder="1" applyAlignment="1">
      <alignment horizontal="left" vertical="top" wrapText="1"/>
    </xf>
    <xf numFmtId="164" fontId="10" fillId="36" borderId="10" xfId="42" applyNumberFormat="1" applyFont="1" applyFill="1" applyBorder="1" applyAlignment="1" quotePrefix="1">
      <alignment horizontal="left" vertical="top" wrapText="1"/>
    </xf>
    <xf numFmtId="164" fontId="7" fillId="34" borderId="113" xfId="42" applyNumberFormat="1" applyFont="1" applyFill="1" applyBorder="1" applyAlignment="1">
      <alignment vertical="top" wrapText="1"/>
    </xf>
    <xf numFmtId="0" fontId="8" fillId="39" borderId="11" xfId="0" applyFont="1" applyFill="1" applyBorder="1" applyAlignment="1">
      <alignment vertical="top" wrapText="1"/>
    </xf>
    <xf numFmtId="164" fontId="3" fillId="39" borderId="40" xfId="42" applyNumberFormat="1" applyFont="1" applyFill="1" applyBorder="1" applyAlignment="1">
      <alignment horizontal="left" vertical="top" wrapText="1"/>
    </xf>
    <xf numFmtId="0" fontId="3" fillId="39" borderId="22" xfId="0" applyFont="1" applyFill="1" applyBorder="1" applyAlignment="1">
      <alignment horizontal="center" vertical="center" wrapText="1"/>
    </xf>
    <xf numFmtId="164" fontId="7" fillId="39" borderId="22" xfId="42" applyNumberFormat="1" applyFont="1" applyFill="1" applyBorder="1" applyAlignment="1">
      <alignment horizontal="left" vertical="top" wrapText="1"/>
    </xf>
    <xf numFmtId="164" fontId="3" fillId="36" borderId="106" xfId="42" applyNumberFormat="1" applyFont="1" applyFill="1" applyBorder="1" applyAlignment="1">
      <alignment horizontal="left" vertical="top" wrapText="1"/>
    </xf>
    <xf numFmtId="164" fontId="3" fillId="36" borderId="107" xfId="0" applyNumberFormat="1" applyFont="1" applyFill="1" applyBorder="1" applyAlignment="1">
      <alignment horizontal="left" vertical="top" wrapText="1"/>
    </xf>
    <xf numFmtId="164" fontId="3" fillId="36" borderId="108" xfId="0" applyNumberFormat="1" applyFont="1" applyFill="1" applyBorder="1" applyAlignment="1">
      <alignment horizontal="left" vertical="top" wrapText="1"/>
    </xf>
    <xf numFmtId="164" fontId="7" fillId="36" borderId="40" xfId="42" applyNumberFormat="1" applyFont="1" applyFill="1" applyBorder="1" applyAlignment="1">
      <alignment horizontal="left" vertical="top" wrapText="1"/>
    </xf>
    <xf numFmtId="164" fontId="7" fillId="36" borderId="47" xfId="42" applyNumberFormat="1" applyFont="1" applyFill="1" applyBorder="1" applyAlignment="1">
      <alignment horizontal="right" vertical="top" wrapText="1"/>
    </xf>
    <xf numFmtId="164" fontId="7" fillId="36" borderId="44" xfId="42" applyNumberFormat="1" applyFont="1" applyFill="1" applyBorder="1" applyAlignment="1">
      <alignment horizontal="right" vertical="top" wrapText="1"/>
    </xf>
    <xf numFmtId="164" fontId="3" fillId="36" borderId="40" xfId="42" applyNumberFormat="1" applyFont="1" applyFill="1" applyBorder="1" applyAlignment="1">
      <alignment horizontal="left" vertical="top" wrapText="1"/>
    </xf>
    <xf numFmtId="164" fontId="3" fillId="36" borderId="28" xfId="42" applyNumberFormat="1" applyFont="1" applyFill="1" applyBorder="1" applyAlignment="1">
      <alignment horizontal="right" vertical="top" wrapText="1"/>
    </xf>
    <xf numFmtId="164" fontId="3" fillId="36" borderId="11" xfId="42" applyNumberFormat="1" applyFont="1" applyFill="1" applyBorder="1" applyAlignment="1">
      <alignment horizontal="right" vertical="top"/>
    </xf>
    <xf numFmtId="164" fontId="3" fillId="36" borderId="11" xfId="42" applyNumberFormat="1" applyFont="1" applyFill="1" applyBorder="1" applyAlignment="1">
      <alignment vertical="top"/>
    </xf>
    <xf numFmtId="164" fontId="4" fillId="36" borderId="10" xfId="42" applyNumberFormat="1" applyFont="1" applyFill="1" applyBorder="1" applyAlignment="1">
      <alignment horizontal="right" vertical="top" wrapText="1"/>
    </xf>
    <xf numFmtId="178" fontId="3" fillId="36" borderId="10" xfId="42" applyNumberFormat="1" applyFont="1" applyFill="1" applyBorder="1" applyAlignment="1">
      <alignment horizontal="right" vertical="top" wrapText="1"/>
    </xf>
    <xf numFmtId="164" fontId="3" fillId="36" borderId="11" xfId="42" applyNumberFormat="1" applyFont="1" applyFill="1" applyBorder="1" applyAlignment="1">
      <alignment horizontal="right" vertical="top" wrapText="1"/>
    </xf>
    <xf numFmtId="178" fontId="3" fillId="36" borderId="10" xfId="0" applyNumberFormat="1" applyFont="1" applyFill="1" applyBorder="1" applyAlignment="1">
      <alignment vertical="top" wrapText="1"/>
    </xf>
    <xf numFmtId="164" fontId="7" fillId="35" borderId="106" xfId="42" applyNumberFormat="1" applyFont="1" applyFill="1" applyBorder="1" applyAlignment="1">
      <alignment horizontal="left" vertical="top" wrapText="1"/>
    </xf>
    <xf numFmtId="164" fontId="3" fillId="35" borderId="106" xfId="42" applyNumberFormat="1" applyFont="1" applyFill="1" applyBorder="1" applyAlignment="1">
      <alignment horizontal="left" vertical="top" wrapText="1"/>
    </xf>
    <xf numFmtId="164" fontId="7" fillId="41" borderId="40" xfId="42" applyNumberFormat="1" applyFont="1" applyFill="1" applyBorder="1" applyAlignment="1">
      <alignment horizontal="left" vertical="top" wrapText="1"/>
    </xf>
    <xf numFmtId="164" fontId="3" fillId="41" borderId="11" xfId="42" applyNumberFormat="1" applyFont="1" applyFill="1" applyBorder="1" applyAlignment="1">
      <alignment horizontal="center" vertical="center" wrapText="1"/>
    </xf>
    <xf numFmtId="164" fontId="30" fillId="0" borderId="20" xfId="42" applyNumberFormat="1" applyFont="1" applyFill="1" applyBorder="1" applyAlignment="1">
      <alignment horizontal="justify" vertical="top" wrapText="1"/>
    </xf>
    <xf numFmtId="164" fontId="30" fillId="34" borderId="40" xfId="42" applyNumberFormat="1" applyFont="1" applyFill="1" applyBorder="1" applyAlignment="1">
      <alignment horizontal="right" vertical="top" wrapText="1"/>
    </xf>
    <xf numFmtId="164" fontId="31" fillId="0" borderId="15" xfId="42" applyNumberFormat="1" applyFont="1" applyFill="1" applyBorder="1" applyAlignment="1">
      <alignment horizontal="justify" vertical="top" wrapText="1"/>
    </xf>
    <xf numFmtId="164" fontId="31" fillId="0" borderId="15" xfId="42" applyNumberFormat="1" applyFont="1" applyFill="1" applyBorder="1" applyAlignment="1">
      <alignment horizontal="right" vertical="top" wrapText="1"/>
    </xf>
    <xf numFmtId="164" fontId="31" fillId="0" borderId="15" xfId="0" applyNumberFormat="1" applyFont="1" applyFill="1" applyBorder="1" applyAlignment="1">
      <alignment horizontal="right" vertical="top" wrapText="1"/>
    </xf>
    <xf numFmtId="0" fontId="31" fillId="0" borderId="63" xfId="0" applyFont="1" applyFill="1" applyBorder="1" applyAlignment="1">
      <alignment vertical="center" wrapText="1"/>
    </xf>
    <xf numFmtId="164" fontId="32" fillId="0" borderId="0" xfId="0" applyNumberFormat="1" applyFont="1" applyAlignment="1">
      <alignment/>
    </xf>
    <xf numFmtId="164" fontId="32" fillId="34" borderId="0" xfId="42" applyNumberFormat="1" applyFont="1" applyFill="1" applyBorder="1" applyAlignment="1">
      <alignment vertical="top" wrapText="1"/>
    </xf>
    <xf numFmtId="164" fontId="32" fillId="0" borderId="0" xfId="0" applyNumberFormat="1" applyFont="1" applyBorder="1" applyAlignment="1">
      <alignment/>
    </xf>
    <xf numFmtId="164" fontId="25" fillId="0" borderId="0" xfId="42" applyNumberFormat="1" applyFont="1" applyBorder="1" applyAlignment="1">
      <alignment/>
    </xf>
    <xf numFmtId="164" fontId="7" fillId="34" borderId="0" xfId="42" applyNumberFormat="1" applyFont="1" applyFill="1" applyBorder="1" applyAlignment="1">
      <alignment horizontal="left" vertical="top" wrapText="1"/>
    </xf>
    <xf numFmtId="164" fontId="25" fillId="0" borderId="0" xfId="0" applyNumberFormat="1" applyFont="1" applyBorder="1" applyAlignment="1">
      <alignment/>
    </xf>
    <xf numFmtId="164" fontId="24" fillId="0" borderId="0" xfId="0" applyNumberFormat="1" applyFont="1" applyBorder="1" applyAlignment="1">
      <alignment/>
    </xf>
    <xf numFmtId="164" fontId="10" fillId="0" borderId="0" xfId="0" applyNumberFormat="1" applyFont="1" applyBorder="1" applyAlignment="1">
      <alignment/>
    </xf>
    <xf numFmtId="164" fontId="24" fillId="0" borderId="0" xfId="42" applyNumberFormat="1" applyFont="1" applyAlignment="1">
      <alignment/>
    </xf>
    <xf numFmtId="164" fontId="24" fillId="0" borderId="0" xfId="0" applyNumberFormat="1" applyFont="1" applyAlignment="1">
      <alignment/>
    </xf>
    <xf numFmtId="164" fontId="30" fillId="33" borderId="13" xfId="42" applyNumberFormat="1" applyFont="1" applyFill="1" applyBorder="1" applyAlignment="1">
      <alignment horizontal="justify" vertical="top" wrapText="1"/>
    </xf>
    <xf numFmtId="164" fontId="30" fillId="33" borderId="22" xfId="42" applyNumberFormat="1" applyFont="1" applyFill="1" applyBorder="1" applyAlignment="1">
      <alignment horizontal="justify" vertical="top" wrapText="1"/>
    </xf>
    <xf numFmtId="164" fontId="30" fillId="33" borderId="10" xfId="42" applyNumberFormat="1" applyFont="1" applyFill="1" applyBorder="1" applyAlignment="1">
      <alignment horizontal="justify" vertical="top" wrapText="1"/>
    </xf>
    <xf numFmtId="164" fontId="3" fillId="33" borderId="115" xfId="0" applyNumberFormat="1" applyFont="1" applyFill="1" applyBorder="1" applyAlignment="1">
      <alignment vertical="top" wrapText="1"/>
    </xf>
    <xf numFmtId="164" fontId="3" fillId="33" borderId="116" xfId="0" applyNumberFormat="1" applyFont="1" applyFill="1" applyBorder="1" applyAlignment="1">
      <alignment vertical="top" wrapText="1"/>
    </xf>
    <xf numFmtId="164" fontId="3" fillId="33" borderId="101" xfId="0" applyNumberFormat="1" applyFont="1" applyFill="1" applyBorder="1" applyAlignment="1">
      <alignment vertical="top" wrapText="1"/>
    </xf>
    <xf numFmtId="164" fontId="12" fillId="33" borderId="22" xfId="42" applyNumberFormat="1" applyFont="1" applyFill="1" applyBorder="1" applyAlignment="1">
      <alignment horizontal="justify" vertical="top" wrapText="1"/>
    </xf>
    <xf numFmtId="164" fontId="12" fillId="33" borderId="117" xfId="42" applyNumberFormat="1" applyFont="1" applyFill="1" applyBorder="1" applyAlignment="1">
      <alignment horizontal="justify" vertical="top" wrapText="1"/>
    </xf>
    <xf numFmtId="164" fontId="12" fillId="33" borderId="118" xfId="42" applyNumberFormat="1" applyFont="1" applyFill="1" applyBorder="1" applyAlignment="1">
      <alignment horizontal="justify" vertical="top" wrapText="1"/>
    </xf>
    <xf numFmtId="0" fontId="37" fillId="0" borderId="0" xfId="0" applyFont="1" applyAlignment="1">
      <alignment vertical="top" wrapText="1"/>
    </xf>
    <xf numFmtId="0" fontId="38" fillId="0" borderId="0" xfId="0" applyFont="1" applyAlignment="1">
      <alignment horizontal="left" vertical="top" wrapText="1"/>
    </xf>
    <xf numFmtId="0" fontId="37" fillId="0" borderId="0" xfId="0" applyFont="1" applyFill="1" applyAlignment="1">
      <alignment horizontal="left" vertical="top" wrapText="1"/>
    </xf>
    <xf numFmtId="0" fontId="38" fillId="0" borderId="0" xfId="0" applyFont="1" applyAlignment="1">
      <alignment vertical="top" wrapText="1"/>
    </xf>
    <xf numFmtId="0" fontId="38" fillId="42" borderId="0" xfId="0" applyFont="1" applyFill="1" applyAlignment="1">
      <alignment vertical="top" wrapText="1"/>
    </xf>
    <xf numFmtId="0" fontId="38" fillId="34" borderId="0" xfId="0" applyFont="1" applyFill="1" applyAlignment="1">
      <alignment vertical="top" wrapText="1"/>
    </xf>
    <xf numFmtId="0" fontId="38" fillId="0" borderId="0" xfId="0" applyFont="1" applyBorder="1" applyAlignment="1">
      <alignment vertical="top" wrapText="1"/>
    </xf>
    <xf numFmtId="0" fontId="37" fillId="0" borderId="0" xfId="0" applyFont="1" applyBorder="1" applyAlignment="1">
      <alignment vertical="top" wrapText="1"/>
    </xf>
    <xf numFmtId="9" fontId="38" fillId="0" borderId="0" xfId="61" applyFont="1" applyAlignment="1">
      <alignment vertical="top" wrapText="1"/>
    </xf>
    <xf numFmtId="164" fontId="38" fillId="0" borderId="0" xfId="42" applyNumberFormat="1" applyFont="1" applyAlignment="1">
      <alignment vertical="top" wrapText="1"/>
    </xf>
    <xf numFmtId="164" fontId="38" fillId="0" borderId="0" xfId="0" applyNumberFormat="1" applyFont="1" applyBorder="1" applyAlignment="1">
      <alignment vertical="top" wrapText="1"/>
    </xf>
    <xf numFmtId="0" fontId="38" fillId="42" borderId="0" xfId="0" applyFont="1" applyFill="1" applyAlignment="1">
      <alignment/>
    </xf>
    <xf numFmtId="0" fontId="38" fillId="34" borderId="0" xfId="0" applyFont="1" applyFill="1" applyAlignment="1">
      <alignment/>
    </xf>
    <xf numFmtId="0" fontId="38" fillId="0" borderId="0" xfId="0" applyFont="1" applyAlignment="1">
      <alignment/>
    </xf>
    <xf numFmtId="0" fontId="38" fillId="0" borderId="0" xfId="0" applyFont="1" applyBorder="1" applyAlignment="1">
      <alignment/>
    </xf>
    <xf numFmtId="0" fontId="39" fillId="34" borderId="19" xfId="0" applyFont="1" applyFill="1" applyBorder="1" applyAlignment="1">
      <alignment horizontal="left" vertical="top" wrapText="1"/>
    </xf>
    <xf numFmtId="0" fontId="39" fillId="42" borderId="19" xfId="0" applyFont="1" applyFill="1" applyBorder="1" applyAlignment="1">
      <alignment horizontal="left" vertical="top" wrapText="1"/>
    </xf>
    <xf numFmtId="0" fontId="38" fillId="34" borderId="19" xfId="0" applyFont="1" applyFill="1" applyBorder="1" applyAlignment="1">
      <alignment/>
    </xf>
    <xf numFmtId="0" fontId="38" fillId="34" borderId="0" xfId="0" applyFont="1" applyFill="1" applyBorder="1" applyAlignment="1">
      <alignment/>
    </xf>
    <xf numFmtId="0" fontId="37" fillId="34" borderId="79" xfId="0" applyFont="1" applyFill="1" applyBorder="1" applyAlignment="1">
      <alignment horizontal="left" vertical="top" wrapText="1"/>
    </xf>
    <xf numFmtId="164" fontId="38" fillId="42" borderId="119" xfId="42" applyNumberFormat="1" applyFont="1" applyFill="1" applyBorder="1" applyAlignment="1">
      <alignment horizontal="right" vertical="top" wrapText="1"/>
    </xf>
    <xf numFmtId="164" fontId="38" fillId="42" borderId="120" xfId="42" applyNumberFormat="1" applyFont="1" applyFill="1" applyBorder="1" applyAlignment="1">
      <alignment horizontal="right" vertical="top" wrapText="1"/>
    </xf>
    <xf numFmtId="164" fontId="38" fillId="42" borderId="121" xfId="42" applyNumberFormat="1" applyFont="1" applyFill="1" applyBorder="1" applyAlignment="1">
      <alignment horizontal="right" vertical="top" wrapText="1"/>
    </xf>
    <xf numFmtId="0" fontId="38" fillId="34" borderId="0" xfId="0" applyFont="1" applyFill="1" applyBorder="1" applyAlignment="1">
      <alignment vertical="top" wrapText="1"/>
    </xf>
    <xf numFmtId="164" fontId="38" fillId="42" borderId="122" xfId="42" applyNumberFormat="1" applyFont="1" applyFill="1" applyBorder="1" applyAlignment="1">
      <alignment horizontal="right" vertical="top" wrapText="1"/>
    </xf>
    <xf numFmtId="164" fontId="38" fillId="42" borderId="123" xfId="42" applyNumberFormat="1" applyFont="1" applyFill="1" applyBorder="1" applyAlignment="1">
      <alignment horizontal="right" vertical="top" wrapText="1"/>
    </xf>
    <xf numFmtId="164" fontId="38" fillId="42" borderId="124" xfId="42" applyNumberFormat="1" applyFont="1" applyFill="1" applyBorder="1" applyAlignment="1">
      <alignment horizontal="right" vertical="top" wrapText="1"/>
    </xf>
    <xf numFmtId="0" fontId="38" fillId="34" borderId="123" xfId="0" applyFont="1" applyFill="1" applyBorder="1" applyAlignment="1">
      <alignment vertical="top" wrapText="1"/>
    </xf>
    <xf numFmtId="164" fontId="37" fillId="42" borderId="125" xfId="42" applyNumberFormat="1" applyFont="1" applyFill="1" applyBorder="1" applyAlignment="1">
      <alignment horizontal="right" vertical="top" wrapText="1"/>
    </xf>
    <xf numFmtId="164" fontId="37" fillId="42" borderId="42" xfId="42" applyNumberFormat="1" applyFont="1" applyFill="1" applyBorder="1" applyAlignment="1">
      <alignment horizontal="right" vertical="top" wrapText="1"/>
    </xf>
    <xf numFmtId="164" fontId="37" fillId="42" borderId="126" xfId="42" applyNumberFormat="1" applyFont="1" applyFill="1" applyBorder="1" applyAlignment="1">
      <alignment horizontal="right" vertical="top" wrapText="1"/>
    </xf>
    <xf numFmtId="164" fontId="37" fillId="42" borderId="127" xfId="42" applyNumberFormat="1" applyFont="1" applyFill="1" applyBorder="1" applyAlignment="1">
      <alignment horizontal="right" vertical="top" wrapText="1"/>
    </xf>
    <xf numFmtId="0" fontId="37" fillId="34" borderId="0" xfId="0" applyFont="1" applyFill="1" applyBorder="1" applyAlignment="1">
      <alignment vertical="top" wrapText="1"/>
    </xf>
    <xf numFmtId="0" fontId="37" fillId="34" borderId="0" xfId="0" applyFont="1" applyFill="1" applyAlignment="1">
      <alignment vertical="top" wrapText="1"/>
    </xf>
    <xf numFmtId="0" fontId="37" fillId="43" borderId="128" xfId="0" applyFont="1" applyFill="1" applyBorder="1" applyAlignment="1">
      <alignment horizontal="left" vertical="top" wrapText="1"/>
    </xf>
    <xf numFmtId="0" fontId="37" fillId="43" borderId="10" xfId="0" applyFont="1" applyFill="1" applyBorder="1" applyAlignment="1">
      <alignment horizontal="right" vertical="top" wrapText="1"/>
    </xf>
    <xf numFmtId="0" fontId="37" fillId="43" borderId="10" xfId="0" applyFont="1" applyFill="1" applyBorder="1" applyAlignment="1">
      <alignment horizontal="center" vertical="top" wrapText="1"/>
    </xf>
    <xf numFmtId="0" fontId="37" fillId="43" borderId="10" xfId="0" applyFont="1" applyFill="1" applyBorder="1" applyAlignment="1">
      <alignment horizontal="left" vertical="top" wrapText="1"/>
    </xf>
    <xf numFmtId="164" fontId="37" fillId="43" borderId="129" xfId="42" applyNumberFormat="1" applyFont="1" applyFill="1" applyBorder="1" applyAlignment="1">
      <alignment horizontal="right" vertical="top" wrapText="1"/>
    </xf>
    <xf numFmtId="164" fontId="37" fillId="43" borderId="10" xfId="42" applyNumberFormat="1" applyFont="1" applyFill="1" applyBorder="1" applyAlignment="1">
      <alignment horizontal="right" vertical="top" wrapText="1"/>
    </xf>
    <xf numFmtId="164" fontId="37" fillId="43" borderId="130" xfId="42" applyNumberFormat="1" applyFont="1" applyFill="1" applyBorder="1" applyAlignment="1">
      <alignment horizontal="right" vertical="top" wrapText="1"/>
    </xf>
    <xf numFmtId="164" fontId="37" fillId="43" borderId="102" xfId="42" applyNumberFormat="1" applyFont="1" applyFill="1" applyBorder="1" applyAlignment="1">
      <alignment horizontal="right" vertical="top" wrapText="1"/>
    </xf>
    <xf numFmtId="164" fontId="37" fillId="43" borderId="101" xfId="42" applyNumberFormat="1" applyFont="1" applyFill="1" applyBorder="1" applyAlignment="1">
      <alignment horizontal="right" vertical="top" wrapText="1"/>
    </xf>
    <xf numFmtId="0" fontId="38" fillId="0" borderId="0" xfId="0" applyFont="1" applyFill="1" applyBorder="1" applyAlignment="1">
      <alignment vertical="top" wrapText="1"/>
    </xf>
    <xf numFmtId="0" fontId="38" fillId="0" borderId="0" xfId="0" applyFont="1" applyFill="1" applyAlignment="1">
      <alignment vertical="top" wrapText="1"/>
    </xf>
    <xf numFmtId="0" fontId="37" fillId="34" borderId="120" xfId="0" applyFont="1" applyFill="1" applyBorder="1" applyAlignment="1">
      <alignment horizontal="left" vertical="top" wrapText="1"/>
    </xf>
    <xf numFmtId="0" fontId="38" fillId="34" borderId="120" xfId="0" applyFont="1" applyFill="1" applyBorder="1" applyAlignment="1">
      <alignment horizontal="left" vertical="top" wrapText="1"/>
    </xf>
    <xf numFmtId="164" fontId="38" fillId="34" borderId="120" xfId="42" applyNumberFormat="1" applyFont="1" applyFill="1" applyBorder="1" applyAlignment="1">
      <alignment horizontal="left" vertical="top" wrapText="1"/>
    </xf>
    <xf numFmtId="164" fontId="38" fillId="34" borderId="120" xfId="0" applyNumberFormat="1" applyFont="1" applyFill="1" applyBorder="1" applyAlignment="1">
      <alignment horizontal="left" vertical="top" wrapText="1"/>
    </xf>
    <xf numFmtId="164" fontId="38" fillId="34" borderId="131" xfId="42" applyNumberFormat="1" applyFont="1" applyFill="1" applyBorder="1" applyAlignment="1">
      <alignment horizontal="left" vertical="top" wrapText="1"/>
    </xf>
    <xf numFmtId="164" fontId="38" fillId="42" borderId="132" xfId="42" applyNumberFormat="1" applyFont="1" applyFill="1" applyBorder="1" applyAlignment="1">
      <alignment horizontal="right" vertical="top" wrapText="1"/>
    </xf>
    <xf numFmtId="164" fontId="38" fillId="42" borderId="78" xfId="42" applyNumberFormat="1" applyFont="1" applyFill="1" applyBorder="1" applyAlignment="1">
      <alignment horizontal="right" vertical="top" wrapText="1"/>
    </xf>
    <xf numFmtId="164" fontId="38" fillId="42" borderId="133" xfId="42" applyNumberFormat="1" applyFont="1" applyFill="1" applyBorder="1" applyAlignment="1">
      <alignment horizontal="right" vertical="top" wrapText="1"/>
    </xf>
    <xf numFmtId="164" fontId="38" fillId="42" borderId="134" xfId="42" applyNumberFormat="1" applyFont="1" applyFill="1" applyBorder="1" applyAlignment="1">
      <alignment horizontal="left" vertical="top" wrapText="1"/>
    </xf>
    <xf numFmtId="164" fontId="38" fillId="42" borderId="135" xfId="42" applyNumberFormat="1" applyFont="1" applyFill="1" applyBorder="1" applyAlignment="1">
      <alignment horizontal="left" vertical="top" wrapText="1"/>
    </xf>
    <xf numFmtId="164" fontId="38" fillId="42" borderId="127" xfId="42" applyNumberFormat="1" applyFont="1" applyFill="1" applyBorder="1" applyAlignment="1">
      <alignment horizontal="left" vertical="top" wrapText="1"/>
    </xf>
    <xf numFmtId="164" fontId="38" fillId="42" borderId="42" xfId="42" applyNumberFormat="1" applyFont="1" applyFill="1" applyBorder="1" applyAlignment="1">
      <alignment horizontal="left" vertical="top" wrapText="1"/>
    </xf>
    <xf numFmtId="164" fontId="38" fillId="42" borderId="46" xfId="42" applyNumberFormat="1" applyFont="1" applyFill="1" applyBorder="1" applyAlignment="1">
      <alignment horizontal="left" vertical="top" wrapText="1"/>
    </xf>
    <xf numFmtId="164" fontId="38" fillId="42" borderId="125" xfId="42" applyNumberFormat="1" applyFont="1" applyFill="1" applyBorder="1" applyAlignment="1">
      <alignment horizontal="left" vertical="top" wrapText="1"/>
    </xf>
    <xf numFmtId="164" fontId="38" fillId="42" borderId="126" xfId="42" applyNumberFormat="1" applyFont="1" applyFill="1" applyBorder="1" applyAlignment="1">
      <alignment horizontal="left" vertical="top" wrapText="1"/>
    </xf>
    <xf numFmtId="164" fontId="37" fillId="42" borderId="136" xfId="42" applyNumberFormat="1" applyFont="1" applyFill="1" applyBorder="1" applyAlignment="1">
      <alignment horizontal="left" vertical="top" wrapText="1"/>
    </xf>
    <xf numFmtId="0" fontId="37" fillId="34" borderId="120" xfId="0" applyFont="1" applyFill="1" applyBorder="1" applyAlignment="1">
      <alignment vertical="top" wrapText="1"/>
    </xf>
    <xf numFmtId="164" fontId="38" fillId="34" borderId="120" xfId="42" applyNumberFormat="1" applyFont="1" applyFill="1" applyBorder="1" applyAlignment="1">
      <alignment horizontal="right" vertical="top" wrapText="1"/>
    </xf>
    <xf numFmtId="0" fontId="38" fillId="34" borderId="120" xfId="0" applyFont="1" applyFill="1" applyBorder="1" applyAlignment="1">
      <alignment vertical="top" wrapText="1"/>
    </xf>
    <xf numFmtId="164" fontId="38" fillId="42" borderId="125" xfId="42" applyNumberFormat="1" applyFont="1" applyFill="1" applyBorder="1" applyAlignment="1">
      <alignment horizontal="right" vertical="top" wrapText="1"/>
    </xf>
    <xf numFmtId="164" fontId="38" fillId="42" borderId="42" xfId="42" applyNumberFormat="1" applyFont="1" applyFill="1" applyBorder="1" applyAlignment="1">
      <alignment horizontal="right" vertical="top" wrapText="1"/>
    </xf>
    <xf numFmtId="164" fontId="38" fillId="42" borderId="126" xfId="42" applyNumberFormat="1" applyFont="1" applyFill="1" applyBorder="1" applyAlignment="1">
      <alignment horizontal="right" vertical="top" wrapText="1"/>
    </xf>
    <xf numFmtId="164" fontId="38" fillId="42" borderId="127" xfId="42" applyNumberFormat="1" applyFont="1" applyFill="1" applyBorder="1" applyAlignment="1">
      <alignment horizontal="right" vertical="top" wrapText="1"/>
    </xf>
    <xf numFmtId="164" fontId="38" fillId="42" borderId="46" xfId="42" applyNumberFormat="1" applyFont="1" applyFill="1" applyBorder="1" applyAlignment="1">
      <alignment horizontal="right" vertical="top" wrapText="1"/>
    </xf>
    <xf numFmtId="164" fontId="37" fillId="42" borderId="119" xfId="42" applyNumberFormat="1" applyFont="1" applyFill="1" applyBorder="1" applyAlignment="1">
      <alignment horizontal="right" vertical="top" wrapText="1"/>
    </xf>
    <xf numFmtId="164" fontId="37" fillId="42" borderId="120" xfId="42" applyNumberFormat="1" applyFont="1" applyFill="1" applyBorder="1" applyAlignment="1">
      <alignment horizontal="right" vertical="top" wrapText="1"/>
    </xf>
    <xf numFmtId="164" fontId="37" fillId="42" borderId="121" xfId="42" applyNumberFormat="1" applyFont="1" applyFill="1" applyBorder="1" applyAlignment="1">
      <alignment horizontal="right" vertical="top" wrapText="1"/>
    </xf>
    <xf numFmtId="164" fontId="38" fillId="42" borderId="122" xfId="42" applyNumberFormat="1" applyFont="1" applyFill="1" applyBorder="1" applyAlignment="1">
      <alignment horizontal="left" vertical="top" wrapText="1"/>
    </xf>
    <xf numFmtId="164" fontId="38" fillId="42" borderId="123" xfId="42" applyNumberFormat="1" applyFont="1" applyFill="1" applyBorder="1" applyAlignment="1">
      <alignment horizontal="left" vertical="top" wrapText="1"/>
    </xf>
    <xf numFmtId="164" fontId="37" fillId="42" borderId="137" xfId="42" applyNumberFormat="1" applyFont="1" applyFill="1" applyBorder="1" applyAlignment="1">
      <alignment horizontal="left" vertical="top" wrapText="1"/>
    </xf>
    <xf numFmtId="0" fontId="37" fillId="34" borderId="10" xfId="0" applyFont="1" applyFill="1" applyBorder="1" applyAlignment="1">
      <alignment horizontal="left" vertical="top" wrapText="1"/>
    </xf>
    <xf numFmtId="0" fontId="38" fillId="34" borderId="10" xfId="0" applyFont="1" applyFill="1" applyBorder="1" applyAlignment="1">
      <alignment horizontal="left" vertical="top" wrapText="1"/>
    </xf>
    <xf numFmtId="164" fontId="38" fillId="42" borderId="129" xfId="42" applyNumberFormat="1" applyFont="1" applyFill="1" applyBorder="1" applyAlignment="1">
      <alignment horizontal="right" vertical="top" wrapText="1"/>
    </xf>
    <xf numFmtId="164" fontId="38" fillId="42" borderId="10" xfId="42" applyNumberFormat="1" applyFont="1" applyFill="1" applyBorder="1" applyAlignment="1">
      <alignment horizontal="right" vertical="top" wrapText="1"/>
    </xf>
    <xf numFmtId="164" fontId="38" fillId="42" borderId="130" xfId="42" applyNumberFormat="1" applyFont="1" applyFill="1" applyBorder="1" applyAlignment="1">
      <alignment horizontal="right" vertical="top" wrapText="1"/>
    </xf>
    <xf numFmtId="164" fontId="38" fillId="42" borderId="102" xfId="42" applyNumberFormat="1" applyFont="1" applyFill="1" applyBorder="1" applyAlignment="1">
      <alignment horizontal="left" vertical="top" wrapText="1"/>
    </xf>
    <xf numFmtId="164" fontId="38" fillId="42" borderId="10" xfId="42" applyNumberFormat="1" applyFont="1" applyFill="1" applyBorder="1" applyAlignment="1">
      <alignment horizontal="left" vertical="top" wrapText="1"/>
    </xf>
    <xf numFmtId="164" fontId="38" fillId="42" borderId="101" xfId="42" applyNumberFormat="1" applyFont="1" applyFill="1" applyBorder="1" applyAlignment="1">
      <alignment horizontal="left" vertical="top" wrapText="1"/>
    </xf>
    <xf numFmtId="164" fontId="38" fillId="42" borderId="129" xfId="42" applyNumberFormat="1" applyFont="1" applyFill="1" applyBorder="1" applyAlignment="1">
      <alignment horizontal="left" vertical="top" wrapText="1"/>
    </xf>
    <xf numFmtId="164" fontId="38" fillId="42" borderId="130" xfId="42" applyNumberFormat="1" applyFont="1" applyFill="1" applyBorder="1" applyAlignment="1">
      <alignment horizontal="left" vertical="top" wrapText="1"/>
    </xf>
    <xf numFmtId="0" fontId="38" fillId="43" borderId="10" xfId="0" applyFont="1" applyFill="1" applyBorder="1" applyAlignment="1">
      <alignment horizontal="left" vertical="top" wrapText="1"/>
    </xf>
    <xf numFmtId="0" fontId="38" fillId="43" borderId="10" xfId="0" applyFont="1" applyFill="1" applyBorder="1" applyAlignment="1">
      <alignment vertical="top" wrapText="1"/>
    </xf>
    <xf numFmtId="164" fontId="37" fillId="43" borderId="138" xfId="42" applyNumberFormat="1" applyFont="1" applyFill="1" applyBorder="1" applyAlignment="1">
      <alignment horizontal="right" vertical="top" wrapText="1"/>
    </xf>
    <xf numFmtId="164" fontId="37" fillId="43" borderId="139" xfId="42" applyNumberFormat="1" applyFont="1" applyFill="1" applyBorder="1" applyAlignment="1">
      <alignment horizontal="right" vertical="top" wrapText="1"/>
    </xf>
    <xf numFmtId="164" fontId="38" fillId="34" borderId="10" xfId="42" applyNumberFormat="1" applyFont="1" applyFill="1" applyBorder="1" applyAlignment="1">
      <alignment horizontal="left" vertical="top" wrapText="1"/>
    </xf>
    <xf numFmtId="0" fontId="37" fillId="34" borderId="79" xfId="0" applyFont="1" applyFill="1" applyBorder="1" applyAlignment="1">
      <alignment vertical="top" wrapText="1"/>
    </xf>
    <xf numFmtId="164" fontId="38" fillId="42" borderId="140" xfId="42" applyNumberFormat="1" applyFont="1" applyFill="1" applyBorder="1" applyAlignment="1">
      <alignment horizontal="right" vertical="top" wrapText="1"/>
    </xf>
    <xf numFmtId="164" fontId="38" fillId="42" borderId="79" xfId="42" applyNumberFormat="1" applyFont="1" applyFill="1" applyBorder="1" applyAlignment="1">
      <alignment horizontal="right" vertical="top" wrapText="1"/>
    </xf>
    <xf numFmtId="164" fontId="38" fillId="42" borderId="141" xfId="42" applyNumberFormat="1" applyFont="1" applyFill="1" applyBorder="1" applyAlignment="1">
      <alignment horizontal="right" vertical="top" wrapText="1"/>
    </xf>
    <xf numFmtId="164" fontId="38" fillId="34" borderId="79" xfId="42" applyNumberFormat="1" applyFont="1" applyFill="1" applyBorder="1" applyAlignment="1">
      <alignment horizontal="left" vertical="top" wrapText="1"/>
    </xf>
    <xf numFmtId="164" fontId="38" fillId="42" borderId="140" xfId="42" applyNumberFormat="1" applyFont="1" applyFill="1" applyBorder="1" applyAlignment="1">
      <alignment horizontal="left" vertical="top" wrapText="1"/>
    </xf>
    <xf numFmtId="164" fontId="38" fillId="42" borderId="79" xfId="42" applyNumberFormat="1" applyFont="1" applyFill="1" applyBorder="1" applyAlignment="1">
      <alignment horizontal="left" vertical="top" wrapText="1"/>
    </xf>
    <xf numFmtId="164" fontId="38" fillId="42" borderId="141" xfId="42" applyNumberFormat="1" applyFont="1" applyFill="1" applyBorder="1" applyAlignment="1">
      <alignment horizontal="left" vertical="top" wrapText="1"/>
    </xf>
    <xf numFmtId="164" fontId="38" fillId="42" borderId="142" xfId="42" applyNumberFormat="1" applyFont="1" applyFill="1" applyBorder="1" applyAlignment="1">
      <alignment horizontal="left" vertical="top" wrapText="1"/>
    </xf>
    <xf numFmtId="0" fontId="38" fillId="42" borderId="123" xfId="0" applyFont="1" applyFill="1" applyBorder="1" applyAlignment="1">
      <alignment vertical="top" wrapText="1"/>
    </xf>
    <xf numFmtId="0" fontId="61" fillId="34" borderId="0" xfId="0" applyFont="1" applyFill="1" applyBorder="1" applyAlignment="1">
      <alignment vertical="top" wrapText="1"/>
    </xf>
    <xf numFmtId="164" fontId="38" fillId="34" borderId="123" xfId="42" applyNumberFormat="1" applyFont="1" applyFill="1" applyBorder="1" applyAlignment="1">
      <alignment horizontal="left" vertical="top" wrapText="1"/>
    </xf>
    <xf numFmtId="164" fontId="38" fillId="42" borderId="143" xfId="42" applyNumberFormat="1" applyFont="1" applyFill="1" applyBorder="1" applyAlignment="1">
      <alignment horizontal="left" vertical="top" wrapText="1"/>
    </xf>
    <xf numFmtId="164" fontId="38" fillId="42" borderId="131" xfId="42" applyNumberFormat="1" applyFont="1" applyFill="1" applyBorder="1" applyAlignment="1">
      <alignment horizontal="left" vertical="top" wrapText="1"/>
    </xf>
    <xf numFmtId="164" fontId="38" fillId="42" borderId="144" xfId="42" applyNumberFormat="1" applyFont="1" applyFill="1" applyBorder="1" applyAlignment="1">
      <alignment horizontal="left" vertical="top" wrapText="1"/>
    </xf>
    <xf numFmtId="164" fontId="38" fillId="42" borderId="145" xfId="42" applyNumberFormat="1" applyFont="1" applyFill="1" applyBorder="1" applyAlignment="1">
      <alignment horizontal="left" vertical="top" wrapText="1"/>
    </xf>
    <xf numFmtId="164" fontId="38" fillId="42" borderId="0" xfId="42" applyNumberFormat="1" applyFont="1" applyFill="1" applyBorder="1" applyAlignment="1">
      <alignment vertical="top" wrapText="1"/>
    </xf>
    <xf numFmtId="0" fontId="37" fillId="43" borderId="11" xfId="0" applyFont="1" applyFill="1" applyBorder="1" applyAlignment="1">
      <alignment horizontal="right" vertical="top" wrapText="1"/>
    </xf>
    <xf numFmtId="0" fontId="38" fillId="43" borderId="11" xfId="0" applyFont="1" applyFill="1" applyBorder="1" applyAlignment="1">
      <alignment horizontal="center" vertical="top" wrapText="1"/>
    </xf>
    <xf numFmtId="0" fontId="37" fillId="43" borderId="11" xfId="0" applyFont="1" applyFill="1" applyBorder="1" applyAlignment="1">
      <alignment horizontal="left" vertical="top" wrapText="1"/>
    </xf>
    <xf numFmtId="0" fontId="38" fillId="43" borderId="11" xfId="0" applyFont="1" applyFill="1" applyBorder="1" applyAlignment="1">
      <alignment horizontal="left" vertical="top" wrapText="1"/>
    </xf>
    <xf numFmtId="164" fontId="37" fillId="43" borderId="11" xfId="42" applyNumberFormat="1" applyFont="1" applyFill="1" applyBorder="1" applyAlignment="1">
      <alignment horizontal="right" vertical="top" wrapText="1"/>
    </xf>
    <xf numFmtId="0" fontId="38" fillId="42" borderId="10" xfId="0" applyFont="1" applyFill="1" applyBorder="1" applyAlignment="1">
      <alignment vertical="top" wrapText="1"/>
    </xf>
    <xf numFmtId="0" fontId="38" fillId="42" borderId="0" xfId="0" applyFont="1" applyFill="1" applyBorder="1" applyAlignment="1">
      <alignment vertical="top" wrapText="1"/>
    </xf>
    <xf numFmtId="0" fontId="38" fillId="34" borderId="79" xfId="0" applyFont="1" applyFill="1" applyBorder="1" applyAlignment="1">
      <alignment vertical="top" wrapText="1"/>
    </xf>
    <xf numFmtId="164" fontId="37" fillId="42" borderId="139" xfId="42" applyNumberFormat="1" applyFont="1" applyFill="1" applyBorder="1" applyAlignment="1">
      <alignment horizontal="left" vertical="top" wrapText="1"/>
    </xf>
    <xf numFmtId="178" fontId="38" fillId="42" borderId="132" xfId="0" applyNumberFormat="1" applyFont="1" applyFill="1" applyBorder="1" applyAlignment="1">
      <alignment vertical="top" wrapText="1"/>
    </xf>
    <xf numFmtId="164" fontId="38" fillId="42" borderId="78" xfId="42" applyNumberFormat="1" applyFont="1" applyFill="1" applyBorder="1" applyAlignment="1">
      <alignment vertical="top" wrapText="1"/>
    </xf>
    <xf numFmtId="0" fontId="38" fillId="43" borderId="10" xfId="0" applyFont="1" applyFill="1" applyBorder="1" applyAlignment="1">
      <alignment horizontal="center" vertical="top" wrapText="1"/>
    </xf>
    <xf numFmtId="164" fontId="38" fillId="42" borderId="136" xfId="42" applyNumberFormat="1" applyFont="1" applyFill="1" applyBorder="1" applyAlignment="1">
      <alignment horizontal="left" vertical="top" wrapText="1"/>
    </xf>
    <xf numFmtId="0" fontId="38" fillId="34" borderId="146" xfId="0" applyFont="1" applyFill="1" applyBorder="1" applyAlignment="1">
      <alignment vertical="top" wrapText="1"/>
    </xf>
    <xf numFmtId="0" fontId="38" fillId="34" borderId="147" xfId="0" applyFont="1" applyFill="1" applyBorder="1" applyAlignment="1">
      <alignment vertical="top" wrapText="1"/>
    </xf>
    <xf numFmtId="0" fontId="38" fillId="43" borderId="128" xfId="0" applyFont="1" applyFill="1" applyBorder="1" applyAlignment="1">
      <alignment vertical="top" wrapText="1"/>
    </xf>
    <xf numFmtId="0" fontId="38" fillId="34" borderId="25" xfId="0" applyFont="1" applyFill="1" applyBorder="1" applyAlignment="1">
      <alignment vertical="top" wrapText="1"/>
    </xf>
    <xf numFmtId="0" fontId="38" fillId="34" borderId="19" xfId="0" applyFont="1" applyFill="1" applyBorder="1" applyAlignment="1">
      <alignment vertical="top" wrapText="1"/>
    </xf>
    <xf numFmtId="0" fontId="37" fillId="43" borderId="128" xfId="0" applyFont="1" applyFill="1" applyBorder="1" applyAlignment="1">
      <alignment horizontal="right" vertical="top" wrapText="1"/>
    </xf>
    <xf numFmtId="0" fontId="38" fillId="43" borderId="10" xfId="58" applyFont="1" applyFill="1" applyBorder="1" applyAlignment="1">
      <alignment vertical="top" wrapText="1"/>
      <protection/>
    </xf>
    <xf numFmtId="164" fontId="37" fillId="43" borderId="148" xfId="42" applyNumberFormat="1" applyFont="1" applyFill="1" applyBorder="1" applyAlignment="1">
      <alignment horizontal="right" vertical="top" wrapText="1"/>
    </xf>
    <xf numFmtId="164" fontId="38" fillId="42" borderId="132" xfId="42" applyNumberFormat="1" applyFont="1" applyFill="1" applyBorder="1" applyAlignment="1">
      <alignment horizontal="left" vertical="top" wrapText="1"/>
    </xf>
    <xf numFmtId="164" fontId="37" fillId="42" borderId="149" xfId="42" applyNumberFormat="1" applyFont="1" applyFill="1" applyBorder="1" applyAlignment="1">
      <alignment horizontal="left" vertical="top" wrapText="1"/>
    </xf>
    <xf numFmtId="3" fontId="38" fillId="43" borderId="10" xfId="0" applyNumberFormat="1" applyFont="1" applyFill="1" applyBorder="1" applyAlignment="1">
      <alignment horizontal="center" vertical="top" wrapText="1"/>
    </xf>
    <xf numFmtId="164" fontId="37" fillId="43" borderId="129" xfId="42" applyNumberFormat="1" applyFont="1" applyFill="1" applyBorder="1" applyAlignment="1" quotePrefix="1">
      <alignment horizontal="right" vertical="top" wrapText="1"/>
    </xf>
    <xf numFmtId="164" fontId="37" fillId="43" borderId="10" xfId="42" applyNumberFormat="1" applyFont="1" applyFill="1" applyBorder="1" applyAlignment="1" quotePrefix="1">
      <alignment horizontal="right" vertical="top" wrapText="1"/>
    </xf>
    <xf numFmtId="164" fontId="37" fillId="43" borderId="130" xfId="42" applyNumberFormat="1" applyFont="1" applyFill="1" applyBorder="1" applyAlignment="1" quotePrefix="1">
      <alignment horizontal="right" vertical="top" wrapText="1"/>
    </xf>
    <xf numFmtId="164" fontId="37" fillId="43" borderId="102" xfId="42" applyNumberFormat="1" applyFont="1" applyFill="1" applyBorder="1" applyAlignment="1" quotePrefix="1">
      <alignment horizontal="right" vertical="top" wrapText="1"/>
    </xf>
    <xf numFmtId="164" fontId="37" fillId="43" borderId="101" xfId="42" applyNumberFormat="1" applyFont="1" applyFill="1" applyBorder="1" applyAlignment="1" quotePrefix="1">
      <alignment horizontal="right" vertical="top" wrapText="1"/>
    </xf>
    <xf numFmtId="164" fontId="37" fillId="43" borderId="138" xfId="42" applyNumberFormat="1" applyFont="1" applyFill="1" applyBorder="1" applyAlignment="1" quotePrefix="1">
      <alignment horizontal="right" vertical="top" wrapText="1"/>
    </xf>
    <xf numFmtId="164" fontId="37" fillId="43" borderId="139" xfId="42" applyNumberFormat="1" applyFont="1" applyFill="1" applyBorder="1" applyAlignment="1" quotePrefix="1">
      <alignment horizontal="right" vertical="top" wrapText="1"/>
    </xf>
    <xf numFmtId="0" fontId="37" fillId="0" borderId="0" xfId="0" applyFont="1" applyFill="1" applyBorder="1" applyAlignment="1">
      <alignment vertical="top" wrapText="1"/>
    </xf>
    <xf numFmtId="0" fontId="37" fillId="0" borderId="0" xfId="0" applyFont="1" applyFill="1" applyAlignment="1">
      <alignment vertical="top" wrapText="1"/>
    </xf>
    <xf numFmtId="164" fontId="38" fillId="42" borderId="150" xfId="42" applyNumberFormat="1" applyFont="1" applyFill="1" applyBorder="1" applyAlignment="1">
      <alignment horizontal="right" vertical="top" wrapText="1"/>
    </xf>
    <xf numFmtId="164" fontId="38" fillId="42" borderId="151" xfId="42" applyNumberFormat="1" applyFont="1" applyFill="1" applyBorder="1" applyAlignment="1">
      <alignment horizontal="right" vertical="top" wrapText="1"/>
    </xf>
    <xf numFmtId="0" fontId="37" fillId="34" borderId="152" xfId="0" applyFont="1" applyFill="1" applyBorder="1" applyAlignment="1">
      <alignment vertical="top" wrapText="1"/>
    </xf>
    <xf numFmtId="0" fontId="37" fillId="34" borderId="42" xfId="0" applyFont="1" applyFill="1" applyBorder="1" applyAlignment="1">
      <alignment vertical="top" wrapText="1"/>
    </xf>
    <xf numFmtId="0" fontId="37" fillId="34" borderId="10" xfId="0" applyFont="1" applyFill="1" applyBorder="1" applyAlignment="1">
      <alignment vertical="top" wrapText="1"/>
    </xf>
    <xf numFmtId="164" fontId="38" fillId="42" borderId="102" xfId="42" applyNumberFormat="1" applyFont="1" applyFill="1" applyBorder="1" applyAlignment="1">
      <alignment horizontal="right" vertical="top" wrapText="1"/>
    </xf>
    <xf numFmtId="164" fontId="38" fillId="42" borderId="101" xfId="42" applyNumberFormat="1" applyFont="1" applyFill="1" applyBorder="1" applyAlignment="1">
      <alignment horizontal="right" vertical="top" wrapText="1"/>
    </xf>
    <xf numFmtId="0" fontId="37" fillId="34" borderId="153" xfId="0" applyFont="1" applyFill="1" applyBorder="1" applyAlignment="1">
      <alignment vertical="top" wrapText="1"/>
    </xf>
    <xf numFmtId="164" fontId="37" fillId="43" borderId="10" xfId="42" applyNumberFormat="1" applyFont="1" applyFill="1" applyBorder="1" applyAlignment="1">
      <alignment horizontal="left" vertical="top" wrapText="1"/>
    </xf>
    <xf numFmtId="0" fontId="37" fillId="43" borderId="128" xfId="0" applyFont="1" applyFill="1" applyBorder="1" applyAlignment="1">
      <alignment vertical="top" wrapText="1"/>
    </xf>
    <xf numFmtId="0" fontId="62" fillId="0" borderId="0" xfId="0" applyFont="1" applyFill="1" applyBorder="1" applyAlignment="1">
      <alignment vertical="top" wrapText="1"/>
    </xf>
    <xf numFmtId="0" fontId="62" fillId="0" borderId="0" xfId="0" applyFont="1" applyFill="1" applyBorder="1" applyAlignment="1">
      <alignment horizontal="left" vertical="top" wrapText="1"/>
    </xf>
    <xf numFmtId="3" fontId="62" fillId="0" borderId="0" xfId="0" applyNumberFormat="1" applyFont="1" applyFill="1" applyBorder="1" applyAlignment="1">
      <alignment horizontal="center" vertical="top" wrapText="1"/>
    </xf>
    <xf numFmtId="0" fontId="63" fillId="0" borderId="0" xfId="0" applyFont="1" applyFill="1" applyBorder="1" applyAlignment="1">
      <alignment horizontal="left" vertical="top" wrapText="1"/>
    </xf>
    <xf numFmtId="164" fontId="63" fillId="0" borderId="0" xfId="42" applyNumberFormat="1" applyFont="1" applyFill="1" applyBorder="1" applyAlignment="1">
      <alignment horizontal="justify" vertical="top" wrapText="1"/>
    </xf>
    <xf numFmtId="164" fontId="64" fillId="34" borderId="0" xfId="42" applyNumberFormat="1" applyFont="1" applyFill="1" applyBorder="1" applyAlignment="1">
      <alignment horizontal="justify" vertical="top" wrapText="1"/>
    </xf>
    <xf numFmtId="164" fontId="64" fillId="0" borderId="0" xfId="42" applyNumberFormat="1" applyFont="1" applyFill="1" applyBorder="1" applyAlignment="1">
      <alignment horizontal="justify" vertical="top" wrapText="1"/>
    </xf>
    <xf numFmtId="0" fontId="37" fillId="42" borderId="0" xfId="0" applyFont="1" applyFill="1" applyBorder="1" applyAlignment="1">
      <alignment vertical="top" wrapText="1"/>
    </xf>
    <xf numFmtId="164" fontId="37" fillId="42" borderId="10" xfId="42" applyNumberFormat="1" applyFont="1" applyFill="1" applyBorder="1" applyAlignment="1">
      <alignment horizontal="justify" vertical="top" wrapText="1"/>
    </xf>
    <xf numFmtId="164" fontId="38" fillId="42" borderId="10" xfId="42" applyNumberFormat="1" applyFont="1" applyFill="1" applyBorder="1" applyAlignment="1">
      <alignment horizontal="justify" vertical="top" wrapText="1"/>
    </xf>
    <xf numFmtId="164" fontId="38" fillId="42" borderId="129" xfId="42" applyNumberFormat="1" applyFont="1" applyFill="1" applyBorder="1" applyAlignment="1">
      <alignment horizontal="justify" vertical="top" wrapText="1"/>
    </xf>
    <xf numFmtId="0" fontId="100" fillId="42" borderId="0" xfId="0" applyFont="1" applyFill="1" applyBorder="1" applyAlignment="1">
      <alignment horizontal="center" vertical="top" wrapText="1"/>
    </xf>
    <xf numFmtId="0" fontId="100" fillId="0" borderId="0" xfId="0" applyFont="1" applyFill="1" applyAlignment="1">
      <alignment vertical="top" wrapText="1"/>
    </xf>
    <xf numFmtId="0" fontId="100" fillId="42" borderId="0" xfId="0" applyFont="1" applyFill="1" applyBorder="1" applyAlignment="1">
      <alignment vertical="top" wrapText="1"/>
    </xf>
    <xf numFmtId="0" fontId="101" fillId="42" borderId="0" xfId="0" applyFont="1" applyFill="1" applyBorder="1" applyAlignment="1">
      <alignment vertical="top" wrapText="1"/>
    </xf>
    <xf numFmtId="0" fontId="101" fillId="0" borderId="0" xfId="0" applyFont="1" applyFill="1" applyAlignment="1">
      <alignment vertical="top" wrapText="1"/>
    </xf>
    <xf numFmtId="164" fontId="102" fillId="42" borderId="0" xfId="42" applyNumberFormat="1" applyFont="1" applyFill="1" applyBorder="1" applyAlignment="1">
      <alignment vertical="top" wrapText="1"/>
    </xf>
    <xf numFmtId="164" fontId="102" fillId="42" borderId="0" xfId="0" applyNumberFormat="1" applyFont="1" applyFill="1" applyBorder="1" applyAlignment="1">
      <alignment vertical="top" wrapText="1"/>
    </xf>
    <xf numFmtId="164" fontId="101" fillId="42" borderId="78" xfId="42" applyNumberFormat="1" applyFont="1" applyFill="1" applyBorder="1" applyAlignment="1">
      <alignment horizontal="left" vertical="top" wrapText="1"/>
    </xf>
    <xf numFmtId="164" fontId="37" fillId="42" borderId="0" xfId="0" applyNumberFormat="1" applyFont="1" applyFill="1" applyBorder="1" applyAlignment="1">
      <alignment vertical="top" wrapText="1"/>
    </xf>
    <xf numFmtId="0" fontId="37" fillId="42" borderId="0" xfId="0" applyFont="1" applyFill="1" applyBorder="1" applyAlignment="1">
      <alignment horizontal="center" vertical="top" wrapText="1"/>
    </xf>
    <xf numFmtId="3" fontId="37" fillId="42" borderId="0" xfId="0" applyNumberFormat="1" applyFont="1" applyFill="1" applyBorder="1" applyAlignment="1">
      <alignment horizontal="center" vertical="top" wrapText="1"/>
    </xf>
    <xf numFmtId="0" fontId="37" fillId="42" borderId="0" xfId="0" applyFont="1" applyFill="1" applyBorder="1" applyAlignment="1">
      <alignment horizontal="left" vertical="top" wrapText="1"/>
    </xf>
    <xf numFmtId="0" fontId="38" fillId="42" borderId="0" xfId="0" applyFont="1" applyFill="1" applyBorder="1" applyAlignment="1">
      <alignment horizontal="left" vertical="top" wrapText="1"/>
    </xf>
    <xf numFmtId="164" fontId="101" fillId="42" borderId="0" xfId="42" applyNumberFormat="1" applyFont="1" applyFill="1" applyBorder="1" applyAlignment="1">
      <alignment horizontal="justify" vertical="top" wrapText="1"/>
    </xf>
    <xf numFmtId="164" fontId="37" fillId="42" borderId="0" xfId="42" applyNumberFormat="1" applyFont="1" applyFill="1" applyBorder="1" applyAlignment="1">
      <alignment horizontal="left" vertical="top" wrapText="1"/>
    </xf>
    <xf numFmtId="164" fontId="103" fillId="42" borderId="0" xfId="42" applyNumberFormat="1" applyFont="1" applyFill="1" applyBorder="1" applyAlignment="1">
      <alignment horizontal="left" vertical="top" wrapText="1"/>
    </xf>
    <xf numFmtId="0" fontId="37" fillId="0" borderId="0" xfId="0" applyFont="1" applyBorder="1" applyAlignment="1">
      <alignment horizontal="center"/>
    </xf>
    <xf numFmtId="0" fontId="37" fillId="0" borderId="0" xfId="0" applyFont="1" applyBorder="1" applyAlignment="1">
      <alignment horizontal="left"/>
    </xf>
    <xf numFmtId="0" fontId="38" fillId="0" borderId="0" xfId="0" applyFont="1" applyBorder="1" applyAlignment="1">
      <alignment horizontal="left"/>
    </xf>
    <xf numFmtId="0" fontId="37" fillId="0" borderId="0" xfId="0" applyFont="1" applyFill="1" applyBorder="1" applyAlignment="1">
      <alignment horizontal="left"/>
    </xf>
    <xf numFmtId="0" fontId="38" fillId="42" borderId="0" xfId="0" applyFont="1" applyFill="1" applyBorder="1" applyAlignment="1">
      <alignment/>
    </xf>
    <xf numFmtId="164" fontId="38" fillId="0" borderId="0" xfId="0" applyNumberFormat="1" applyFont="1" applyBorder="1" applyAlignment="1">
      <alignment/>
    </xf>
    <xf numFmtId="0" fontId="37" fillId="42" borderId="0" xfId="0" applyFont="1" applyFill="1" applyBorder="1" applyAlignment="1">
      <alignment/>
    </xf>
    <xf numFmtId="0" fontId="37" fillId="0" borderId="0" xfId="0" applyFont="1" applyBorder="1" applyAlignment="1">
      <alignment/>
    </xf>
    <xf numFmtId="0" fontId="38" fillId="0" borderId="0" xfId="0" applyFont="1" applyAlignment="1">
      <alignment vertical="center" wrapText="1"/>
    </xf>
    <xf numFmtId="0" fontId="37" fillId="0" borderId="0" xfId="0" applyFont="1" applyAlignment="1">
      <alignment horizontal="center" vertical="center" wrapText="1"/>
    </xf>
    <xf numFmtId="0" fontId="37" fillId="43" borderId="10" xfId="0" applyFont="1" applyFill="1" applyBorder="1" applyAlignment="1">
      <alignment horizontal="center" vertical="center" wrapText="1"/>
    </xf>
    <xf numFmtId="0" fontId="38" fillId="0" borderId="0" xfId="0" applyFont="1" applyBorder="1" applyAlignment="1">
      <alignment vertical="center" wrapText="1"/>
    </xf>
    <xf numFmtId="0" fontId="38" fillId="0" borderId="0" xfId="0" applyFont="1" applyAlignment="1">
      <alignment horizontal="center" vertical="center" wrapText="1"/>
    </xf>
    <xf numFmtId="0" fontId="38" fillId="0" borderId="0" xfId="0" applyFont="1" applyBorder="1" applyAlignment="1">
      <alignment horizontal="center" vertical="center" wrapText="1"/>
    </xf>
    <xf numFmtId="0" fontId="37" fillId="0" borderId="0" xfId="0" applyFont="1" applyAlignment="1">
      <alignment horizontal="center"/>
    </xf>
    <xf numFmtId="0" fontId="37" fillId="42" borderId="10" xfId="0" applyFont="1" applyFill="1" applyBorder="1" applyAlignment="1">
      <alignment horizontal="center" vertical="top" wrapText="1"/>
    </xf>
    <xf numFmtId="164" fontId="66" fillId="34" borderId="10" xfId="42" applyNumberFormat="1" applyFont="1" applyFill="1" applyBorder="1" applyAlignment="1">
      <alignment horizontal="left" vertical="top" wrapText="1"/>
    </xf>
    <xf numFmtId="164" fontId="38" fillId="7" borderId="10" xfId="0" applyNumberFormat="1" applyFont="1" applyFill="1" applyBorder="1" applyAlignment="1">
      <alignment vertical="top" wrapText="1"/>
    </xf>
    <xf numFmtId="164" fontId="38" fillId="43" borderId="10" xfId="0" applyNumberFormat="1" applyFont="1" applyFill="1" applyBorder="1" applyAlignment="1">
      <alignment vertical="top" wrapText="1"/>
    </xf>
    <xf numFmtId="164" fontId="101" fillId="42" borderId="10" xfId="42" applyNumberFormat="1" applyFont="1" applyFill="1" applyBorder="1" applyAlignment="1">
      <alignment horizontal="left" vertical="top"/>
    </xf>
    <xf numFmtId="164" fontId="37" fillId="42" borderId="10" xfId="42" applyNumberFormat="1" applyFont="1" applyFill="1" applyBorder="1" applyAlignment="1">
      <alignment horizontal="left" vertical="top"/>
    </xf>
    <xf numFmtId="164" fontId="37" fillId="7" borderId="10" xfId="0" applyNumberFormat="1" applyFont="1" applyFill="1" applyBorder="1" applyAlignment="1">
      <alignment vertical="top"/>
    </xf>
    <xf numFmtId="164" fontId="43" fillId="34" borderId="10" xfId="42" applyNumberFormat="1" applyFont="1" applyFill="1" applyBorder="1" applyAlignment="1">
      <alignment horizontal="left" vertical="top" wrapText="1"/>
    </xf>
    <xf numFmtId="164" fontId="37" fillId="42" borderId="0" xfId="42" applyNumberFormat="1" applyFont="1" applyFill="1" applyBorder="1" applyAlignment="1">
      <alignment horizontal="left" vertical="top"/>
    </xf>
    <xf numFmtId="164" fontId="43" fillId="34" borderId="0" xfId="42" applyNumberFormat="1" applyFont="1" applyFill="1" applyBorder="1" applyAlignment="1">
      <alignment horizontal="left" vertical="top" wrapText="1"/>
    </xf>
    <xf numFmtId="164" fontId="101" fillId="34" borderId="0" xfId="42" applyNumberFormat="1" applyFont="1" applyFill="1" applyBorder="1" applyAlignment="1">
      <alignment horizontal="left" vertical="top" wrapText="1"/>
    </xf>
    <xf numFmtId="0" fontId="37" fillId="0" borderId="0" xfId="0" applyFont="1" applyAlignment="1">
      <alignment horizontal="left"/>
    </xf>
    <xf numFmtId="0" fontId="38" fillId="0" borderId="0" xfId="0" applyFont="1" applyAlignment="1">
      <alignment horizontal="left"/>
    </xf>
    <xf numFmtId="0" fontId="37" fillId="0" borderId="0" xfId="0" applyFont="1" applyFill="1" applyAlignment="1">
      <alignment horizontal="left"/>
    </xf>
    <xf numFmtId="164" fontId="38" fillId="42" borderId="0" xfId="0" applyNumberFormat="1" applyFont="1" applyFill="1" applyBorder="1" applyAlignment="1">
      <alignment/>
    </xf>
    <xf numFmtId="0" fontId="37" fillId="42" borderId="0" xfId="0" applyFont="1" applyFill="1" applyAlignment="1">
      <alignment horizontal="left"/>
    </xf>
    <xf numFmtId="164" fontId="37" fillId="42" borderId="0" xfId="0" applyNumberFormat="1" applyFont="1" applyFill="1" applyAlignment="1">
      <alignment horizontal="left"/>
    </xf>
    <xf numFmtId="164" fontId="38" fillId="0" borderId="0" xfId="0" applyNumberFormat="1" applyFont="1" applyAlignment="1">
      <alignment/>
    </xf>
    <xf numFmtId="164" fontId="38" fillId="42" borderId="0" xfId="0" applyNumberFormat="1" applyFont="1" applyFill="1" applyAlignment="1">
      <alignment/>
    </xf>
    <xf numFmtId="0" fontId="37" fillId="42" borderId="0" xfId="0" applyFont="1" applyFill="1" applyAlignment="1">
      <alignment/>
    </xf>
    <xf numFmtId="0" fontId="37" fillId="0" borderId="0" xfId="0" applyFont="1" applyAlignment="1">
      <alignment/>
    </xf>
    <xf numFmtId="0" fontId="37" fillId="42" borderId="0" xfId="0" applyFont="1" applyFill="1" applyAlignment="1">
      <alignment vertical="top" wrapText="1"/>
    </xf>
    <xf numFmtId="0" fontId="37" fillId="0" borderId="0" xfId="0" applyFont="1" applyAlignment="1">
      <alignment horizontal="right" vertical="top" wrapText="1"/>
    </xf>
    <xf numFmtId="9" fontId="38" fillId="42" borderId="0" xfId="61" applyFont="1" applyFill="1" applyAlignment="1">
      <alignment vertical="top" wrapText="1"/>
    </xf>
    <xf numFmtId="164" fontId="38" fillId="42" borderId="0" xfId="42" applyNumberFormat="1" applyFont="1" applyFill="1" applyAlignment="1">
      <alignment vertical="top" wrapText="1"/>
    </xf>
    <xf numFmtId="164" fontId="37" fillId="42" borderId="0" xfId="42" applyNumberFormat="1" applyFont="1" applyFill="1" applyAlignment="1">
      <alignment vertical="top" wrapText="1"/>
    </xf>
    <xf numFmtId="0" fontId="37" fillId="0" borderId="0" xfId="0" applyFont="1" applyAlignment="1">
      <alignment horizontal="right"/>
    </xf>
    <xf numFmtId="43" fontId="37" fillId="42" borderId="0" xfId="0" applyNumberFormat="1" applyFont="1" applyFill="1" applyBorder="1" applyAlignment="1">
      <alignment/>
    </xf>
    <xf numFmtId="0" fontId="67" fillId="34" borderId="19" xfId="0" applyFont="1" applyFill="1" applyBorder="1" applyAlignment="1">
      <alignment horizontal="left" vertical="top" wrapText="1"/>
    </xf>
    <xf numFmtId="0" fontId="67" fillId="42" borderId="19" xfId="0" applyFont="1" applyFill="1" applyBorder="1" applyAlignment="1">
      <alignment horizontal="left" vertical="top" wrapText="1"/>
    </xf>
    <xf numFmtId="0" fontId="37" fillId="34" borderId="154" xfId="0" applyFont="1" applyFill="1" applyBorder="1" applyAlignment="1">
      <alignment/>
    </xf>
    <xf numFmtId="0" fontId="37" fillId="42" borderId="120" xfId="0" applyFont="1" applyFill="1" applyBorder="1" applyAlignment="1">
      <alignment vertical="top" wrapText="1"/>
    </xf>
    <xf numFmtId="0" fontId="38" fillId="42" borderId="120" xfId="0" applyFont="1" applyFill="1" applyBorder="1" applyAlignment="1">
      <alignment horizontal="left" vertical="top" wrapText="1"/>
    </xf>
    <xf numFmtId="0" fontId="67" fillId="42" borderId="120" xfId="0" applyFont="1" applyFill="1" applyBorder="1" applyAlignment="1">
      <alignment horizontal="left" vertical="top" wrapText="1"/>
    </xf>
    <xf numFmtId="0" fontId="37" fillId="42" borderId="120" xfId="0" applyFont="1" applyFill="1" applyBorder="1" applyAlignment="1">
      <alignment horizontal="left" vertical="top" wrapText="1"/>
    </xf>
    <xf numFmtId="164" fontId="38" fillId="42" borderId="120" xfId="42" applyNumberFormat="1" applyFont="1" applyFill="1" applyBorder="1" applyAlignment="1">
      <alignment horizontal="left" vertical="top" wrapText="1"/>
    </xf>
    <xf numFmtId="164" fontId="37" fillId="42" borderId="151" xfId="42" applyNumberFormat="1" applyFont="1" applyFill="1" applyBorder="1" applyAlignment="1">
      <alignment horizontal="left" vertical="top" wrapText="1"/>
    </xf>
    <xf numFmtId="164" fontId="38" fillId="42" borderId="119" xfId="42" applyNumberFormat="1" applyFont="1" applyFill="1" applyBorder="1" applyAlignment="1">
      <alignment horizontal="left" vertical="top" wrapText="1"/>
    </xf>
    <xf numFmtId="164" fontId="38" fillId="42" borderId="120" xfId="0" applyNumberFormat="1" applyFont="1" applyFill="1" applyBorder="1" applyAlignment="1">
      <alignment horizontal="left" vertical="top" wrapText="1"/>
    </xf>
    <xf numFmtId="164" fontId="104" fillId="42" borderId="150" xfId="42" applyNumberFormat="1" applyFont="1" applyFill="1" applyBorder="1" applyAlignment="1">
      <alignment horizontal="left" vertical="top" wrapText="1"/>
    </xf>
    <xf numFmtId="164" fontId="37" fillId="42" borderId="121" xfId="42" applyNumberFormat="1" applyFont="1" applyFill="1" applyBorder="1" applyAlignment="1">
      <alignment horizontal="left" vertical="top" wrapText="1"/>
    </xf>
    <xf numFmtId="164" fontId="37" fillId="42" borderId="120" xfId="42" applyNumberFormat="1" applyFont="1" applyFill="1" applyBorder="1" applyAlignment="1">
      <alignment horizontal="left" vertical="top" wrapText="1"/>
    </xf>
    <xf numFmtId="164" fontId="37" fillId="42" borderId="155" xfId="42" applyNumberFormat="1" applyFont="1" applyFill="1" applyBorder="1" applyAlignment="1">
      <alignment horizontal="left" vertical="top" wrapText="1"/>
    </xf>
    <xf numFmtId="164" fontId="38" fillId="42" borderId="0" xfId="0" applyNumberFormat="1" applyFont="1" applyFill="1" applyBorder="1" applyAlignment="1">
      <alignment vertical="top" wrapText="1"/>
    </xf>
    <xf numFmtId="0" fontId="37" fillId="42" borderId="123" xfId="0" applyFont="1" applyFill="1" applyBorder="1" applyAlignment="1">
      <alignment vertical="top" wrapText="1"/>
    </xf>
    <xf numFmtId="0" fontId="38" fillId="42" borderId="123" xfId="0" applyFont="1" applyFill="1" applyBorder="1" applyAlignment="1">
      <alignment horizontal="left" vertical="top" wrapText="1"/>
    </xf>
    <xf numFmtId="0" fontId="67" fillId="42" borderId="123" xfId="0" applyFont="1" applyFill="1" applyBorder="1" applyAlignment="1">
      <alignment horizontal="left" vertical="top" wrapText="1"/>
    </xf>
    <xf numFmtId="164" fontId="37" fillId="42" borderId="123" xfId="42" applyNumberFormat="1" applyFont="1" applyFill="1" applyBorder="1" applyAlignment="1">
      <alignment horizontal="left" vertical="top" wrapText="1"/>
    </xf>
    <xf numFmtId="164" fontId="38" fillId="42" borderId="123" xfId="0" applyNumberFormat="1" applyFont="1" applyFill="1" applyBorder="1" applyAlignment="1">
      <alignment horizontal="left" vertical="top" wrapText="1"/>
    </xf>
    <xf numFmtId="164" fontId="38" fillId="42" borderId="156" xfId="0" applyNumberFormat="1" applyFont="1" applyFill="1" applyBorder="1" applyAlignment="1">
      <alignment horizontal="left" vertical="top" wrapText="1"/>
    </xf>
    <xf numFmtId="164" fontId="37" fillId="42" borderId="123" xfId="0" applyNumberFormat="1" applyFont="1" applyFill="1" applyBorder="1" applyAlignment="1">
      <alignment horizontal="left" vertical="top" wrapText="1"/>
    </xf>
    <xf numFmtId="0" fontId="37" fillId="42" borderId="42" xfId="0" applyFont="1" applyFill="1" applyBorder="1" applyAlignment="1">
      <alignment horizontal="right" vertical="top" wrapText="1"/>
    </xf>
    <xf numFmtId="0" fontId="37" fillId="42" borderId="42" xfId="0" applyFont="1" applyFill="1" applyBorder="1" applyAlignment="1">
      <alignment horizontal="left" vertical="top" wrapText="1"/>
    </xf>
    <xf numFmtId="0" fontId="38" fillId="42" borderId="42" xfId="0" applyFont="1" applyFill="1" applyBorder="1" applyAlignment="1">
      <alignment horizontal="left" vertical="top" wrapText="1"/>
    </xf>
    <xf numFmtId="0" fontId="37" fillId="42" borderId="157" xfId="0" applyFont="1" applyFill="1" applyBorder="1" applyAlignment="1">
      <alignment vertical="top" wrapText="1"/>
    </xf>
    <xf numFmtId="164" fontId="37" fillId="42" borderId="126" xfId="42" applyNumberFormat="1" applyFont="1" applyFill="1" applyBorder="1" applyAlignment="1">
      <alignment horizontal="left" vertical="top" wrapText="1"/>
    </xf>
    <xf numFmtId="0" fontId="37" fillId="36" borderId="10" xfId="0" applyFont="1" applyFill="1" applyBorder="1" applyAlignment="1">
      <alignment horizontal="right" vertical="top" wrapText="1"/>
    </xf>
    <xf numFmtId="3" fontId="37" fillId="36" borderId="10" xfId="0" applyNumberFormat="1" applyFont="1" applyFill="1" applyBorder="1" applyAlignment="1">
      <alignment horizontal="center" vertical="top" wrapText="1"/>
    </xf>
    <xf numFmtId="0" fontId="37" fillId="36" borderId="10" xfId="0" applyFont="1" applyFill="1" applyBorder="1" applyAlignment="1">
      <alignment horizontal="center" vertical="top" wrapText="1"/>
    </xf>
    <xf numFmtId="0" fontId="38" fillId="36" borderId="10" xfId="0" applyFont="1" applyFill="1" applyBorder="1" applyAlignment="1">
      <alignment horizontal="left" vertical="top" wrapText="1"/>
    </xf>
    <xf numFmtId="0" fontId="37" fillId="36" borderId="10" xfId="0" applyFont="1" applyFill="1" applyBorder="1" applyAlignment="1">
      <alignment horizontal="left" vertical="top" wrapText="1"/>
    </xf>
    <xf numFmtId="164" fontId="37" fillId="36" borderId="10" xfId="42" applyNumberFormat="1" applyFont="1" applyFill="1" applyBorder="1" applyAlignment="1">
      <alignment horizontal="right" vertical="top" wrapText="1"/>
    </xf>
    <xf numFmtId="164" fontId="37" fillId="36" borderId="130" xfId="42" applyNumberFormat="1" applyFont="1" applyFill="1" applyBorder="1" applyAlignment="1">
      <alignment horizontal="right" vertical="top" wrapText="1"/>
    </xf>
    <xf numFmtId="164" fontId="37" fillId="36" borderId="139" xfId="42" applyNumberFormat="1" applyFont="1" applyFill="1" applyBorder="1" applyAlignment="1">
      <alignment horizontal="right" vertical="top" wrapText="1"/>
    </xf>
    <xf numFmtId="0" fontId="37" fillId="42" borderId="120" xfId="0" applyFont="1" applyFill="1" applyBorder="1" applyAlignment="1">
      <alignment horizontal="center" vertical="top" wrapText="1"/>
    </xf>
    <xf numFmtId="164" fontId="38" fillId="42" borderId="150" xfId="42" applyNumberFormat="1" applyFont="1" applyFill="1" applyBorder="1" applyAlignment="1">
      <alignment horizontal="left" vertical="top" wrapText="1"/>
    </xf>
    <xf numFmtId="0" fontId="37" fillId="42" borderId="158" xfId="0" applyFont="1" applyFill="1" applyBorder="1" applyAlignment="1">
      <alignment horizontal="left" vertical="top" wrapText="1"/>
    </xf>
    <xf numFmtId="164" fontId="38" fillId="42" borderId="121" xfId="42" applyNumberFormat="1" applyFont="1" applyFill="1" applyBorder="1" applyAlignment="1">
      <alignment horizontal="left" vertical="top" wrapText="1"/>
    </xf>
    <xf numFmtId="0" fontId="38" fillId="42" borderId="42" xfId="0" applyFont="1" applyFill="1" applyBorder="1" applyAlignment="1">
      <alignment horizontal="right" vertical="top" wrapText="1"/>
    </xf>
    <xf numFmtId="0" fontId="38" fillId="42" borderId="42" xfId="0" applyFont="1" applyFill="1" applyBorder="1" applyAlignment="1">
      <alignment horizontal="center" vertical="top" wrapText="1"/>
    </xf>
    <xf numFmtId="164" fontId="38" fillId="42" borderId="42" xfId="0" applyNumberFormat="1" applyFont="1" applyFill="1" applyBorder="1" applyAlignment="1">
      <alignment horizontal="left" vertical="top" wrapText="1"/>
    </xf>
    <xf numFmtId="164" fontId="37" fillId="42" borderId="42" xfId="42" applyNumberFormat="1" applyFont="1" applyFill="1" applyBorder="1" applyAlignment="1">
      <alignment horizontal="left" vertical="top" wrapText="1"/>
    </xf>
    <xf numFmtId="164" fontId="37" fillId="42" borderId="42" xfId="0" applyNumberFormat="1" applyFont="1" applyFill="1" applyBorder="1" applyAlignment="1">
      <alignment horizontal="left" vertical="top" wrapText="1"/>
    </xf>
    <xf numFmtId="164" fontId="37" fillId="42" borderId="46" xfId="42" applyNumberFormat="1" applyFont="1" applyFill="1" applyBorder="1" applyAlignment="1">
      <alignment horizontal="left" vertical="top" wrapText="1"/>
    </xf>
    <xf numFmtId="0" fontId="37" fillId="36" borderId="128" xfId="0" applyFont="1" applyFill="1" applyBorder="1" applyAlignment="1">
      <alignment horizontal="left" vertical="top" wrapText="1"/>
    </xf>
    <xf numFmtId="0" fontId="38" fillId="42" borderId="120" xfId="0" applyFont="1" applyFill="1" applyBorder="1" applyAlignment="1">
      <alignment vertical="top" wrapText="1"/>
    </xf>
    <xf numFmtId="164" fontId="37" fillId="42" borderId="131" xfId="42" applyNumberFormat="1" applyFont="1" applyFill="1" applyBorder="1" applyAlignment="1">
      <alignment horizontal="left" vertical="top" wrapText="1"/>
    </xf>
    <xf numFmtId="164" fontId="38" fillId="42" borderId="11" xfId="0" applyNumberFormat="1" applyFont="1" applyFill="1" applyBorder="1" applyAlignment="1">
      <alignment horizontal="left" vertical="top" wrapText="1"/>
    </xf>
    <xf numFmtId="164" fontId="37" fillId="42" borderId="148" xfId="42" applyNumberFormat="1" applyFont="1" applyFill="1" applyBorder="1" applyAlignment="1">
      <alignment horizontal="left" vertical="top" wrapText="1"/>
    </xf>
    <xf numFmtId="0" fontId="37" fillId="42" borderId="42" xfId="0" applyFont="1" applyFill="1" applyBorder="1" applyAlignment="1">
      <alignment horizontal="center" vertical="top" wrapText="1"/>
    </xf>
    <xf numFmtId="0" fontId="37" fillId="42" borderId="10" xfId="0" applyFont="1" applyFill="1" applyBorder="1" applyAlignment="1">
      <alignment vertical="top" wrapText="1"/>
    </xf>
    <xf numFmtId="164" fontId="38" fillId="42" borderId="10" xfId="0" applyNumberFormat="1" applyFont="1" applyFill="1" applyBorder="1" applyAlignment="1">
      <alignment horizontal="left" vertical="top" wrapText="1"/>
    </xf>
    <xf numFmtId="0" fontId="38" fillId="42" borderId="10" xfId="0" applyFont="1" applyFill="1" applyBorder="1" applyAlignment="1">
      <alignment horizontal="center" vertical="top" wrapText="1"/>
    </xf>
    <xf numFmtId="164" fontId="38" fillId="42" borderId="78" xfId="0" applyNumberFormat="1" applyFont="1" applyFill="1" applyBorder="1" applyAlignment="1">
      <alignment horizontal="left" vertical="top" wrapText="1"/>
    </xf>
    <xf numFmtId="0" fontId="37" fillId="42" borderId="79" xfId="0" applyFont="1" applyFill="1" applyBorder="1" applyAlignment="1">
      <alignment vertical="top" wrapText="1"/>
    </xf>
    <xf numFmtId="0" fontId="38" fillId="42" borderId="79" xfId="0" applyFont="1" applyFill="1" applyBorder="1" applyAlignment="1">
      <alignment vertical="top" wrapText="1"/>
    </xf>
    <xf numFmtId="0" fontId="38" fillId="42" borderId="79" xfId="0" applyFont="1" applyFill="1" applyBorder="1" applyAlignment="1">
      <alignment horizontal="left" vertical="top" wrapText="1"/>
    </xf>
    <xf numFmtId="0" fontId="37" fillId="42" borderId="79" xfId="0" applyFont="1" applyFill="1" applyBorder="1" applyAlignment="1">
      <alignment horizontal="left" vertical="top" wrapText="1"/>
    </xf>
    <xf numFmtId="164" fontId="37" fillId="42" borderId="141" xfId="42" applyNumberFormat="1" applyFont="1" applyFill="1" applyBorder="1" applyAlignment="1">
      <alignment horizontal="right" vertical="top" wrapText="1"/>
    </xf>
    <xf numFmtId="164" fontId="37" fillId="42" borderId="159" xfId="42" applyNumberFormat="1" applyFont="1" applyFill="1" applyBorder="1" applyAlignment="1">
      <alignment horizontal="left" vertical="top" wrapText="1"/>
    </xf>
    <xf numFmtId="164" fontId="38" fillId="42" borderId="79" xfId="0" applyNumberFormat="1" applyFont="1" applyFill="1" applyBorder="1" applyAlignment="1">
      <alignment horizontal="left" vertical="top" wrapText="1"/>
    </xf>
    <xf numFmtId="164" fontId="37" fillId="42" borderId="79" xfId="42" applyNumberFormat="1" applyFont="1" applyFill="1" applyBorder="1" applyAlignment="1">
      <alignment horizontal="left" vertical="top" wrapText="1"/>
    </xf>
    <xf numFmtId="0" fontId="37" fillId="42" borderId="155" xfId="0" applyFont="1" applyFill="1" applyBorder="1" applyAlignment="1">
      <alignment vertical="top" wrapText="1"/>
    </xf>
    <xf numFmtId="0" fontId="61" fillId="42" borderId="0" xfId="0" applyFont="1" applyFill="1" applyBorder="1" applyAlignment="1">
      <alignment vertical="top" wrapText="1"/>
    </xf>
    <xf numFmtId="164" fontId="37" fillId="34" borderId="155" xfId="0" applyNumberFormat="1" applyFont="1" applyFill="1" applyBorder="1" applyAlignment="1">
      <alignment horizontal="left" vertical="top" wrapText="1"/>
    </xf>
    <xf numFmtId="0" fontId="37" fillId="42" borderId="158" xfId="0" applyFont="1" applyFill="1" applyBorder="1" applyAlignment="1">
      <alignment vertical="top" wrapText="1"/>
    </xf>
    <xf numFmtId="164" fontId="37" fillId="42" borderId="149" xfId="0" applyNumberFormat="1" applyFont="1" applyFill="1" applyBorder="1" applyAlignment="1">
      <alignment horizontal="left" vertical="top" wrapText="1"/>
    </xf>
    <xf numFmtId="164" fontId="37" fillId="42" borderId="155" xfId="0" applyNumberFormat="1" applyFont="1" applyFill="1" applyBorder="1" applyAlignment="1">
      <alignment vertical="top"/>
    </xf>
    <xf numFmtId="0" fontId="38" fillId="42" borderId="123" xfId="0" applyFont="1" applyFill="1" applyBorder="1" applyAlignment="1">
      <alignment horizontal="right" vertical="top" wrapText="1"/>
    </xf>
    <xf numFmtId="0" fontId="38" fillId="42" borderId="123" xfId="0" applyFont="1" applyFill="1" applyBorder="1" applyAlignment="1">
      <alignment horizontal="center" vertical="top" wrapText="1"/>
    </xf>
    <xf numFmtId="0" fontId="37" fillId="42" borderId="123" xfId="0" applyFont="1" applyFill="1" applyBorder="1" applyAlignment="1">
      <alignment horizontal="left" vertical="top" wrapText="1"/>
    </xf>
    <xf numFmtId="0" fontId="37" fillId="42" borderId="160" xfId="0" applyFont="1" applyFill="1" applyBorder="1" applyAlignment="1">
      <alignment vertical="top" wrapText="1"/>
    </xf>
    <xf numFmtId="164" fontId="38" fillId="42" borderId="161" xfId="42" applyNumberFormat="1" applyFont="1" applyFill="1" applyBorder="1" applyAlignment="1">
      <alignment horizontal="left" vertical="top" wrapText="1"/>
    </xf>
    <xf numFmtId="164" fontId="37" fillId="42" borderId="124" xfId="42" applyNumberFormat="1" applyFont="1" applyFill="1" applyBorder="1" applyAlignment="1">
      <alignment horizontal="left" vertical="top" wrapText="1"/>
    </xf>
    <xf numFmtId="0" fontId="103" fillId="42" borderId="120" xfId="0" applyFont="1" applyFill="1" applyBorder="1" applyAlignment="1">
      <alignment vertical="top" wrapText="1"/>
    </xf>
    <xf numFmtId="164" fontId="102" fillId="42" borderId="42" xfId="0" applyNumberFormat="1" applyFont="1" applyFill="1" applyBorder="1" applyAlignment="1">
      <alignment horizontal="left" vertical="top" wrapText="1"/>
    </xf>
    <xf numFmtId="164" fontId="43" fillId="42" borderId="137" xfId="42" applyNumberFormat="1" applyFont="1" applyFill="1" applyBorder="1" applyAlignment="1">
      <alignment horizontal="left" vertical="top" wrapText="1"/>
    </xf>
    <xf numFmtId="0" fontId="38" fillId="42" borderId="79" xfId="0" applyFont="1" applyFill="1" applyBorder="1" applyAlignment="1">
      <alignment/>
    </xf>
    <xf numFmtId="0" fontId="37" fillId="42" borderId="137" xfId="0" applyFont="1" applyFill="1" applyBorder="1" applyAlignment="1">
      <alignment/>
    </xf>
    <xf numFmtId="164" fontId="37" fillId="43" borderId="162" xfId="42" applyNumberFormat="1" applyFont="1" applyFill="1" applyBorder="1" applyAlignment="1">
      <alignment horizontal="right" vertical="top" wrapText="1"/>
    </xf>
    <xf numFmtId="164" fontId="37" fillId="43" borderId="163" xfId="42" applyNumberFormat="1" applyFont="1" applyFill="1" applyBorder="1" applyAlignment="1">
      <alignment horizontal="right" vertical="top" wrapText="1"/>
    </xf>
    <xf numFmtId="164" fontId="37" fillId="43" borderId="164" xfId="42" applyNumberFormat="1" applyFont="1" applyFill="1" applyBorder="1" applyAlignment="1">
      <alignment horizontal="right" vertical="top" wrapText="1"/>
    </xf>
    <xf numFmtId="0" fontId="38" fillId="42" borderId="123" xfId="0" applyFont="1" applyFill="1" applyBorder="1" applyAlignment="1">
      <alignment/>
    </xf>
    <xf numFmtId="178" fontId="38" fillId="42" borderId="42" xfId="0" applyNumberFormat="1" applyFont="1" applyFill="1" applyBorder="1" applyAlignment="1">
      <alignment vertical="top"/>
    </xf>
    <xf numFmtId="178" fontId="37" fillId="42" borderId="136" xfId="0" applyNumberFormat="1" applyFont="1" applyFill="1" applyBorder="1" applyAlignment="1">
      <alignment vertical="top"/>
    </xf>
    <xf numFmtId="178" fontId="38" fillId="42" borderId="78" xfId="0" applyNumberFormat="1" applyFont="1" applyFill="1" applyBorder="1" applyAlignment="1">
      <alignment vertical="top"/>
    </xf>
    <xf numFmtId="0" fontId="38" fillId="42" borderId="78" xfId="0" applyFont="1" applyFill="1" applyBorder="1" applyAlignment="1">
      <alignment horizontal="right" vertical="top" wrapText="1"/>
    </xf>
    <xf numFmtId="0" fontId="38" fillId="42" borderId="78" xfId="0" applyFont="1" applyFill="1" applyBorder="1" applyAlignment="1">
      <alignment horizontal="center" vertical="top" wrapText="1"/>
    </xf>
    <xf numFmtId="0" fontId="38" fillId="42" borderId="78" xfId="0" applyFont="1" applyFill="1" applyBorder="1" applyAlignment="1">
      <alignment horizontal="left" vertical="top" wrapText="1"/>
    </xf>
    <xf numFmtId="0" fontId="37" fillId="42" borderId="78" xfId="0" applyFont="1" applyFill="1" applyBorder="1" applyAlignment="1">
      <alignment horizontal="left" vertical="top" wrapText="1"/>
    </xf>
    <xf numFmtId="164" fontId="37" fillId="42" borderId="133" xfId="42" applyNumberFormat="1" applyFont="1" applyFill="1" applyBorder="1" applyAlignment="1">
      <alignment horizontal="left" vertical="top" wrapText="1"/>
    </xf>
    <xf numFmtId="164" fontId="38" fillId="42" borderId="165" xfId="42" applyNumberFormat="1" applyFont="1" applyFill="1" applyBorder="1" applyAlignment="1">
      <alignment horizontal="left" vertical="top" wrapText="1"/>
    </xf>
    <xf numFmtId="0" fontId="38" fillId="42" borderId="120" xfId="0" applyFont="1" applyFill="1" applyBorder="1" applyAlignment="1">
      <alignment/>
    </xf>
    <xf numFmtId="0" fontId="37" fillId="42" borderId="155" xfId="0" applyFont="1" applyFill="1" applyBorder="1" applyAlignment="1">
      <alignment/>
    </xf>
    <xf numFmtId="0" fontId="37" fillId="0" borderId="26" xfId="0" applyFont="1" applyFill="1" applyBorder="1" applyAlignment="1">
      <alignment vertical="top" wrapText="1"/>
    </xf>
    <xf numFmtId="0" fontId="38" fillId="42" borderId="78" xfId="0" applyFont="1" applyFill="1" applyBorder="1" applyAlignment="1">
      <alignment/>
    </xf>
    <xf numFmtId="0" fontId="37" fillId="42" borderId="149" xfId="0" applyFont="1" applyFill="1" applyBorder="1" applyAlignment="1">
      <alignment/>
    </xf>
    <xf numFmtId="0" fontId="38" fillId="42" borderId="15" xfId="0" applyFont="1" applyFill="1" applyBorder="1" applyAlignment="1">
      <alignment/>
    </xf>
    <xf numFmtId="0" fontId="37" fillId="42" borderId="166" xfId="0" applyFont="1" applyFill="1" applyBorder="1" applyAlignment="1">
      <alignment/>
    </xf>
    <xf numFmtId="0" fontId="37" fillId="42" borderId="167" xfId="0" applyFont="1" applyFill="1" applyBorder="1" applyAlignment="1">
      <alignment/>
    </xf>
    <xf numFmtId="0" fontId="38" fillId="42" borderId="146" xfId="0" applyFont="1" applyFill="1" applyBorder="1" applyAlignment="1">
      <alignment vertical="top" wrapText="1"/>
    </xf>
    <xf numFmtId="164" fontId="38" fillId="42" borderId="151" xfId="42" applyNumberFormat="1" applyFont="1" applyFill="1" applyBorder="1" applyAlignment="1">
      <alignment horizontal="left" vertical="top" wrapText="1"/>
    </xf>
    <xf numFmtId="0" fontId="38" fillId="42" borderId="19" xfId="0" applyFont="1" applyFill="1" applyBorder="1" applyAlignment="1">
      <alignment vertical="top" wrapText="1"/>
    </xf>
    <xf numFmtId="0" fontId="37" fillId="42" borderId="157" xfId="0" applyFont="1" applyFill="1" applyBorder="1" applyAlignment="1">
      <alignment horizontal="left" vertical="top" wrapText="1"/>
    </xf>
    <xf numFmtId="164" fontId="37" fillId="43" borderId="168" xfId="42" applyNumberFormat="1" applyFont="1" applyFill="1" applyBorder="1" applyAlignment="1">
      <alignment horizontal="right" vertical="top" wrapText="1"/>
    </xf>
    <xf numFmtId="0" fontId="37" fillId="42" borderId="155" xfId="0" applyFont="1" applyFill="1" applyBorder="1" applyAlignment="1">
      <alignment horizontal="left" vertical="top" wrapText="1"/>
    </xf>
    <xf numFmtId="164" fontId="69" fillId="42" borderId="11" xfId="42" applyNumberFormat="1" applyFont="1" applyFill="1" applyBorder="1" applyAlignment="1">
      <alignment horizontal="justify" vertical="top" wrapText="1"/>
    </xf>
    <xf numFmtId="164" fontId="70" fillId="42" borderId="148" xfId="42" applyNumberFormat="1" applyFont="1" applyFill="1" applyBorder="1" applyAlignment="1">
      <alignment horizontal="justify" vertical="top" wrapText="1"/>
    </xf>
    <xf numFmtId="164" fontId="66" fillId="42" borderId="127" xfId="42" applyNumberFormat="1" applyFont="1" applyFill="1" applyBorder="1" applyAlignment="1">
      <alignment horizontal="left" vertical="top" wrapText="1"/>
    </xf>
    <xf numFmtId="164" fontId="38" fillId="42" borderId="119" xfId="42" applyNumberFormat="1" applyFont="1" applyFill="1" applyBorder="1" applyAlignment="1">
      <alignment horizontal="justify" vertical="top" wrapText="1"/>
    </xf>
    <xf numFmtId="164" fontId="38" fillId="42" borderId="120" xfId="0" applyNumberFormat="1" applyFont="1" applyFill="1" applyBorder="1" applyAlignment="1">
      <alignment vertical="top" wrapText="1"/>
    </xf>
    <xf numFmtId="164" fontId="37" fillId="42" borderId="155" xfId="42" applyNumberFormat="1" applyFont="1" applyFill="1" applyBorder="1" applyAlignment="1">
      <alignment horizontal="justify" vertical="top" wrapText="1"/>
    </xf>
    <xf numFmtId="0" fontId="38" fillId="42" borderId="11" xfId="0" applyFont="1" applyFill="1" applyBorder="1" applyAlignment="1">
      <alignment/>
    </xf>
    <xf numFmtId="0" fontId="37" fillId="42" borderId="148" xfId="0" applyFont="1" applyFill="1" applyBorder="1" applyAlignment="1">
      <alignment/>
    </xf>
    <xf numFmtId="0" fontId="37" fillId="42" borderId="169" xfId="0" applyFont="1" applyFill="1" applyBorder="1" applyAlignment="1">
      <alignment vertical="top" wrapText="1"/>
    </xf>
    <xf numFmtId="3" fontId="37" fillId="42" borderId="10" xfId="0" applyNumberFormat="1" applyFont="1" applyFill="1" applyBorder="1" applyAlignment="1">
      <alignment horizontal="center" vertical="top" wrapText="1"/>
    </xf>
    <xf numFmtId="0" fontId="38" fillId="42" borderId="19" xfId="0" applyFont="1" applyFill="1" applyBorder="1" applyAlignment="1">
      <alignment horizontal="left" vertical="top" wrapText="1"/>
    </xf>
    <xf numFmtId="0" fontId="37" fillId="42" borderId="138" xfId="0" applyFont="1" applyFill="1" applyBorder="1" applyAlignment="1">
      <alignment vertical="top" wrapText="1"/>
    </xf>
    <xf numFmtId="164" fontId="37" fillId="42" borderId="130" xfId="42" applyNumberFormat="1" applyFont="1" applyFill="1" applyBorder="1" applyAlignment="1">
      <alignment horizontal="left" vertical="top" wrapText="1"/>
    </xf>
    <xf numFmtId="0" fontId="37" fillId="42" borderId="152" xfId="0" applyFont="1" applyFill="1" applyBorder="1" applyAlignment="1">
      <alignment vertical="top" wrapText="1"/>
    </xf>
    <xf numFmtId="0" fontId="37" fillId="42" borderId="146" xfId="0" applyFont="1" applyFill="1" applyBorder="1" applyAlignment="1">
      <alignment vertical="top" wrapText="1"/>
    </xf>
    <xf numFmtId="164" fontId="38" fillId="42" borderId="120" xfId="42" applyNumberFormat="1" applyFont="1" applyFill="1" applyBorder="1" applyAlignment="1">
      <alignment vertical="top" wrapText="1"/>
    </xf>
    <xf numFmtId="3" fontId="38" fillId="42" borderId="123" xfId="0" applyNumberFormat="1" applyFont="1" applyFill="1" applyBorder="1" applyAlignment="1">
      <alignment horizontal="center" vertical="top" wrapText="1"/>
    </xf>
    <xf numFmtId="164" fontId="38" fillId="42" borderId="161" xfId="42" applyNumberFormat="1" applyFont="1" applyFill="1" applyBorder="1" applyAlignment="1">
      <alignment vertical="top" wrapText="1"/>
    </xf>
    <xf numFmtId="164" fontId="38" fillId="42" borderId="123" xfId="42" applyNumberFormat="1" applyFont="1" applyFill="1" applyBorder="1" applyAlignment="1">
      <alignment vertical="top" wrapText="1"/>
    </xf>
    <xf numFmtId="164" fontId="38" fillId="42" borderId="156" xfId="42" applyNumberFormat="1" applyFont="1" applyFill="1" applyBorder="1" applyAlignment="1">
      <alignment horizontal="left" vertical="top" wrapText="1"/>
    </xf>
    <xf numFmtId="164" fontId="105" fillId="42" borderId="123" xfId="42" applyNumberFormat="1" applyFont="1" applyFill="1" applyBorder="1" applyAlignment="1">
      <alignment vertical="top" wrapText="1"/>
    </xf>
    <xf numFmtId="164" fontId="104" fillId="42" borderId="123" xfId="0" applyNumberFormat="1" applyFont="1" applyFill="1" applyBorder="1" applyAlignment="1">
      <alignment horizontal="left" vertical="top" wrapText="1"/>
    </xf>
    <xf numFmtId="0" fontId="38" fillId="42" borderId="78" xfId="0" applyFont="1" applyFill="1" applyBorder="1" applyAlignment="1">
      <alignment vertical="top" wrapText="1"/>
    </xf>
    <xf numFmtId="164" fontId="38" fillId="42" borderId="134" xfId="42" applyNumberFormat="1" applyFont="1" applyFill="1" applyBorder="1" applyAlignment="1">
      <alignment vertical="top" wrapText="1"/>
    </xf>
    <xf numFmtId="3" fontId="37" fillId="42" borderId="120" xfId="0" applyNumberFormat="1" applyFont="1" applyFill="1" applyBorder="1" applyAlignment="1">
      <alignment horizontal="center" vertical="top" wrapText="1"/>
    </xf>
    <xf numFmtId="164" fontId="37" fillId="42" borderId="155" xfId="0" applyNumberFormat="1" applyFont="1" applyFill="1" applyBorder="1" applyAlignment="1">
      <alignment horizontal="left" vertical="top" wrapText="1"/>
    </xf>
    <xf numFmtId="0" fontId="38" fillId="42" borderId="152" xfId="0" applyFont="1" applyFill="1" applyBorder="1" applyAlignment="1">
      <alignment vertical="top" wrapText="1"/>
    </xf>
    <xf numFmtId="0" fontId="38" fillId="34" borderId="152" xfId="0" applyFont="1" applyFill="1" applyBorder="1" applyAlignment="1">
      <alignment vertical="top" wrapText="1"/>
    </xf>
    <xf numFmtId="0" fontId="38" fillId="42" borderId="170" xfId="0" applyFont="1" applyFill="1" applyBorder="1" applyAlignment="1">
      <alignment vertical="top" wrapText="1"/>
    </xf>
    <xf numFmtId="0" fontId="38" fillId="34" borderId="170" xfId="0" applyFont="1" applyFill="1" applyBorder="1" applyAlignment="1">
      <alignment vertical="top" wrapText="1"/>
    </xf>
    <xf numFmtId="0" fontId="38" fillId="42" borderId="42" xfId="0" applyFont="1" applyFill="1" applyBorder="1" applyAlignment="1">
      <alignment vertical="top" wrapText="1"/>
    </xf>
    <xf numFmtId="3" fontId="38" fillId="42" borderId="42" xfId="0" applyNumberFormat="1" applyFont="1" applyFill="1" applyBorder="1" applyAlignment="1">
      <alignment horizontal="center" vertical="top" wrapText="1"/>
    </xf>
    <xf numFmtId="164" fontId="38" fillId="42" borderId="42" xfId="42" applyNumberFormat="1" applyFont="1" applyFill="1" applyBorder="1" applyAlignment="1">
      <alignment vertical="top" wrapText="1"/>
    </xf>
    <xf numFmtId="164" fontId="38" fillId="42" borderId="126" xfId="0" applyNumberFormat="1" applyFont="1" applyFill="1" applyBorder="1" applyAlignment="1">
      <alignment horizontal="left" vertical="top" wrapText="1"/>
    </xf>
    <xf numFmtId="164" fontId="38" fillId="42" borderId="46" xfId="0" applyNumberFormat="1" applyFont="1" applyFill="1" applyBorder="1" applyAlignment="1">
      <alignment horizontal="left" vertical="top" wrapText="1"/>
    </xf>
    <xf numFmtId="0" fontId="38" fillId="42" borderId="42" xfId="0" applyFont="1" applyFill="1" applyBorder="1" applyAlignment="1">
      <alignment/>
    </xf>
    <xf numFmtId="0" fontId="37" fillId="42" borderId="136" xfId="0" applyFont="1" applyFill="1" applyBorder="1" applyAlignment="1">
      <alignment/>
    </xf>
    <xf numFmtId="0" fontId="38" fillId="42" borderId="171" xfId="0" applyFont="1" applyFill="1" applyBorder="1" applyAlignment="1">
      <alignment vertical="top" wrapText="1"/>
    </xf>
    <xf numFmtId="0" fontId="38" fillId="34" borderId="171" xfId="0" applyFont="1" applyFill="1" applyBorder="1" applyAlignment="1">
      <alignment vertical="top" wrapText="1"/>
    </xf>
    <xf numFmtId="0" fontId="37" fillId="42" borderId="138" xfId="0" applyFont="1" applyFill="1" applyBorder="1" applyAlignment="1">
      <alignment horizontal="left" vertical="top" wrapText="1"/>
    </xf>
    <xf numFmtId="164" fontId="37" fillId="42" borderId="10" xfId="0" applyNumberFormat="1" applyFont="1" applyFill="1" applyBorder="1" applyAlignment="1">
      <alignment horizontal="left" vertical="top" wrapText="1"/>
    </xf>
    <xf numFmtId="0" fontId="37" fillId="42" borderId="146" xfId="0" applyFont="1" applyFill="1" applyBorder="1" applyAlignment="1">
      <alignment horizontal="center" vertical="top" wrapText="1"/>
    </xf>
    <xf numFmtId="164" fontId="37" fillId="42" borderId="120" xfId="0" applyNumberFormat="1" applyFont="1" applyFill="1" applyBorder="1" applyAlignment="1">
      <alignment horizontal="left" vertical="top" wrapText="1"/>
    </xf>
    <xf numFmtId="0" fontId="37" fillId="42" borderId="153" xfId="0" applyFont="1" applyFill="1" applyBorder="1" applyAlignment="1">
      <alignment vertical="top" wrapText="1"/>
    </xf>
    <xf numFmtId="164" fontId="37" fillId="42" borderId="0" xfId="42" applyNumberFormat="1" applyFont="1" applyFill="1" applyBorder="1" applyAlignment="1">
      <alignment horizontal="justify" vertical="top" wrapText="1"/>
    </xf>
    <xf numFmtId="164" fontId="37" fillId="42" borderId="0" xfId="42" applyNumberFormat="1" applyFont="1" applyFill="1" applyBorder="1" applyAlignment="1">
      <alignment horizontal="right" vertical="top" wrapText="1"/>
    </xf>
    <xf numFmtId="164" fontId="43" fillId="42" borderId="0" xfId="42" applyNumberFormat="1" applyFont="1" applyFill="1" applyBorder="1" applyAlignment="1">
      <alignment horizontal="right" vertical="top" wrapText="1"/>
    </xf>
    <xf numFmtId="164" fontId="43" fillId="42" borderId="0" xfId="42" applyNumberFormat="1" applyFont="1" applyFill="1" applyBorder="1" applyAlignment="1">
      <alignment horizontal="justify" vertical="top" wrapText="1"/>
    </xf>
    <xf numFmtId="0" fontId="106" fillId="42" borderId="0" xfId="0" applyFont="1" applyFill="1" applyBorder="1" applyAlignment="1">
      <alignment vertical="top" wrapText="1"/>
    </xf>
    <xf numFmtId="164" fontId="37" fillId="0" borderId="0" xfId="0" applyNumberFormat="1" applyFont="1" applyBorder="1" applyAlignment="1">
      <alignment/>
    </xf>
    <xf numFmtId="164" fontId="37" fillId="42" borderId="0" xfId="0" applyNumberFormat="1" applyFont="1" applyFill="1" applyBorder="1" applyAlignment="1">
      <alignment/>
    </xf>
    <xf numFmtId="0" fontId="38" fillId="42" borderId="0" xfId="0" applyFont="1" applyFill="1" applyBorder="1" applyAlignment="1">
      <alignment horizontal="left"/>
    </xf>
    <xf numFmtId="0" fontId="37" fillId="42" borderId="0" xfId="0" applyFont="1" applyFill="1" applyBorder="1" applyAlignment="1">
      <alignment horizontal="left"/>
    </xf>
    <xf numFmtId="0" fontId="38" fillId="0" borderId="0" xfId="0" applyFont="1" applyFill="1" applyBorder="1" applyAlignment="1">
      <alignment horizontal="left"/>
    </xf>
    <xf numFmtId="0" fontId="38" fillId="42" borderId="0" xfId="0" applyFont="1" applyFill="1" applyBorder="1" applyAlignment="1">
      <alignment vertical="center" wrapText="1"/>
    </xf>
    <xf numFmtId="0" fontId="38" fillId="42" borderId="0" xfId="0" applyFont="1" applyFill="1" applyBorder="1" applyAlignment="1">
      <alignment horizontal="center" vertical="center" wrapText="1"/>
    </xf>
    <xf numFmtId="0" fontId="38" fillId="34" borderId="10" xfId="0" applyFont="1" applyFill="1" applyBorder="1" applyAlignment="1">
      <alignment vertical="top" wrapText="1"/>
    </xf>
    <xf numFmtId="164" fontId="38" fillId="42" borderId="0" xfId="42" applyNumberFormat="1" applyFont="1" applyFill="1" applyBorder="1" applyAlignment="1">
      <alignment horizontal="left" vertical="top"/>
    </xf>
    <xf numFmtId="0" fontId="38" fillId="42" borderId="0" xfId="0" applyFont="1" applyFill="1" applyAlignment="1">
      <alignment horizontal="left"/>
    </xf>
    <xf numFmtId="164" fontId="37" fillId="42" borderId="0" xfId="0" applyNumberFormat="1" applyFont="1" applyFill="1" applyAlignment="1">
      <alignment/>
    </xf>
    <xf numFmtId="0" fontId="37" fillId="0" borderId="0" xfId="0" applyFont="1" applyAlignment="1">
      <alignment horizontal="left" vertical="top" wrapText="1"/>
    </xf>
    <xf numFmtId="0" fontId="38" fillId="34" borderId="154" xfId="0" applyFont="1" applyFill="1" applyBorder="1" applyAlignment="1">
      <alignment/>
    </xf>
    <xf numFmtId="0" fontId="39" fillId="42" borderId="120" xfId="0" applyFont="1" applyFill="1" applyBorder="1" applyAlignment="1">
      <alignment vertical="top" wrapText="1"/>
    </xf>
    <xf numFmtId="164" fontId="38" fillId="42" borderId="155" xfId="42" applyNumberFormat="1" applyFont="1" applyFill="1" applyBorder="1" applyAlignment="1">
      <alignment horizontal="left" vertical="top" wrapText="1"/>
    </xf>
    <xf numFmtId="164" fontId="104" fillId="42" borderId="42" xfId="42" applyNumberFormat="1" applyFont="1" applyFill="1" applyBorder="1" applyAlignment="1">
      <alignment horizontal="left" vertical="top" wrapText="1"/>
    </xf>
    <xf numFmtId="3" fontId="37" fillId="42" borderId="157" xfId="0" applyNumberFormat="1" applyFont="1" applyFill="1" applyBorder="1" applyAlignment="1">
      <alignment vertical="top" wrapText="1"/>
    </xf>
    <xf numFmtId="164" fontId="38" fillId="42" borderId="159" xfId="42" applyNumberFormat="1" applyFont="1" applyFill="1" applyBorder="1" applyAlignment="1">
      <alignment horizontal="left" vertical="top" wrapText="1"/>
    </xf>
    <xf numFmtId="164" fontId="38" fillId="34" borderId="172" xfId="42" applyNumberFormat="1" applyFont="1" applyFill="1" applyBorder="1" applyAlignment="1">
      <alignment horizontal="left" vertical="top" wrapText="1"/>
    </xf>
    <xf numFmtId="0" fontId="38" fillId="42" borderId="147" xfId="0" applyFont="1" applyFill="1" applyBorder="1" applyAlignment="1">
      <alignment vertical="top" wrapText="1"/>
    </xf>
    <xf numFmtId="164" fontId="104" fillId="42" borderId="125" xfId="42" applyNumberFormat="1" applyFont="1" applyFill="1" applyBorder="1" applyAlignment="1">
      <alignment horizontal="left" vertical="top" wrapText="1"/>
    </xf>
    <xf numFmtId="164" fontId="37" fillId="43" borderId="129" xfId="42" applyNumberFormat="1" applyFont="1" applyFill="1" applyBorder="1" applyAlignment="1">
      <alignment horizontal="left" vertical="top" wrapText="1"/>
    </xf>
    <xf numFmtId="164" fontId="37" fillId="43" borderId="130" xfId="42" applyNumberFormat="1" applyFont="1" applyFill="1" applyBorder="1" applyAlignment="1">
      <alignment horizontal="left" vertical="top" wrapText="1"/>
    </xf>
    <xf numFmtId="164" fontId="37" fillId="43" borderId="101" xfId="42" applyNumberFormat="1" applyFont="1" applyFill="1" applyBorder="1" applyAlignment="1">
      <alignment horizontal="left" vertical="top" wrapText="1"/>
    </xf>
    <xf numFmtId="164" fontId="37" fillId="43" borderId="139" xfId="42" applyNumberFormat="1" applyFont="1" applyFill="1" applyBorder="1" applyAlignment="1">
      <alignment horizontal="left" vertical="top" wrapText="1"/>
    </xf>
    <xf numFmtId="164" fontId="104" fillId="42" borderId="42" xfId="0" applyNumberFormat="1" applyFont="1" applyFill="1" applyBorder="1" applyAlignment="1">
      <alignment horizontal="left" vertical="top" wrapText="1"/>
    </xf>
    <xf numFmtId="0" fontId="38" fillId="42" borderId="120" xfId="0" applyFont="1" applyFill="1" applyBorder="1" applyAlignment="1">
      <alignment horizontal="center" vertical="top" wrapText="1"/>
    </xf>
    <xf numFmtId="0" fontId="38" fillId="43" borderId="173" xfId="0" applyFont="1" applyFill="1" applyBorder="1" applyAlignment="1">
      <alignment vertical="top" wrapText="1"/>
    </xf>
    <xf numFmtId="164" fontId="37" fillId="43" borderId="174" xfId="42" applyNumberFormat="1" applyFont="1" applyFill="1" applyBorder="1" applyAlignment="1">
      <alignment horizontal="right" vertical="top" wrapText="1"/>
    </xf>
    <xf numFmtId="164" fontId="37" fillId="43" borderId="175" xfId="42" applyNumberFormat="1" applyFont="1" applyFill="1" applyBorder="1" applyAlignment="1">
      <alignment horizontal="right" vertical="top" wrapText="1"/>
    </xf>
    <xf numFmtId="164" fontId="37" fillId="42" borderId="150" xfId="42" applyNumberFormat="1" applyFont="1" applyFill="1" applyBorder="1" applyAlignment="1">
      <alignment horizontal="right" vertical="top" wrapText="1"/>
    </xf>
    <xf numFmtId="164" fontId="37" fillId="42" borderId="151" xfId="42" applyNumberFormat="1" applyFont="1" applyFill="1" applyBorder="1" applyAlignment="1">
      <alignment horizontal="right" vertical="top" wrapText="1"/>
    </xf>
    <xf numFmtId="164" fontId="37" fillId="42" borderId="158" xfId="42" applyNumberFormat="1" applyFont="1" applyFill="1" applyBorder="1" applyAlignment="1">
      <alignment horizontal="right" vertical="top" wrapText="1"/>
    </xf>
    <xf numFmtId="164" fontId="37" fillId="42" borderId="136" xfId="0" applyNumberFormat="1" applyFont="1" applyFill="1" applyBorder="1" applyAlignment="1">
      <alignment horizontal="left" vertical="top" wrapText="1"/>
    </xf>
    <xf numFmtId="164" fontId="38" fillId="42" borderId="151" xfId="0" applyNumberFormat="1" applyFont="1" applyFill="1" applyBorder="1" applyAlignment="1">
      <alignment horizontal="left" vertical="top" wrapText="1"/>
    </xf>
    <xf numFmtId="164" fontId="107" fillId="42" borderId="42" xfId="42" applyNumberFormat="1" applyFont="1" applyFill="1" applyBorder="1" applyAlignment="1">
      <alignment horizontal="right" vertical="top" wrapText="1"/>
    </xf>
    <xf numFmtId="0" fontId="37" fillId="43" borderId="147" xfId="0" applyFont="1" applyFill="1" applyBorder="1" applyAlignment="1">
      <alignment horizontal="left" vertical="top" wrapText="1"/>
    </xf>
    <xf numFmtId="0" fontId="37" fillId="42" borderId="176" xfId="0" applyFont="1" applyFill="1" applyBorder="1" applyAlignment="1">
      <alignment horizontal="left" vertical="top" wrapText="1"/>
    </xf>
    <xf numFmtId="164" fontId="37" fillId="42" borderId="155" xfId="42" applyNumberFormat="1" applyFont="1" applyFill="1" applyBorder="1" applyAlignment="1">
      <alignment horizontal="right" vertical="top" wrapText="1"/>
    </xf>
    <xf numFmtId="0" fontId="37" fillId="42" borderId="123" xfId="0" applyFont="1" applyFill="1" applyBorder="1" applyAlignment="1">
      <alignment horizontal="center" vertical="top" wrapText="1"/>
    </xf>
    <xf numFmtId="164" fontId="104" fillId="42" borderId="161" xfId="42" applyNumberFormat="1" applyFont="1" applyFill="1" applyBorder="1" applyAlignment="1">
      <alignment vertical="top" wrapText="1"/>
    </xf>
    <xf numFmtId="164" fontId="38" fillId="42" borderId="156" xfId="42" applyNumberFormat="1" applyFont="1" applyFill="1" applyBorder="1" applyAlignment="1">
      <alignment vertical="top" wrapText="1"/>
    </xf>
    <xf numFmtId="0" fontId="37" fillId="42" borderId="160" xfId="0" applyFont="1" applyFill="1" applyBorder="1" applyAlignment="1">
      <alignment horizontal="left" vertical="top" wrapText="1"/>
    </xf>
    <xf numFmtId="164" fontId="38" fillId="42" borderId="137" xfId="0" applyNumberFormat="1" applyFont="1" applyFill="1" applyBorder="1" applyAlignment="1">
      <alignment vertical="top" wrapText="1"/>
    </xf>
    <xf numFmtId="164" fontId="102" fillId="42" borderId="122" xfId="42" applyNumberFormat="1" applyFont="1" applyFill="1" applyBorder="1" applyAlignment="1">
      <alignment horizontal="left" vertical="top" wrapText="1"/>
    </xf>
    <xf numFmtId="164" fontId="102" fillId="42" borderId="161" xfId="42" applyNumberFormat="1" applyFont="1" applyFill="1" applyBorder="1" applyAlignment="1">
      <alignment horizontal="left" vertical="top" wrapText="1"/>
    </xf>
    <xf numFmtId="0" fontId="38" fillId="42" borderId="137" xfId="0" applyFont="1" applyFill="1" applyBorder="1" applyAlignment="1">
      <alignment/>
    </xf>
    <xf numFmtId="164" fontId="101" fillId="43" borderId="10" xfId="42" applyNumberFormat="1" applyFont="1" applyFill="1" applyBorder="1" applyAlignment="1">
      <alignment horizontal="justify" vertical="top" wrapText="1"/>
    </xf>
    <xf numFmtId="164" fontId="101" fillId="43" borderId="10" xfId="42" applyNumberFormat="1" applyFont="1" applyFill="1" applyBorder="1" applyAlignment="1">
      <alignment horizontal="right" vertical="top" wrapText="1"/>
    </xf>
    <xf numFmtId="0" fontId="101" fillId="34" borderId="0" xfId="0" applyFont="1" applyFill="1" applyBorder="1" applyAlignment="1">
      <alignment vertical="top" wrapText="1"/>
    </xf>
    <xf numFmtId="164" fontId="102" fillId="42" borderId="10" xfId="0" applyNumberFormat="1" applyFont="1" applyFill="1" applyBorder="1" applyAlignment="1">
      <alignment vertical="top" wrapText="1"/>
    </xf>
    <xf numFmtId="0" fontId="101" fillId="34" borderId="0" xfId="0" applyFont="1" applyFill="1" applyAlignment="1">
      <alignment vertical="top" wrapText="1"/>
    </xf>
    <xf numFmtId="164" fontId="102" fillId="42" borderId="0" xfId="0" applyNumberFormat="1" applyFont="1" applyFill="1" applyBorder="1" applyAlignment="1">
      <alignment/>
    </xf>
    <xf numFmtId="164" fontId="38" fillId="34" borderId="0" xfId="42" applyNumberFormat="1" applyFont="1" applyFill="1" applyBorder="1" applyAlignment="1">
      <alignment horizontal="left"/>
    </xf>
    <xf numFmtId="164" fontId="37" fillId="34" borderId="0" xfId="42" applyNumberFormat="1" applyFont="1" applyFill="1" applyBorder="1" applyAlignment="1">
      <alignment horizontal="left"/>
    </xf>
    <xf numFmtId="3" fontId="38" fillId="34" borderId="10" xfId="0" applyNumberFormat="1" applyFont="1" applyFill="1" applyBorder="1" applyAlignment="1">
      <alignment vertical="top" wrapText="1"/>
    </xf>
    <xf numFmtId="164" fontId="101" fillId="34" borderId="10" xfId="0" applyNumberFormat="1" applyFont="1" applyFill="1" applyBorder="1" applyAlignment="1">
      <alignment vertical="top" wrapText="1"/>
    </xf>
    <xf numFmtId="164" fontId="37" fillId="34" borderId="10" xfId="0" applyNumberFormat="1" applyFont="1" applyFill="1" applyBorder="1" applyAlignment="1">
      <alignment vertical="top" wrapText="1"/>
    </xf>
    <xf numFmtId="164" fontId="37" fillId="7" borderId="10" xfId="0" applyNumberFormat="1" applyFont="1" applyFill="1" applyBorder="1" applyAlignment="1">
      <alignment vertical="top" wrapText="1"/>
    </xf>
    <xf numFmtId="164" fontId="101" fillId="7" borderId="10" xfId="0" applyNumberFormat="1" applyFont="1" applyFill="1" applyBorder="1" applyAlignment="1">
      <alignment vertical="top" wrapText="1"/>
    </xf>
    <xf numFmtId="164" fontId="37" fillId="34" borderId="0" xfId="0" applyNumberFormat="1" applyFont="1" applyFill="1" applyBorder="1" applyAlignment="1">
      <alignment vertical="top" wrapText="1"/>
    </xf>
    <xf numFmtId="164" fontId="108" fillId="34" borderId="0" xfId="0" applyNumberFormat="1" applyFont="1" applyFill="1" applyBorder="1" applyAlignment="1">
      <alignment vertical="top" wrapText="1"/>
    </xf>
    <xf numFmtId="164" fontId="108" fillId="42" borderId="0" xfId="0" applyNumberFormat="1" applyFont="1" applyFill="1" applyBorder="1" applyAlignment="1">
      <alignment vertical="top" wrapText="1"/>
    </xf>
    <xf numFmtId="0" fontId="109" fillId="0" borderId="0" xfId="0" applyFont="1" applyAlignment="1">
      <alignment/>
    </xf>
    <xf numFmtId="164" fontId="37" fillId="0" borderId="0" xfId="0" applyNumberFormat="1" applyFont="1" applyFill="1" applyAlignment="1">
      <alignment horizontal="left"/>
    </xf>
    <xf numFmtId="164" fontId="37" fillId="34" borderId="0" xfId="42" applyNumberFormat="1"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9" fillId="42" borderId="26" xfId="0" applyFont="1" applyFill="1" applyBorder="1" applyAlignment="1">
      <alignment horizontal="left" vertical="top" wrapText="1"/>
    </xf>
    <xf numFmtId="164" fontId="38" fillId="42" borderId="130" xfId="0" applyNumberFormat="1" applyFont="1" applyFill="1" applyBorder="1" applyAlignment="1">
      <alignment horizontal="left" vertical="top" wrapText="1"/>
    </xf>
    <xf numFmtId="164" fontId="38" fillId="42" borderId="139" xfId="42" applyNumberFormat="1" applyFont="1" applyFill="1" applyBorder="1" applyAlignment="1">
      <alignment horizontal="left" vertical="top" wrapText="1"/>
    </xf>
    <xf numFmtId="0" fontId="38" fillId="42" borderId="176" xfId="0" applyFont="1" applyFill="1" applyBorder="1" applyAlignment="1">
      <alignment horizontal="left" vertical="top" wrapText="1"/>
    </xf>
    <xf numFmtId="164" fontId="38" fillId="42" borderId="176" xfId="42" applyNumberFormat="1" applyFont="1" applyFill="1" applyBorder="1" applyAlignment="1">
      <alignment horizontal="right" vertical="top" wrapText="1"/>
    </xf>
    <xf numFmtId="164" fontId="38" fillId="42" borderId="176" xfId="42" applyNumberFormat="1" applyFont="1" applyFill="1" applyBorder="1" applyAlignment="1">
      <alignment horizontal="left" vertical="top" wrapText="1"/>
    </xf>
    <xf numFmtId="164" fontId="38" fillId="42" borderId="153" xfId="0" applyNumberFormat="1" applyFont="1" applyFill="1" applyBorder="1" applyAlignment="1">
      <alignment horizontal="left" vertical="top" wrapText="1"/>
    </xf>
    <xf numFmtId="164" fontId="38" fillId="42" borderId="0" xfId="0" applyNumberFormat="1" applyFont="1" applyFill="1" applyBorder="1" applyAlignment="1">
      <alignment horizontal="left" vertical="top" wrapText="1"/>
    </xf>
    <xf numFmtId="164" fontId="38" fillId="42" borderId="0" xfId="42" applyNumberFormat="1" applyFont="1" applyFill="1" applyBorder="1" applyAlignment="1">
      <alignment horizontal="left" vertical="top" wrapText="1"/>
    </xf>
    <xf numFmtId="164" fontId="38" fillId="42" borderId="177" xfId="42" applyNumberFormat="1" applyFont="1" applyFill="1" applyBorder="1" applyAlignment="1">
      <alignment horizontal="left" vertical="top" wrapText="1"/>
    </xf>
    <xf numFmtId="164" fontId="38" fillId="42" borderId="172" xfId="42" applyNumberFormat="1" applyFont="1" applyFill="1" applyBorder="1" applyAlignment="1">
      <alignment horizontal="left" vertical="top" wrapText="1"/>
    </xf>
    <xf numFmtId="164" fontId="37" fillId="34" borderId="0" xfId="42" applyNumberFormat="1" applyFont="1" applyFill="1" applyBorder="1" applyAlignment="1">
      <alignment horizontal="right" vertical="top" wrapText="1"/>
    </xf>
    <xf numFmtId="0" fontId="37" fillId="42" borderId="178" xfId="0" applyFont="1" applyFill="1" applyBorder="1" applyAlignment="1">
      <alignment horizontal="left" vertical="top" wrapText="1"/>
    </xf>
    <xf numFmtId="164" fontId="38" fillId="42" borderId="159" xfId="0" applyNumberFormat="1" applyFont="1" applyFill="1" applyBorder="1" applyAlignment="1">
      <alignment horizontal="left" vertical="top" wrapText="1"/>
    </xf>
    <xf numFmtId="164" fontId="38" fillId="42" borderId="167" xfId="42" applyNumberFormat="1" applyFont="1" applyFill="1" applyBorder="1" applyAlignment="1">
      <alignment horizontal="left" vertical="top" wrapText="1"/>
    </xf>
    <xf numFmtId="164" fontId="74" fillId="42" borderId="42" xfId="42" applyNumberFormat="1" applyFont="1" applyFill="1" applyBorder="1" applyAlignment="1">
      <alignment horizontal="left" vertical="top" wrapText="1"/>
    </xf>
    <xf numFmtId="164" fontId="37" fillId="34" borderId="0" xfId="42" applyNumberFormat="1" applyFont="1" applyFill="1" applyBorder="1" applyAlignment="1" quotePrefix="1">
      <alignment horizontal="right" vertical="top" wrapText="1"/>
    </xf>
    <xf numFmtId="164" fontId="37" fillId="42" borderId="78" xfId="42" applyNumberFormat="1" applyFont="1" applyFill="1" applyBorder="1" applyAlignment="1">
      <alignment horizontal="left" vertical="top" wrapText="1"/>
    </xf>
    <xf numFmtId="0" fontId="37" fillId="42" borderId="179" xfId="0" applyFont="1" applyFill="1" applyBorder="1" applyAlignment="1">
      <alignment vertical="top" wrapText="1"/>
    </xf>
    <xf numFmtId="164" fontId="38" fillId="42" borderId="135" xfId="0" applyNumberFormat="1" applyFont="1" applyFill="1" applyBorder="1" applyAlignment="1">
      <alignment horizontal="left" vertical="top" wrapText="1"/>
    </xf>
    <xf numFmtId="164" fontId="38" fillId="42" borderId="102" xfId="42" applyNumberFormat="1" applyFont="1" applyFill="1" applyBorder="1" applyAlignment="1">
      <alignment vertical="top" wrapText="1"/>
    </xf>
    <xf numFmtId="164" fontId="38" fillId="42" borderId="10" xfId="42" applyNumberFormat="1" applyFont="1" applyFill="1" applyBorder="1" applyAlignment="1">
      <alignment vertical="top" wrapText="1"/>
    </xf>
    <xf numFmtId="0" fontId="37" fillId="42" borderId="147" xfId="0" applyFont="1" applyFill="1" applyBorder="1" applyAlignment="1">
      <alignment horizontal="center" vertical="top" wrapText="1"/>
    </xf>
    <xf numFmtId="164" fontId="64" fillId="34" borderId="0" xfId="42" applyNumberFormat="1" applyFont="1" applyFill="1" applyBorder="1" applyAlignment="1">
      <alignment horizontal="right" vertical="top" wrapText="1"/>
    </xf>
    <xf numFmtId="0" fontId="75" fillId="0" borderId="0" xfId="0" applyFont="1" applyFill="1" applyBorder="1" applyAlignment="1">
      <alignment vertical="top" wrapText="1"/>
    </xf>
    <xf numFmtId="0" fontId="63" fillId="0" borderId="0" xfId="0" applyFont="1" applyFill="1" applyBorder="1" applyAlignment="1">
      <alignment vertical="top" wrapText="1"/>
    </xf>
    <xf numFmtId="0" fontId="62" fillId="42" borderId="0" xfId="0" applyFont="1" applyFill="1" applyBorder="1" applyAlignment="1">
      <alignment vertical="top" wrapText="1"/>
    </xf>
    <xf numFmtId="164" fontId="38" fillId="0" borderId="0" xfId="0" applyNumberFormat="1" applyFont="1" applyAlignment="1">
      <alignment vertical="center" wrapText="1"/>
    </xf>
    <xf numFmtId="0" fontId="37" fillId="0" borderId="0" xfId="0" applyFont="1" applyBorder="1" applyAlignment="1">
      <alignment vertical="center" wrapText="1"/>
    </xf>
    <xf numFmtId="0" fontId="37" fillId="0" borderId="0" xfId="0" applyFont="1" applyAlignment="1">
      <alignment horizontal="center" vertical="top" wrapText="1"/>
    </xf>
    <xf numFmtId="164" fontId="66" fillId="34" borderId="120" xfId="42" applyNumberFormat="1" applyFont="1" applyFill="1" applyBorder="1" applyAlignment="1">
      <alignment horizontal="left" vertical="top" wrapText="1"/>
    </xf>
    <xf numFmtId="164" fontId="102" fillId="34" borderId="120" xfId="42" applyNumberFormat="1" applyFont="1" applyFill="1" applyBorder="1" applyAlignment="1">
      <alignment horizontal="left" vertical="top" wrapText="1"/>
    </xf>
    <xf numFmtId="164" fontId="38" fillId="7" borderId="120" xfId="0" applyNumberFormat="1" applyFont="1" applyFill="1" applyBorder="1" applyAlignment="1">
      <alignment vertical="top" wrapText="1"/>
    </xf>
    <xf numFmtId="164" fontId="66" fillId="34" borderId="123" xfId="42" applyNumberFormat="1" applyFont="1" applyFill="1" applyBorder="1" applyAlignment="1">
      <alignment horizontal="left" vertical="top" wrapText="1"/>
    </xf>
    <xf numFmtId="164" fontId="102" fillId="34" borderId="123" xfId="42" applyNumberFormat="1" applyFont="1" applyFill="1" applyBorder="1" applyAlignment="1">
      <alignment horizontal="left" vertical="top" wrapText="1"/>
    </xf>
    <xf numFmtId="164" fontId="38" fillId="7" borderId="123" xfId="0" applyNumberFormat="1" applyFont="1" applyFill="1" applyBorder="1" applyAlignment="1">
      <alignment vertical="top" wrapText="1"/>
    </xf>
    <xf numFmtId="164" fontId="104" fillId="42" borderId="10" xfId="42" applyNumberFormat="1" applyFont="1" applyFill="1" applyBorder="1" applyAlignment="1">
      <alignment horizontal="left" vertical="top" wrapText="1"/>
    </xf>
    <xf numFmtId="164" fontId="43" fillId="34" borderId="42" xfId="42" applyNumberFormat="1" applyFont="1" applyFill="1" applyBorder="1" applyAlignment="1">
      <alignment horizontal="left" vertical="top" wrapText="1"/>
    </xf>
    <xf numFmtId="164" fontId="101" fillId="34" borderId="42" xfId="0" applyNumberFormat="1" applyFont="1" applyFill="1" applyBorder="1" applyAlignment="1">
      <alignment vertical="top" wrapText="1"/>
    </xf>
    <xf numFmtId="164" fontId="37" fillId="34" borderId="42" xfId="0" applyNumberFormat="1" applyFont="1" applyFill="1" applyBorder="1" applyAlignment="1">
      <alignment vertical="top" wrapText="1"/>
    </xf>
    <xf numFmtId="164" fontId="101" fillId="7" borderId="42" xfId="0" applyNumberFormat="1" applyFont="1" applyFill="1" applyBorder="1" applyAlignment="1">
      <alignment vertical="top" wrapText="1"/>
    </xf>
    <xf numFmtId="164" fontId="37" fillId="43" borderId="10" xfId="0" applyNumberFormat="1" applyFont="1" applyFill="1" applyBorder="1" applyAlignment="1">
      <alignment vertical="top" wrapText="1"/>
    </xf>
    <xf numFmtId="164" fontId="38" fillId="0" borderId="0" xfId="0" applyNumberFormat="1" applyFont="1" applyFill="1" applyAlignment="1">
      <alignment horizontal="left"/>
    </xf>
    <xf numFmtId="164" fontId="102" fillId="0" borderId="0" xfId="0" applyNumberFormat="1" applyFont="1" applyFill="1" applyAlignment="1">
      <alignment horizontal="left"/>
    </xf>
    <xf numFmtId="0" fontId="108" fillId="0" borderId="0" xfId="0" applyFont="1" applyAlignment="1">
      <alignment horizontal="center"/>
    </xf>
    <xf numFmtId="0" fontId="109" fillId="34" borderId="0" xfId="0" applyFont="1" applyFill="1" applyAlignment="1">
      <alignment/>
    </xf>
    <xf numFmtId="0" fontId="108" fillId="0" borderId="0" xfId="0" applyFont="1" applyAlignment="1">
      <alignment/>
    </xf>
    <xf numFmtId="0" fontId="109" fillId="0" borderId="0" xfId="0" applyFont="1" applyBorder="1" applyAlignment="1">
      <alignment/>
    </xf>
    <xf numFmtId="0" fontId="108" fillId="0" borderId="0" xfId="0" applyFont="1" applyBorder="1" applyAlignment="1">
      <alignment/>
    </xf>
    <xf numFmtId="0" fontId="108" fillId="0" borderId="0" xfId="0" applyFont="1" applyFill="1" applyAlignment="1">
      <alignment horizontal="left"/>
    </xf>
    <xf numFmtId="0" fontId="109" fillId="42" borderId="0" xfId="0" applyFont="1" applyFill="1" applyAlignment="1">
      <alignment/>
    </xf>
    <xf numFmtId="164" fontId="109" fillId="0" borderId="0" xfId="0" applyNumberFormat="1" applyFont="1" applyBorder="1" applyAlignment="1">
      <alignment/>
    </xf>
    <xf numFmtId="0" fontId="108" fillId="42" borderId="0" xfId="0" applyFont="1" applyFill="1" applyAlignment="1">
      <alignment/>
    </xf>
    <xf numFmtId="0" fontId="37" fillId="42" borderId="0" xfId="0" applyFont="1" applyFill="1" applyBorder="1" applyAlignment="1">
      <alignment horizontal="center" vertical="center" wrapText="1"/>
    </xf>
    <xf numFmtId="164" fontId="108" fillId="42" borderId="0" xfId="0" applyNumberFormat="1" applyFont="1" applyFill="1" applyAlignment="1">
      <alignment/>
    </xf>
    <xf numFmtId="164" fontId="102" fillId="42" borderId="11" xfId="0" applyNumberFormat="1" applyFont="1" applyFill="1" applyBorder="1" applyAlignment="1">
      <alignment vertical="top" wrapText="1"/>
    </xf>
    <xf numFmtId="164" fontId="101" fillId="43" borderId="180" xfId="0" applyNumberFormat="1" applyFont="1" applyFill="1" applyBorder="1" applyAlignment="1">
      <alignment vertical="top" wrapText="1"/>
    </xf>
    <xf numFmtId="164" fontId="102" fillId="42" borderId="130" xfId="42" applyNumberFormat="1" applyFont="1" applyFill="1" applyBorder="1" applyAlignment="1">
      <alignment horizontal="justify" vertical="top" wrapText="1"/>
    </xf>
    <xf numFmtId="164" fontId="100" fillId="42" borderId="0" xfId="42" applyNumberFormat="1" applyFont="1" applyFill="1" applyBorder="1" applyAlignment="1">
      <alignment horizontal="left" vertical="top" wrapText="1"/>
    </xf>
    <xf numFmtId="164" fontId="110" fillId="42" borderId="15" xfId="42" applyNumberFormat="1" applyFont="1" applyFill="1" applyBorder="1" applyAlignment="1">
      <alignment horizontal="justify" vertical="top" wrapText="1"/>
    </xf>
    <xf numFmtId="0" fontId="101" fillId="42" borderId="0" xfId="0" applyFont="1" applyFill="1" applyBorder="1" applyAlignment="1">
      <alignment horizontal="left" vertical="top" wrapText="1"/>
    </xf>
    <xf numFmtId="3" fontId="101" fillId="42" borderId="0" xfId="0" applyNumberFormat="1" applyFont="1" applyFill="1" applyBorder="1" applyAlignment="1">
      <alignment horizontal="center" vertical="top" wrapText="1"/>
    </xf>
    <xf numFmtId="164" fontId="101" fillId="42" borderId="0" xfId="42" applyNumberFormat="1" applyFont="1" applyFill="1" applyBorder="1" applyAlignment="1">
      <alignment horizontal="right" vertical="top" wrapText="1"/>
    </xf>
    <xf numFmtId="164" fontId="101" fillId="42" borderId="0" xfId="42" applyNumberFormat="1" applyFont="1" applyFill="1" applyBorder="1" applyAlignment="1">
      <alignment horizontal="left" vertical="top" wrapText="1"/>
    </xf>
    <xf numFmtId="164" fontId="101" fillId="42" borderId="0" xfId="0" applyNumberFormat="1" applyFont="1" applyFill="1" applyBorder="1" applyAlignment="1">
      <alignment horizontal="left" vertical="top" wrapText="1"/>
    </xf>
    <xf numFmtId="164" fontId="101" fillId="42" borderId="0" xfId="0" applyNumberFormat="1" applyFont="1" applyFill="1" applyBorder="1" applyAlignment="1">
      <alignment vertical="top" wrapText="1"/>
    </xf>
    <xf numFmtId="164" fontId="37" fillId="42" borderId="0" xfId="0" applyNumberFormat="1" applyFont="1" applyFill="1" applyBorder="1" applyAlignment="1">
      <alignment horizontal="left" vertical="top" wrapText="1"/>
    </xf>
    <xf numFmtId="0" fontId="37" fillId="42" borderId="78" xfId="0" applyFont="1" applyFill="1" applyBorder="1" applyAlignment="1">
      <alignment horizontal="center" vertical="top" wrapText="1"/>
    </xf>
    <xf numFmtId="164" fontId="38" fillId="42" borderId="129" xfId="0" applyNumberFormat="1" applyFont="1" applyFill="1" applyBorder="1" applyAlignment="1">
      <alignment horizontal="left" vertical="top" wrapText="1"/>
    </xf>
    <xf numFmtId="0" fontId="38" fillId="42" borderId="130" xfId="0" applyFont="1" applyFill="1" applyBorder="1" applyAlignment="1">
      <alignment horizontal="left" vertical="top" wrapText="1"/>
    </xf>
    <xf numFmtId="0" fontId="101" fillId="0" borderId="0" xfId="0" applyFont="1" applyFill="1" applyBorder="1" applyAlignment="1">
      <alignment vertical="top" wrapText="1"/>
    </xf>
    <xf numFmtId="164" fontId="101" fillId="42" borderId="0" xfId="42" applyNumberFormat="1" applyFont="1" applyFill="1" applyBorder="1" applyAlignment="1">
      <alignment vertical="top" wrapText="1"/>
    </xf>
    <xf numFmtId="0" fontId="37" fillId="42" borderId="42" xfId="0" applyFont="1" applyFill="1" applyBorder="1" applyAlignment="1">
      <alignment vertical="top" wrapText="1"/>
    </xf>
    <xf numFmtId="164" fontId="38" fillId="42" borderId="137" xfId="42" applyNumberFormat="1" applyFont="1" applyFill="1" applyBorder="1" applyAlignment="1">
      <alignment horizontal="left" vertical="top" wrapText="1"/>
    </xf>
    <xf numFmtId="164" fontId="37" fillId="42" borderId="0" xfId="0" applyNumberFormat="1" applyFont="1" applyFill="1" applyAlignment="1">
      <alignment vertical="top" wrapText="1"/>
    </xf>
    <xf numFmtId="0" fontId="105" fillId="42" borderId="0" xfId="0" applyFont="1" applyFill="1" applyBorder="1" applyAlignment="1">
      <alignment/>
    </xf>
    <xf numFmtId="164" fontId="110" fillId="42" borderId="127" xfId="42" applyNumberFormat="1" applyFont="1" applyFill="1" applyBorder="1" applyAlignment="1">
      <alignment horizontal="right" vertical="top" wrapText="1"/>
    </xf>
    <xf numFmtId="164" fontId="110" fillId="42" borderId="42" xfId="42" applyNumberFormat="1" applyFont="1" applyFill="1" applyBorder="1" applyAlignment="1">
      <alignment horizontal="left" vertical="top" wrapText="1"/>
    </xf>
    <xf numFmtId="164" fontId="110" fillId="42" borderId="127" xfId="42" applyNumberFormat="1" applyFont="1" applyFill="1" applyBorder="1" applyAlignment="1">
      <alignment horizontal="left" vertical="top" wrapText="1"/>
    </xf>
    <xf numFmtId="164" fontId="110" fillId="42" borderId="142" xfId="42" applyNumberFormat="1" applyFont="1" applyFill="1" applyBorder="1" applyAlignment="1">
      <alignment horizontal="left" vertical="top" wrapText="1"/>
    </xf>
    <xf numFmtId="164" fontId="37" fillId="0" borderId="0" xfId="42" applyNumberFormat="1" applyFont="1" applyAlignment="1">
      <alignment vertical="top" wrapText="1"/>
    </xf>
    <xf numFmtId="3" fontId="37" fillId="34" borderId="10" xfId="0" applyNumberFormat="1" applyFont="1" applyFill="1" applyBorder="1" applyAlignment="1">
      <alignment vertical="top" wrapText="1"/>
    </xf>
    <xf numFmtId="0" fontId="38" fillId="42" borderId="10" xfId="0" applyFont="1" applyFill="1" applyBorder="1" applyAlignment="1">
      <alignment horizontal="left" vertical="top" wrapText="1"/>
    </xf>
    <xf numFmtId="0" fontId="37" fillId="42" borderId="10" xfId="0" applyFont="1" applyFill="1" applyBorder="1" applyAlignment="1">
      <alignment horizontal="left" vertical="top" wrapText="1"/>
    </xf>
    <xf numFmtId="0" fontId="39" fillId="42" borderId="181" xfId="0" applyFont="1" applyFill="1" applyBorder="1" applyAlignment="1">
      <alignment horizontal="left" vertical="center" wrapText="1"/>
    </xf>
    <xf numFmtId="164" fontId="111" fillId="42" borderId="0" xfId="0" applyNumberFormat="1" applyFont="1" applyFill="1" applyBorder="1" applyAlignment="1">
      <alignment/>
    </xf>
    <xf numFmtId="0" fontId="37" fillId="34" borderId="19" xfId="0" applyFont="1" applyFill="1" applyBorder="1" applyAlignment="1">
      <alignment/>
    </xf>
    <xf numFmtId="0" fontId="37" fillId="42" borderId="19" xfId="0" applyFont="1" applyFill="1" applyBorder="1" applyAlignment="1">
      <alignment/>
    </xf>
    <xf numFmtId="164" fontId="37" fillId="42" borderId="0" xfId="42" applyNumberFormat="1" applyFont="1" applyFill="1" applyBorder="1" applyAlignment="1">
      <alignment horizontal="left"/>
    </xf>
    <xf numFmtId="0" fontId="102" fillId="42" borderId="0" xfId="0" applyFont="1" applyFill="1" applyBorder="1" applyAlignment="1">
      <alignment vertical="top" wrapText="1"/>
    </xf>
    <xf numFmtId="0" fontId="101" fillId="42" borderId="0" xfId="0" applyFont="1" applyFill="1" applyAlignment="1">
      <alignment vertical="top" wrapText="1"/>
    </xf>
    <xf numFmtId="164" fontId="112" fillId="42" borderId="123" xfId="0" applyNumberFormat="1" applyFont="1" applyFill="1" applyBorder="1" applyAlignment="1">
      <alignment vertical="top" wrapText="1"/>
    </xf>
    <xf numFmtId="164" fontId="112" fillId="42" borderId="123" xfId="42" applyNumberFormat="1" applyFont="1" applyFill="1" applyBorder="1" applyAlignment="1">
      <alignment horizontal="left" vertical="top" wrapText="1"/>
    </xf>
    <xf numFmtId="164" fontId="112" fillId="42" borderId="123" xfId="42" applyNumberFormat="1" applyFont="1" applyFill="1" applyBorder="1" applyAlignment="1">
      <alignment vertical="top" wrapText="1"/>
    </xf>
    <xf numFmtId="164" fontId="112" fillId="42" borderId="122" xfId="42" applyNumberFormat="1" applyFont="1" applyFill="1" applyBorder="1" applyAlignment="1">
      <alignment horizontal="justify" vertical="top" wrapText="1"/>
    </xf>
    <xf numFmtId="164" fontId="112" fillId="42" borderId="123" xfId="42" applyNumberFormat="1" applyFont="1" applyFill="1" applyBorder="1" applyAlignment="1">
      <alignment horizontal="justify" vertical="top" wrapText="1"/>
    </xf>
    <xf numFmtId="164" fontId="112" fillId="42" borderId="124" xfId="42" applyNumberFormat="1" applyFont="1" applyFill="1" applyBorder="1" applyAlignment="1">
      <alignment horizontal="justify" vertical="top" wrapText="1"/>
    </xf>
    <xf numFmtId="164" fontId="112" fillId="42" borderId="124" xfId="0" applyNumberFormat="1" applyFont="1" applyFill="1" applyBorder="1" applyAlignment="1">
      <alignment vertical="top" wrapText="1"/>
    </xf>
    <xf numFmtId="164" fontId="112" fillId="42" borderId="10" xfId="0" applyNumberFormat="1" applyFont="1" applyFill="1" applyBorder="1" applyAlignment="1">
      <alignment vertical="top" wrapText="1"/>
    </xf>
    <xf numFmtId="164" fontId="113" fillId="42" borderId="0" xfId="42" applyNumberFormat="1" applyFont="1" applyFill="1" applyBorder="1" applyAlignment="1">
      <alignment horizontal="justify" vertical="top" wrapText="1"/>
    </xf>
    <xf numFmtId="164" fontId="112" fillId="42" borderId="137" xfId="0" applyNumberFormat="1" applyFont="1" applyFill="1" applyBorder="1" applyAlignment="1">
      <alignment vertical="top" wrapText="1"/>
    </xf>
    <xf numFmtId="164" fontId="38" fillId="42" borderId="10" xfId="42" applyNumberFormat="1" applyFont="1" applyFill="1" applyBorder="1" applyAlignment="1">
      <alignment horizontal="left" vertical="top"/>
    </xf>
    <xf numFmtId="164" fontId="37" fillId="42" borderId="10" xfId="42" applyNumberFormat="1" applyFont="1" applyFill="1" applyBorder="1" applyAlignment="1">
      <alignment horizontal="left" vertical="top" wrapText="1"/>
    </xf>
    <xf numFmtId="164" fontId="37" fillId="34" borderId="10" xfId="42" applyNumberFormat="1" applyFont="1" applyFill="1" applyBorder="1" applyAlignment="1">
      <alignment horizontal="left" vertical="top" wrapText="1"/>
    </xf>
    <xf numFmtId="164" fontId="38" fillId="43" borderId="10" xfId="42" applyNumberFormat="1" applyFont="1" applyFill="1" applyBorder="1" applyAlignment="1">
      <alignment vertical="top" wrapText="1"/>
    </xf>
    <xf numFmtId="164" fontId="37" fillId="43" borderId="10" xfId="42" applyNumberFormat="1" applyFont="1" applyFill="1" applyBorder="1" applyAlignment="1">
      <alignment vertical="top" wrapText="1"/>
    </xf>
    <xf numFmtId="0" fontId="38" fillId="42" borderId="0" xfId="0" applyFont="1" applyFill="1" applyBorder="1" applyAlignment="1">
      <alignment vertical="top"/>
    </xf>
    <xf numFmtId="164" fontId="112" fillId="42" borderId="124" xfId="42" applyNumberFormat="1" applyFont="1" applyFill="1" applyBorder="1" applyAlignment="1">
      <alignment horizontal="left" vertical="top" wrapText="1"/>
    </xf>
    <xf numFmtId="164" fontId="7" fillId="42" borderId="125" xfId="42" applyNumberFormat="1" applyFont="1" applyFill="1" applyBorder="1" applyAlignment="1">
      <alignment horizontal="right" vertical="top" wrapText="1"/>
    </xf>
    <xf numFmtId="164" fontId="7" fillId="42" borderId="42" xfId="42" applyNumberFormat="1" applyFont="1" applyFill="1" applyBorder="1" applyAlignment="1">
      <alignment horizontal="right" vertical="top" wrapText="1"/>
    </xf>
    <xf numFmtId="164" fontId="7" fillId="42" borderId="126" xfId="42" applyNumberFormat="1" applyFont="1" applyFill="1" applyBorder="1" applyAlignment="1">
      <alignment horizontal="right" vertical="top" wrapText="1"/>
    </xf>
    <xf numFmtId="164" fontId="7" fillId="42" borderId="127" xfId="42" applyNumberFormat="1" applyFont="1" applyFill="1" applyBorder="1" applyAlignment="1">
      <alignment horizontal="left" vertical="top" wrapText="1"/>
    </xf>
    <xf numFmtId="164" fontId="7" fillId="42" borderId="42" xfId="42" applyNumberFormat="1" applyFont="1" applyFill="1" applyBorder="1" applyAlignment="1">
      <alignment horizontal="left" vertical="top" wrapText="1"/>
    </xf>
    <xf numFmtId="164" fontId="7" fillId="42" borderId="46" xfId="42" applyNumberFormat="1" applyFont="1" applyFill="1" applyBorder="1" applyAlignment="1">
      <alignment horizontal="left" vertical="top" wrapText="1"/>
    </xf>
    <xf numFmtId="43" fontId="114" fillId="0" borderId="0" xfId="42" applyFont="1" applyFill="1" applyBorder="1" applyAlignment="1">
      <alignment vertical="top" wrapText="1"/>
    </xf>
    <xf numFmtId="164" fontId="7" fillId="42" borderId="119" xfId="42" applyNumberFormat="1" applyFont="1" applyFill="1" applyBorder="1" applyAlignment="1">
      <alignment horizontal="right" vertical="top" wrapText="1"/>
    </xf>
    <xf numFmtId="164" fontId="7" fillId="42" borderId="120" xfId="42" applyNumberFormat="1" applyFont="1" applyFill="1" applyBorder="1" applyAlignment="1">
      <alignment horizontal="right" vertical="top" wrapText="1"/>
    </xf>
    <xf numFmtId="164" fontId="7" fillId="42" borderId="121" xfId="42" applyNumberFormat="1" applyFont="1" applyFill="1" applyBorder="1" applyAlignment="1">
      <alignment horizontal="right" vertical="top" wrapText="1"/>
    </xf>
    <xf numFmtId="164" fontId="7" fillId="42" borderId="150" xfId="42" applyNumberFormat="1" applyFont="1" applyFill="1" applyBorder="1" applyAlignment="1">
      <alignment horizontal="left" vertical="top" wrapText="1"/>
    </xf>
    <xf numFmtId="164" fontId="7" fillId="42" borderId="120" xfId="42" applyNumberFormat="1" applyFont="1" applyFill="1" applyBorder="1" applyAlignment="1">
      <alignment horizontal="left" vertical="top" wrapText="1"/>
    </xf>
    <xf numFmtId="164" fontId="7" fillId="42" borderId="151" xfId="42" applyNumberFormat="1" applyFont="1" applyFill="1" applyBorder="1" applyAlignment="1">
      <alignment horizontal="left" vertical="top" wrapText="1"/>
    </xf>
    <xf numFmtId="164" fontId="10" fillId="42" borderId="150" xfId="42" applyNumberFormat="1" applyFont="1" applyFill="1" applyBorder="1" applyAlignment="1">
      <alignment horizontal="left" vertical="top" wrapText="1"/>
    </xf>
    <xf numFmtId="164" fontId="114" fillId="0" borderId="0" xfId="0" applyNumberFormat="1" applyFont="1" applyFill="1" applyBorder="1" applyAlignment="1">
      <alignment vertical="top" wrapText="1"/>
    </xf>
    <xf numFmtId="0" fontId="38" fillId="43" borderId="10" xfId="0" applyFont="1" applyFill="1" applyBorder="1" applyAlignment="1" quotePrefix="1">
      <alignment horizontal="left" vertical="top" wrapText="1"/>
    </xf>
    <xf numFmtId="164" fontId="37" fillId="43" borderId="22" xfId="42" applyNumberFormat="1" applyFont="1" applyFill="1" applyBorder="1" applyAlignment="1">
      <alignment horizontal="right" vertical="top" wrapText="1"/>
    </xf>
    <xf numFmtId="164" fontId="101" fillId="42" borderId="10" xfId="0" applyNumberFormat="1" applyFont="1" applyFill="1" applyBorder="1" applyAlignment="1">
      <alignment vertical="top" wrapText="1"/>
    </xf>
    <xf numFmtId="164" fontId="38" fillId="42" borderId="120" xfId="42" applyNumberFormat="1" applyFont="1" applyFill="1" applyBorder="1" applyAlignment="1">
      <alignment horizontal="justify" vertical="top" wrapText="1"/>
    </xf>
    <xf numFmtId="164" fontId="38" fillId="43" borderId="120" xfId="42" applyNumberFormat="1" applyFont="1" applyFill="1" applyBorder="1" applyAlignment="1">
      <alignment horizontal="justify" vertical="top" wrapText="1"/>
    </xf>
    <xf numFmtId="164" fontId="38" fillId="42" borderId="10" xfId="0" applyNumberFormat="1" applyFont="1" applyFill="1" applyBorder="1" applyAlignment="1">
      <alignment vertical="top" wrapText="1"/>
    </xf>
    <xf numFmtId="164" fontId="38" fillId="42" borderId="22" xfId="42" applyNumberFormat="1" applyFont="1" applyFill="1" applyBorder="1" applyAlignment="1">
      <alignment horizontal="justify" vertical="top" wrapText="1"/>
    </xf>
    <xf numFmtId="164" fontId="38" fillId="42" borderId="182" xfId="42" applyNumberFormat="1" applyFont="1" applyFill="1" applyBorder="1" applyAlignment="1">
      <alignment horizontal="justify" vertical="top" wrapText="1"/>
    </xf>
    <xf numFmtId="164" fontId="38" fillId="42" borderId="183" xfId="42" applyNumberFormat="1" applyFont="1" applyFill="1" applyBorder="1" applyAlignment="1">
      <alignment horizontal="justify" vertical="top" wrapText="1"/>
    </xf>
    <xf numFmtId="164" fontId="38" fillId="42" borderId="14" xfId="42" applyNumberFormat="1" applyFont="1" applyFill="1" applyBorder="1" applyAlignment="1">
      <alignment horizontal="justify" vertical="top" wrapText="1"/>
    </xf>
    <xf numFmtId="164" fontId="101" fillId="43" borderId="184" xfId="42" applyNumberFormat="1" applyFont="1" applyFill="1" applyBorder="1" applyAlignment="1">
      <alignment horizontal="justify" vertical="top" wrapText="1"/>
    </xf>
    <xf numFmtId="164" fontId="101" fillId="42" borderId="120" xfId="42" applyNumberFormat="1" applyFont="1" applyFill="1" applyBorder="1" applyAlignment="1">
      <alignment horizontal="justify" vertical="top" wrapText="1"/>
    </xf>
    <xf numFmtId="164" fontId="102" fillId="42" borderId="10" xfId="42" applyNumberFormat="1" applyFont="1" applyFill="1" applyBorder="1" applyAlignment="1">
      <alignment horizontal="left" vertical="top" wrapText="1"/>
    </xf>
    <xf numFmtId="0" fontId="102" fillId="42" borderId="0" xfId="0" applyFont="1" applyFill="1" applyAlignment="1">
      <alignment/>
    </xf>
    <xf numFmtId="0" fontId="102" fillId="42" borderId="0" xfId="0" applyFont="1" applyFill="1" applyBorder="1" applyAlignment="1">
      <alignment/>
    </xf>
    <xf numFmtId="164" fontId="37" fillId="42" borderId="101" xfId="42" applyNumberFormat="1" applyFont="1" applyFill="1" applyBorder="1" applyAlignment="1">
      <alignment horizontal="justify" vertical="top" wrapText="1"/>
    </xf>
    <xf numFmtId="0" fontId="38" fillId="43" borderId="15" xfId="0" applyFont="1" applyFill="1" applyBorder="1" applyAlignment="1">
      <alignment horizontal="center" vertical="top" wrapText="1"/>
    </xf>
    <xf numFmtId="0" fontId="38" fillId="43" borderId="15" xfId="0" applyFont="1" applyFill="1" applyBorder="1" applyAlignment="1">
      <alignment horizontal="left" vertical="top" wrapText="1"/>
    </xf>
    <xf numFmtId="0" fontId="37" fillId="43" borderId="15" xfId="0" applyFont="1" applyFill="1" applyBorder="1" applyAlignment="1">
      <alignment horizontal="left" vertical="top" wrapText="1"/>
    </xf>
    <xf numFmtId="164" fontId="38" fillId="43" borderId="185" xfId="42" applyNumberFormat="1" applyFont="1" applyFill="1" applyBorder="1" applyAlignment="1">
      <alignment horizontal="right" vertical="top" wrapText="1"/>
    </xf>
    <xf numFmtId="164" fontId="38" fillId="43" borderId="15" xfId="42" applyNumberFormat="1" applyFont="1" applyFill="1" applyBorder="1" applyAlignment="1">
      <alignment horizontal="right" vertical="top" wrapText="1"/>
    </xf>
    <xf numFmtId="164" fontId="38" fillId="43" borderId="186" xfId="42" applyNumberFormat="1" applyFont="1" applyFill="1" applyBorder="1" applyAlignment="1">
      <alignment horizontal="right" vertical="top" wrapText="1"/>
    </xf>
    <xf numFmtId="164" fontId="38" fillId="43" borderId="87" xfId="42" applyNumberFormat="1" applyFont="1" applyFill="1" applyBorder="1" applyAlignment="1">
      <alignment horizontal="right" vertical="top" wrapText="1"/>
    </xf>
    <xf numFmtId="0" fontId="38" fillId="43" borderId="22" xfId="0" applyFont="1" applyFill="1" applyBorder="1" applyAlignment="1">
      <alignment horizontal="center" vertical="top" wrapText="1"/>
    </xf>
    <xf numFmtId="0" fontId="38" fillId="43" borderId="22" xfId="0" applyFont="1" applyFill="1" applyBorder="1" applyAlignment="1">
      <alignment horizontal="left" vertical="top" wrapText="1"/>
    </xf>
    <xf numFmtId="0" fontId="37" fillId="43" borderId="22" xfId="0" applyFont="1" applyFill="1" applyBorder="1" applyAlignment="1">
      <alignment horizontal="left" vertical="top" wrapText="1"/>
    </xf>
    <xf numFmtId="164" fontId="37" fillId="43" borderId="182" xfId="42" applyNumberFormat="1" applyFont="1" applyFill="1" applyBorder="1" applyAlignment="1">
      <alignment horizontal="right" vertical="top" wrapText="1"/>
    </xf>
    <xf numFmtId="164" fontId="38" fillId="43" borderId="182" xfId="42" applyNumberFormat="1" applyFont="1" applyFill="1" applyBorder="1" applyAlignment="1">
      <alignment horizontal="right" vertical="top" wrapText="1"/>
    </xf>
    <xf numFmtId="164" fontId="101" fillId="43" borderId="187" xfId="42" applyNumberFormat="1" applyFont="1" applyFill="1" applyBorder="1" applyAlignment="1">
      <alignment horizontal="right" vertical="top" wrapText="1"/>
    </xf>
    <xf numFmtId="164" fontId="101" fillId="42" borderId="10" xfId="42" applyNumberFormat="1" applyFont="1" applyFill="1" applyBorder="1" applyAlignment="1">
      <alignment horizontal="left" vertical="top" wrapText="1"/>
    </xf>
    <xf numFmtId="164" fontId="101" fillId="42" borderId="10" xfId="42" applyNumberFormat="1" applyFont="1" applyFill="1" applyBorder="1" applyAlignment="1">
      <alignment horizontal="justify" vertical="top" wrapText="1"/>
    </xf>
    <xf numFmtId="164" fontId="101" fillId="42" borderId="130" xfId="42" applyNumberFormat="1" applyFont="1" applyFill="1" applyBorder="1" applyAlignment="1">
      <alignment horizontal="justify" vertical="top" wrapText="1"/>
    </xf>
    <xf numFmtId="164" fontId="101" fillId="42" borderId="129" xfId="42" applyNumberFormat="1" applyFont="1" applyFill="1" applyBorder="1" applyAlignment="1">
      <alignment horizontal="justify" vertical="top" wrapText="1"/>
    </xf>
    <xf numFmtId="164" fontId="101" fillId="42" borderId="116" xfId="42" applyNumberFormat="1" applyFont="1" applyFill="1" applyBorder="1" applyAlignment="1">
      <alignment horizontal="justify" vertical="top" wrapText="1"/>
    </xf>
    <xf numFmtId="164" fontId="101" fillId="42" borderId="102" xfId="42" applyNumberFormat="1" applyFont="1" applyFill="1" applyBorder="1" applyAlignment="1">
      <alignment horizontal="justify" vertical="top" wrapText="1"/>
    </xf>
    <xf numFmtId="164" fontId="101" fillId="42" borderId="139" xfId="42" applyNumberFormat="1" applyFont="1" applyFill="1" applyBorder="1" applyAlignment="1">
      <alignment horizontal="justify" vertical="top" wrapText="1"/>
    </xf>
    <xf numFmtId="164" fontId="101" fillId="42" borderId="101" xfId="42" applyNumberFormat="1" applyFont="1" applyFill="1" applyBorder="1" applyAlignment="1">
      <alignment horizontal="left" vertical="top" wrapText="1"/>
    </xf>
    <xf numFmtId="164" fontId="101" fillId="42" borderId="130" xfId="42" applyNumberFormat="1" applyFont="1" applyFill="1" applyBorder="1" applyAlignment="1">
      <alignment horizontal="left" vertical="top" wrapText="1"/>
    </xf>
    <xf numFmtId="164" fontId="101" fillId="42" borderId="0" xfId="0" applyNumberFormat="1" applyFont="1" applyFill="1" applyAlignment="1">
      <alignment vertical="top" wrapText="1"/>
    </xf>
    <xf numFmtId="164" fontId="37" fillId="42" borderId="10" xfId="0" applyNumberFormat="1" applyFont="1" applyFill="1" applyBorder="1" applyAlignment="1">
      <alignment vertical="top" wrapText="1"/>
    </xf>
    <xf numFmtId="164" fontId="37" fillId="42" borderId="22" xfId="42" applyNumberFormat="1" applyFont="1" applyFill="1" applyBorder="1" applyAlignment="1">
      <alignment horizontal="justify" vertical="top" wrapText="1"/>
    </xf>
    <xf numFmtId="164" fontId="37" fillId="42" borderId="183" xfId="42" applyNumberFormat="1" applyFont="1" applyFill="1" applyBorder="1" applyAlignment="1">
      <alignment horizontal="justify" vertical="top" wrapText="1"/>
    </xf>
    <xf numFmtId="0" fontId="37" fillId="44" borderId="10" xfId="0" applyFont="1" applyFill="1" applyBorder="1" applyAlignment="1">
      <alignment horizontal="center" vertical="center" wrapText="1"/>
    </xf>
    <xf numFmtId="164" fontId="37" fillId="44" borderId="10" xfId="42" applyNumberFormat="1" applyFont="1" applyFill="1" applyBorder="1" applyAlignment="1">
      <alignment horizontal="center" vertical="center" wrapText="1"/>
    </xf>
    <xf numFmtId="0" fontId="37" fillId="44" borderId="139" xfId="0" applyFont="1" applyFill="1" applyBorder="1" applyAlignment="1">
      <alignment horizontal="center" vertical="center" wrapText="1"/>
    </xf>
    <xf numFmtId="164" fontId="101" fillId="43" borderId="102" xfId="42" applyNumberFormat="1" applyFont="1" applyFill="1" applyBorder="1" applyAlignment="1">
      <alignment horizontal="right" vertical="top" wrapText="1"/>
    </xf>
    <xf numFmtId="164" fontId="101" fillId="43" borderId="129" xfId="42" applyNumberFormat="1" applyFont="1" applyFill="1" applyBorder="1" applyAlignment="1">
      <alignment horizontal="right" vertical="top" wrapText="1"/>
    </xf>
    <xf numFmtId="164" fontId="37" fillId="42" borderId="130" xfId="42" applyNumberFormat="1" applyFont="1" applyFill="1" applyBorder="1" applyAlignment="1">
      <alignment horizontal="justify" vertical="top" wrapText="1"/>
    </xf>
    <xf numFmtId="0" fontId="103" fillId="42" borderId="0" xfId="0" applyFont="1" applyFill="1" applyBorder="1" applyAlignment="1">
      <alignment vertical="top" wrapText="1"/>
    </xf>
    <xf numFmtId="164" fontId="103" fillId="42" borderId="15" xfId="42" applyNumberFormat="1" applyFont="1" applyFill="1" applyBorder="1" applyAlignment="1">
      <alignment horizontal="center" vertical="top" wrapText="1"/>
    </xf>
    <xf numFmtId="0" fontId="103" fillId="42" borderId="15" xfId="0" applyFont="1" applyFill="1" applyBorder="1" applyAlignment="1">
      <alignment horizontal="center" vertical="center" wrapText="1"/>
    </xf>
    <xf numFmtId="0" fontId="103" fillId="42" borderId="186" xfId="0" applyFont="1" applyFill="1" applyBorder="1" applyAlignment="1">
      <alignment horizontal="center" vertical="top" wrapText="1"/>
    </xf>
    <xf numFmtId="164" fontId="103" fillId="42" borderId="15" xfId="42" applyNumberFormat="1" applyFont="1" applyFill="1" applyBorder="1" applyAlignment="1">
      <alignment horizontal="justify" vertical="top" wrapText="1"/>
    </xf>
    <xf numFmtId="164" fontId="103" fillId="42" borderId="15" xfId="42" applyNumberFormat="1" applyFont="1" applyFill="1" applyBorder="1" applyAlignment="1">
      <alignment horizontal="left" vertical="top" wrapText="1"/>
    </xf>
    <xf numFmtId="0" fontId="110" fillId="42" borderId="0" xfId="0" applyFont="1" applyFill="1" applyBorder="1" applyAlignment="1">
      <alignment/>
    </xf>
    <xf numFmtId="0" fontId="103" fillId="42" borderId="0" xfId="0" applyFont="1" applyFill="1" applyBorder="1" applyAlignment="1">
      <alignment/>
    </xf>
    <xf numFmtId="0" fontId="103" fillId="42" borderId="0" xfId="0" applyFont="1" applyFill="1" applyAlignment="1">
      <alignment vertical="top" wrapText="1"/>
    </xf>
    <xf numFmtId="0" fontId="110" fillId="42" borderId="0" xfId="0" applyFont="1" applyFill="1" applyAlignment="1">
      <alignment horizontal="left" vertical="top" wrapText="1"/>
    </xf>
    <xf numFmtId="0" fontId="103" fillId="42" borderId="0" xfId="0" applyFont="1" applyFill="1" applyAlignment="1">
      <alignment horizontal="left" vertical="top" wrapText="1"/>
    </xf>
    <xf numFmtId="0" fontId="110" fillId="42" borderId="0" xfId="0" applyFont="1" applyFill="1" applyAlignment="1">
      <alignment vertical="top" wrapText="1"/>
    </xf>
    <xf numFmtId="0" fontId="103" fillId="42" borderId="0" xfId="0" applyFont="1" applyFill="1" applyAlignment="1">
      <alignment horizontal="center" vertical="top" wrapText="1"/>
    </xf>
    <xf numFmtId="0" fontId="110" fillId="42" borderId="0" xfId="0" applyFont="1" applyFill="1" applyBorder="1" applyAlignment="1">
      <alignment vertical="top" wrapText="1"/>
    </xf>
    <xf numFmtId="164" fontId="110" fillId="42" borderId="0" xfId="42" applyNumberFormat="1" applyFont="1" applyFill="1" applyBorder="1" applyAlignment="1">
      <alignment vertical="top" wrapText="1"/>
    </xf>
    <xf numFmtId="9" fontId="110" fillId="42" borderId="0" xfId="61" applyFont="1" applyFill="1" applyAlignment="1">
      <alignment vertical="top" wrapText="1"/>
    </xf>
    <xf numFmtId="164" fontId="110" fillId="42" borderId="0" xfId="42" applyNumberFormat="1" applyFont="1" applyFill="1" applyAlignment="1">
      <alignment vertical="top" wrapText="1"/>
    </xf>
    <xf numFmtId="164" fontId="110" fillId="42" borderId="0" xfId="0" applyNumberFormat="1" applyFont="1" applyFill="1" applyBorder="1" applyAlignment="1">
      <alignment vertical="top" wrapText="1"/>
    </xf>
    <xf numFmtId="0" fontId="110" fillId="42" borderId="0" xfId="0" applyFont="1" applyFill="1" applyAlignment="1">
      <alignment/>
    </xf>
    <xf numFmtId="0" fontId="103" fillId="42" borderId="0" xfId="0" applyFont="1" applyFill="1" applyAlignment="1">
      <alignment horizontal="center"/>
    </xf>
    <xf numFmtId="164" fontId="110" fillId="42" borderId="0" xfId="42" applyNumberFormat="1" applyFont="1" applyFill="1" applyBorder="1" applyAlignment="1">
      <alignment/>
    </xf>
    <xf numFmtId="0" fontId="115" fillId="42" borderId="19" xfId="0" applyFont="1" applyFill="1" applyBorder="1" applyAlignment="1">
      <alignment horizontal="left" vertical="top" wrapText="1"/>
    </xf>
    <xf numFmtId="0" fontId="110" fillId="42" borderId="19" xfId="0" applyFont="1" applyFill="1" applyBorder="1" applyAlignment="1">
      <alignment/>
    </xf>
    <xf numFmtId="0" fontId="110" fillId="42" borderId="176" xfId="0" applyFont="1" applyFill="1" applyBorder="1" applyAlignment="1">
      <alignment/>
    </xf>
    <xf numFmtId="0" fontId="103" fillId="42" borderId="188" xfId="0" applyFont="1" applyFill="1" applyBorder="1" applyAlignment="1">
      <alignment/>
    </xf>
    <xf numFmtId="0" fontId="103" fillId="42" borderId="15" xfId="0" applyFont="1" applyFill="1" applyBorder="1" applyAlignment="1">
      <alignment vertical="top" wrapText="1"/>
    </xf>
    <xf numFmtId="0" fontId="110" fillId="42" borderId="15" xfId="0" applyFont="1" applyFill="1" applyBorder="1" applyAlignment="1">
      <alignment horizontal="left" vertical="top" wrapText="1"/>
    </xf>
    <xf numFmtId="0" fontId="115" fillId="42" borderId="15" xfId="0" applyFont="1" applyFill="1" applyBorder="1" applyAlignment="1">
      <alignment horizontal="left" vertical="top" wrapText="1"/>
    </xf>
    <xf numFmtId="0" fontId="103" fillId="42" borderId="15" xfId="0" applyFont="1" applyFill="1" applyBorder="1" applyAlignment="1">
      <alignment horizontal="left" vertical="top" wrapText="1"/>
    </xf>
    <xf numFmtId="164" fontId="110" fillId="42" borderId="189" xfId="42" applyNumberFormat="1" applyFont="1" applyFill="1" applyBorder="1" applyAlignment="1">
      <alignment horizontal="right" vertical="top" wrapText="1"/>
    </xf>
    <xf numFmtId="164" fontId="110" fillId="42" borderId="20" xfId="42" applyNumberFormat="1" applyFont="1" applyFill="1" applyBorder="1" applyAlignment="1">
      <alignment vertical="top"/>
    </xf>
    <xf numFmtId="164" fontId="110" fillId="42" borderId="87" xfId="42" applyNumberFormat="1" applyFont="1" applyFill="1" applyBorder="1" applyAlignment="1">
      <alignment vertical="top"/>
    </xf>
    <xf numFmtId="164" fontId="110" fillId="42" borderId="189" xfId="42" applyNumberFormat="1" applyFont="1" applyFill="1" applyBorder="1" applyAlignment="1">
      <alignment vertical="top"/>
    </xf>
    <xf numFmtId="164" fontId="110" fillId="42" borderId="11" xfId="42" applyNumberFormat="1" applyFont="1" applyFill="1" applyBorder="1" applyAlignment="1">
      <alignment vertical="top"/>
    </xf>
    <xf numFmtId="164" fontId="110" fillId="42" borderId="190" xfId="42" applyNumberFormat="1" applyFont="1" applyFill="1" applyBorder="1" applyAlignment="1">
      <alignment vertical="top"/>
    </xf>
    <xf numFmtId="164" fontId="110" fillId="42" borderId="15" xfId="42" applyNumberFormat="1" applyFont="1" applyFill="1" applyBorder="1" applyAlignment="1">
      <alignment vertical="top"/>
    </xf>
    <xf numFmtId="164" fontId="110" fillId="42" borderId="78" xfId="42" applyNumberFormat="1" applyFont="1" applyFill="1" applyBorder="1" applyAlignment="1">
      <alignment vertical="top"/>
    </xf>
    <xf numFmtId="164" fontId="103" fillId="42" borderId="149" xfId="42" applyNumberFormat="1" applyFont="1" applyFill="1" applyBorder="1" applyAlignment="1">
      <alignment vertical="top"/>
    </xf>
    <xf numFmtId="0" fontId="103" fillId="42" borderId="78" xfId="0" applyFont="1" applyFill="1" applyBorder="1" applyAlignment="1">
      <alignment vertical="top" wrapText="1"/>
    </xf>
    <xf numFmtId="0" fontId="110" fillId="42" borderId="123" xfId="0" applyFont="1" applyFill="1" applyBorder="1" applyAlignment="1">
      <alignment horizontal="left" vertical="top" wrapText="1"/>
    </xf>
    <xf numFmtId="0" fontId="110" fillId="42" borderId="78" xfId="0" applyFont="1" applyFill="1" applyBorder="1" applyAlignment="1">
      <alignment horizontal="left" vertical="top" wrapText="1"/>
    </xf>
    <xf numFmtId="0" fontId="115" fillId="42" borderId="78" xfId="0" applyFont="1" applyFill="1" applyBorder="1" applyAlignment="1">
      <alignment horizontal="left" vertical="top" wrapText="1"/>
    </xf>
    <xf numFmtId="164" fontId="103" fillId="42" borderId="123" xfId="42" applyNumberFormat="1" applyFont="1" applyFill="1" applyBorder="1" applyAlignment="1">
      <alignment horizontal="left" vertical="top" wrapText="1"/>
    </xf>
    <xf numFmtId="164" fontId="110" fillId="42" borderId="122" xfId="42" applyNumberFormat="1" applyFont="1" applyFill="1" applyBorder="1" applyAlignment="1">
      <alignment horizontal="right" vertical="top" wrapText="1"/>
    </xf>
    <xf numFmtId="164" fontId="110" fillId="42" borderId="123" xfId="42" applyNumberFormat="1" applyFont="1" applyFill="1" applyBorder="1" applyAlignment="1">
      <alignment horizontal="right" vertical="top" wrapText="1"/>
    </xf>
    <xf numFmtId="164" fontId="110" fillId="42" borderId="124" xfId="42" applyNumberFormat="1" applyFont="1" applyFill="1" applyBorder="1" applyAlignment="1">
      <alignment horizontal="right" vertical="top" wrapText="1"/>
    </xf>
    <xf numFmtId="164" fontId="110" fillId="42" borderId="191" xfId="42" applyNumberFormat="1" applyFont="1" applyFill="1" applyBorder="1" applyAlignment="1">
      <alignment vertical="top"/>
    </xf>
    <xf numFmtId="164" fontId="110" fillId="42" borderId="192" xfId="42" applyNumberFormat="1" applyFont="1" applyFill="1" applyBorder="1" applyAlignment="1">
      <alignment vertical="top"/>
    </xf>
    <xf numFmtId="164" fontId="103" fillId="42" borderId="156" xfId="42" applyNumberFormat="1" applyFont="1" applyFill="1" applyBorder="1" applyAlignment="1">
      <alignment horizontal="left" vertical="top" wrapText="1"/>
    </xf>
    <xf numFmtId="164" fontId="110" fillId="42" borderId="161" xfId="0" applyNumberFormat="1" applyFont="1" applyFill="1" applyBorder="1" applyAlignment="1">
      <alignment horizontal="left" vertical="top" wrapText="1"/>
    </xf>
    <xf numFmtId="164" fontId="110" fillId="42" borderId="123" xfId="0" applyNumberFormat="1" applyFont="1" applyFill="1" applyBorder="1" applyAlignment="1">
      <alignment horizontal="left" vertical="top" wrapText="1"/>
    </xf>
    <xf numFmtId="164" fontId="110" fillId="42" borderId="156" xfId="0" applyNumberFormat="1" applyFont="1" applyFill="1" applyBorder="1" applyAlignment="1">
      <alignment horizontal="left" vertical="top" wrapText="1"/>
    </xf>
    <xf numFmtId="164" fontId="110" fillId="42" borderId="124" xfId="0" applyNumberFormat="1" applyFont="1" applyFill="1" applyBorder="1" applyAlignment="1">
      <alignment horizontal="left" vertical="top" wrapText="1"/>
    </xf>
    <xf numFmtId="0" fontId="110" fillId="42" borderId="123" xfId="0" applyFont="1" applyFill="1" applyBorder="1" applyAlignment="1">
      <alignment vertical="top" wrapText="1"/>
    </xf>
    <xf numFmtId="0" fontId="103" fillId="42" borderId="137" xfId="0" applyFont="1" applyFill="1" applyBorder="1" applyAlignment="1">
      <alignment vertical="top" wrapText="1"/>
    </xf>
    <xf numFmtId="0" fontId="103" fillId="42" borderId="42" xfId="0" applyFont="1" applyFill="1" applyBorder="1" applyAlignment="1">
      <alignment horizontal="right" vertical="top" wrapText="1"/>
    </xf>
    <xf numFmtId="0" fontId="103" fillId="42" borderId="42" xfId="0" applyFont="1" applyFill="1" applyBorder="1" applyAlignment="1">
      <alignment horizontal="left" vertical="top" wrapText="1"/>
    </xf>
    <xf numFmtId="0" fontId="110" fillId="42" borderId="42" xfId="0" applyFont="1" applyFill="1" applyBorder="1" applyAlignment="1">
      <alignment horizontal="left" vertical="top" wrapText="1"/>
    </xf>
    <xf numFmtId="164" fontId="103" fillId="42" borderId="125" xfId="42" applyNumberFormat="1" applyFont="1" applyFill="1" applyBorder="1" applyAlignment="1">
      <alignment horizontal="right" vertical="top" wrapText="1"/>
    </xf>
    <xf numFmtId="164" fontId="110" fillId="42" borderId="142" xfId="42" applyNumberFormat="1" applyFont="1" applyFill="1" applyBorder="1" applyAlignment="1">
      <alignment vertical="top"/>
    </xf>
    <xf numFmtId="164" fontId="110" fillId="42" borderId="159" xfId="42" applyNumberFormat="1" applyFont="1" applyFill="1" applyBorder="1" applyAlignment="1">
      <alignment vertical="top"/>
    </xf>
    <xf numFmtId="164" fontId="103" fillId="42" borderId="0" xfId="42" applyNumberFormat="1" applyFont="1" applyFill="1" applyBorder="1" applyAlignment="1">
      <alignment vertical="top" wrapText="1"/>
    </xf>
    <xf numFmtId="3" fontId="103" fillId="42" borderId="10" xfId="0" applyNumberFormat="1" applyFont="1" applyFill="1" applyBorder="1" applyAlignment="1">
      <alignment horizontal="center" vertical="top" wrapText="1"/>
    </xf>
    <xf numFmtId="0" fontId="103" fillId="42" borderId="10" xfId="0" applyFont="1" applyFill="1" applyBorder="1" applyAlignment="1">
      <alignment horizontal="center" vertical="top" wrapText="1"/>
    </xf>
    <xf numFmtId="0" fontId="103" fillId="42" borderId="10" xfId="0" applyFont="1" applyFill="1" applyBorder="1" applyAlignment="1">
      <alignment horizontal="left" vertical="top" wrapText="1"/>
    </xf>
    <xf numFmtId="0" fontId="103" fillId="42" borderId="10" xfId="0" applyFont="1" applyFill="1" applyBorder="1" applyAlignment="1">
      <alignment vertical="top" wrapText="1"/>
    </xf>
    <xf numFmtId="0" fontId="103" fillId="42" borderId="120" xfId="0" applyFont="1" applyFill="1" applyBorder="1" applyAlignment="1">
      <alignment horizontal="center" vertical="top" wrapText="1"/>
    </xf>
    <xf numFmtId="0" fontId="103" fillId="42" borderId="120" xfId="0" applyFont="1" applyFill="1" applyBorder="1" applyAlignment="1">
      <alignment horizontal="left" vertical="top" wrapText="1"/>
    </xf>
    <xf numFmtId="0" fontId="110" fillId="42" borderId="120" xfId="0" applyFont="1" applyFill="1" applyBorder="1" applyAlignment="1">
      <alignment horizontal="left" vertical="top" wrapText="1"/>
    </xf>
    <xf numFmtId="164" fontId="110" fillId="42" borderId="119" xfId="42" applyNumberFormat="1" applyFont="1" applyFill="1" applyBorder="1" applyAlignment="1">
      <alignment horizontal="right" vertical="top" wrapText="1"/>
    </xf>
    <xf numFmtId="164" fontId="110" fillId="42" borderId="120" xfId="42" applyNumberFormat="1" applyFont="1" applyFill="1" applyBorder="1" applyAlignment="1">
      <alignment horizontal="right" vertical="top" wrapText="1"/>
    </xf>
    <xf numFmtId="164" fontId="110" fillId="42" borderId="121" xfId="42" applyNumberFormat="1" applyFont="1" applyFill="1" applyBorder="1" applyAlignment="1">
      <alignment horizontal="right" vertical="top" wrapText="1"/>
    </xf>
    <xf numFmtId="164" fontId="110" fillId="42" borderId="150" xfId="42" applyNumberFormat="1" applyFont="1" applyFill="1" applyBorder="1" applyAlignment="1">
      <alignment horizontal="left" vertical="top" wrapText="1"/>
    </xf>
    <xf numFmtId="164" fontId="110" fillId="42" borderId="120" xfId="42" applyNumberFormat="1" applyFont="1" applyFill="1" applyBorder="1" applyAlignment="1">
      <alignment horizontal="left" vertical="top" wrapText="1"/>
    </xf>
    <xf numFmtId="164" fontId="110" fillId="42" borderId="151" xfId="42" applyNumberFormat="1" applyFont="1" applyFill="1" applyBorder="1" applyAlignment="1">
      <alignment horizontal="left" vertical="top" wrapText="1"/>
    </xf>
    <xf numFmtId="164" fontId="110" fillId="42" borderId="120" xfId="0" applyNumberFormat="1" applyFont="1" applyFill="1" applyBorder="1" applyAlignment="1">
      <alignment horizontal="left" vertical="top" wrapText="1"/>
    </xf>
    <xf numFmtId="164" fontId="110" fillId="42" borderId="151" xfId="0" applyNumberFormat="1" applyFont="1" applyFill="1" applyBorder="1" applyAlignment="1">
      <alignment horizontal="left" vertical="top" wrapText="1"/>
    </xf>
    <xf numFmtId="164" fontId="110" fillId="42" borderId="145" xfId="42" applyNumberFormat="1" applyFont="1" applyFill="1" applyBorder="1" applyAlignment="1">
      <alignment horizontal="left" vertical="top" wrapText="1"/>
    </xf>
    <xf numFmtId="164" fontId="110" fillId="42" borderId="131" xfId="42" applyNumberFormat="1" applyFont="1" applyFill="1" applyBorder="1" applyAlignment="1">
      <alignment horizontal="left" vertical="top" wrapText="1"/>
    </xf>
    <xf numFmtId="164" fontId="110" fillId="42" borderId="121" xfId="42" applyNumberFormat="1" applyFont="1" applyFill="1" applyBorder="1" applyAlignment="1">
      <alignment horizontal="left" vertical="top" wrapText="1"/>
    </xf>
    <xf numFmtId="164" fontId="110" fillId="42" borderId="143" xfId="42" applyNumberFormat="1" applyFont="1" applyFill="1" applyBorder="1" applyAlignment="1">
      <alignment horizontal="left" vertical="top" wrapText="1"/>
    </xf>
    <xf numFmtId="164" fontId="110" fillId="42" borderId="150" xfId="42" applyNumberFormat="1" applyFont="1" applyFill="1" applyBorder="1" applyAlignment="1">
      <alignment horizontal="right" vertical="top" wrapText="1"/>
    </xf>
    <xf numFmtId="164" fontId="110" fillId="42" borderId="119" xfId="42" applyNumberFormat="1" applyFont="1" applyFill="1" applyBorder="1" applyAlignment="1">
      <alignment horizontal="left" vertical="top" wrapText="1"/>
    </xf>
    <xf numFmtId="0" fontId="110" fillId="42" borderId="120" xfId="0" applyFont="1" applyFill="1" applyBorder="1" applyAlignment="1">
      <alignment vertical="top" wrapText="1"/>
    </xf>
    <xf numFmtId="0" fontId="103" fillId="42" borderId="155" xfId="0" applyFont="1" applyFill="1" applyBorder="1" applyAlignment="1">
      <alignment vertical="top" wrapText="1"/>
    </xf>
    <xf numFmtId="0" fontId="110" fillId="42" borderId="42" xfId="0" applyFont="1" applyFill="1" applyBorder="1" applyAlignment="1">
      <alignment horizontal="right" vertical="top" wrapText="1"/>
    </xf>
    <xf numFmtId="0" fontId="110" fillId="42" borderId="42" xfId="0" applyFont="1" applyFill="1" applyBorder="1" applyAlignment="1">
      <alignment horizontal="center" vertical="top" wrapText="1"/>
    </xf>
    <xf numFmtId="164" fontId="110" fillId="42" borderId="125" xfId="42" applyNumberFormat="1" applyFont="1" applyFill="1" applyBorder="1" applyAlignment="1">
      <alignment horizontal="right" vertical="top" wrapText="1"/>
    </xf>
    <xf numFmtId="0" fontId="115" fillId="42" borderId="120" xfId="0" applyFont="1" applyFill="1" applyBorder="1" applyAlignment="1">
      <alignment vertical="top" wrapText="1"/>
    </xf>
    <xf numFmtId="164" fontId="103" fillId="42" borderId="119" xfId="42" applyNumberFormat="1" applyFont="1" applyFill="1" applyBorder="1" applyAlignment="1">
      <alignment horizontal="right" vertical="top" wrapText="1"/>
    </xf>
    <xf numFmtId="164" fontId="103" fillId="42" borderId="120" xfId="42" applyNumberFormat="1" applyFont="1" applyFill="1" applyBorder="1" applyAlignment="1">
      <alignment horizontal="right" vertical="top" wrapText="1"/>
    </xf>
    <xf numFmtId="164" fontId="103" fillId="42" borderId="121" xfId="42" applyNumberFormat="1" applyFont="1" applyFill="1" applyBorder="1" applyAlignment="1">
      <alignment horizontal="right" vertical="top" wrapText="1"/>
    </xf>
    <xf numFmtId="164" fontId="110" fillId="42" borderId="15" xfId="42" applyNumberFormat="1" applyFont="1" applyFill="1" applyBorder="1" applyAlignment="1">
      <alignment horizontal="left" vertical="top" wrapText="1"/>
    </xf>
    <xf numFmtId="0" fontId="110" fillId="42" borderId="10" xfId="0" applyFont="1" applyFill="1" applyBorder="1" applyAlignment="1">
      <alignment horizontal="left" vertical="top" wrapText="1"/>
    </xf>
    <xf numFmtId="164" fontId="110" fillId="42" borderId="129" xfId="42" applyNumberFormat="1" applyFont="1" applyFill="1" applyBorder="1" applyAlignment="1">
      <alignment horizontal="right" vertical="top" wrapText="1"/>
    </xf>
    <xf numFmtId="0" fontId="103" fillId="42" borderId="42" xfId="0" applyFont="1" applyFill="1" applyBorder="1" applyAlignment="1">
      <alignment horizontal="center" vertical="top" wrapText="1"/>
    </xf>
    <xf numFmtId="164" fontId="110" fillId="42" borderId="11" xfId="42" applyNumberFormat="1" applyFont="1" applyFill="1" applyBorder="1" applyAlignment="1">
      <alignment horizontal="right" vertical="top" wrapText="1"/>
    </xf>
    <xf numFmtId="164" fontId="110" fillId="42" borderId="190" xfId="42" applyNumberFormat="1" applyFont="1" applyFill="1" applyBorder="1" applyAlignment="1">
      <alignment horizontal="right" vertical="top" wrapText="1"/>
    </xf>
    <xf numFmtId="164" fontId="110" fillId="42" borderId="10" xfId="42" applyNumberFormat="1" applyFont="1" applyFill="1" applyBorder="1" applyAlignment="1">
      <alignment horizontal="right" vertical="top" wrapText="1"/>
    </xf>
    <xf numFmtId="164" fontId="110" fillId="42" borderId="130" xfId="42" applyNumberFormat="1" applyFont="1" applyFill="1" applyBorder="1" applyAlignment="1">
      <alignment horizontal="right" vertical="top" wrapText="1"/>
    </xf>
    <xf numFmtId="164" fontId="110" fillId="42" borderId="102" xfId="42" applyNumberFormat="1" applyFont="1" applyFill="1" applyBorder="1" applyAlignment="1">
      <alignment horizontal="left" vertical="top" wrapText="1"/>
    </xf>
    <xf numFmtId="164" fontId="110" fillId="42" borderId="10" xfId="42" applyNumberFormat="1" applyFont="1" applyFill="1" applyBorder="1" applyAlignment="1">
      <alignment horizontal="left" vertical="top" wrapText="1"/>
    </xf>
    <xf numFmtId="164" fontId="110" fillId="42" borderId="101" xfId="42" applyNumberFormat="1" applyFont="1" applyFill="1" applyBorder="1" applyAlignment="1">
      <alignment horizontal="left" vertical="top" wrapText="1"/>
    </xf>
    <xf numFmtId="164" fontId="110" fillId="42" borderId="144" xfId="42" applyNumberFormat="1" applyFont="1" applyFill="1" applyBorder="1" applyAlignment="1">
      <alignment horizontal="left" vertical="top" wrapText="1"/>
    </xf>
    <xf numFmtId="164" fontId="116" fillId="42" borderId="0" xfId="42" applyNumberFormat="1" applyFont="1" applyFill="1" applyBorder="1" applyAlignment="1">
      <alignment vertical="top" wrapText="1"/>
    </xf>
    <xf numFmtId="0" fontId="116" fillId="42" borderId="0" xfId="0" applyFont="1" applyFill="1" applyBorder="1" applyAlignment="1">
      <alignment vertical="top" wrapText="1"/>
    </xf>
    <xf numFmtId="164" fontId="110" fillId="42" borderId="161" xfId="42" applyNumberFormat="1" applyFont="1" applyFill="1" applyBorder="1" applyAlignment="1">
      <alignment horizontal="left" vertical="top" wrapText="1"/>
    </xf>
    <xf numFmtId="0" fontId="115" fillId="42" borderId="10" xfId="0" applyFont="1" applyFill="1" applyBorder="1" applyAlignment="1">
      <alignment horizontal="left" vertical="top" wrapText="1"/>
    </xf>
    <xf numFmtId="164" fontId="110" fillId="42" borderId="129" xfId="42" applyNumberFormat="1" applyFont="1" applyFill="1" applyBorder="1" applyAlignment="1">
      <alignment horizontal="left" vertical="top" wrapText="1"/>
    </xf>
    <xf numFmtId="164" fontId="110" fillId="42" borderId="130" xfId="42" applyNumberFormat="1" applyFont="1" applyFill="1" applyBorder="1" applyAlignment="1">
      <alignment horizontal="left" vertical="top" wrapText="1"/>
    </xf>
    <xf numFmtId="0" fontId="110" fillId="42" borderId="123" xfId="0" applyFont="1" applyFill="1" applyBorder="1" applyAlignment="1">
      <alignment horizontal="right" vertical="top" wrapText="1"/>
    </xf>
    <xf numFmtId="0" fontId="110" fillId="42" borderId="123" xfId="0" applyFont="1" applyFill="1" applyBorder="1" applyAlignment="1">
      <alignment horizontal="center" vertical="top" wrapText="1"/>
    </xf>
    <xf numFmtId="0" fontId="103" fillId="42" borderId="123" xfId="0" applyFont="1" applyFill="1" applyBorder="1" applyAlignment="1">
      <alignment horizontal="left" vertical="top" wrapText="1"/>
    </xf>
    <xf numFmtId="0" fontId="103" fillId="42" borderId="146" xfId="0" applyFont="1" applyFill="1" applyBorder="1" applyAlignment="1">
      <alignment vertical="top" wrapText="1"/>
    </xf>
    <xf numFmtId="0" fontId="103" fillId="42" borderId="147" xfId="0" applyFont="1" applyFill="1" applyBorder="1" applyAlignment="1">
      <alignment vertical="top" wrapText="1"/>
    </xf>
    <xf numFmtId="164" fontId="103" fillId="42" borderId="120" xfId="42" applyNumberFormat="1" applyFont="1" applyFill="1" applyBorder="1" applyAlignment="1">
      <alignment horizontal="left" vertical="top" wrapText="1"/>
    </xf>
    <xf numFmtId="0" fontId="110" fillId="42" borderId="146" xfId="0" applyFont="1" applyFill="1" applyBorder="1" applyAlignment="1">
      <alignment vertical="top" wrapText="1"/>
    </xf>
    <xf numFmtId="0" fontId="110" fillId="42" borderId="147" xfId="0" applyFont="1" applyFill="1" applyBorder="1" applyAlignment="1">
      <alignment vertical="top" wrapText="1"/>
    </xf>
    <xf numFmtId="164" fontId="110" fillId="42" borderId="125" xfId="42" applyNumberFormat="1" applyFont="1" applyFill="1" applyBorder="1" applyAlignment="1">
      <alignment horizontal="left" vertical="top" wrapText="1"/>
    </xf>
    <xf numFmtId="0" fontId="110" fillId="42" borderId="25" xfId="0" applyFont="1" applyFill="1" applyBorder="1" applyAlignment="1">
      <alignment vertical="top" wrapText="1"/>
    </xf>
    <xf numFmtId="0" fontId="110" fillId="42" borderId="19" xfId="0" applyFont="1" applyFill="1" applyBorder="1" applyAlignment="1">
      <alignment vertical="top" wrapText="1"/>
    </xf>
    <xf numFmtId="0" fontId="110" fillId="42" borderId="26" xfId="0" applyFont="1" applyFill="1" applyBorder="1" applyAlignment="1">
      <alignment vertical="top" wrapText="1"/>
    </xf>
    <xf numFmtId="164" fontId="103" fillId="42" borderId="150" xfId="42" applyNumberFormat="1" applyFont="1" applyFill="1" applyBorder="1" applyAlignment="1">
      <alignment horizontal="right" vertical="top" wrapText="1"/>
    </xf>
    <xf numFmtId="0" fontId="110" fillId="42" borderId="146" xfId="0" applyFont="1" applyFill="1" applyBorder="1" applyAlignment="1">
      <alignment horizontal="left" vertical="top" wrapText="1"/>
    </xf>
    <xf numFmtId="0" fontId="103" fillId="42" borderId="169" xfId="0" applyFont="1" applyFill="1" applyBorder="1" applyAlignment="1">
      <alignment vertical="top" wrapText="1"/>
    </xf>
    <xf numFmtId="3" fontId="103" fillId="42" borderId="120" xfId="0" applyNumberFormat="1" applyFont="1" applyFill="1" applyBorder="1" applyAlignment="1">
      <alignment horizontal="center" vertical="top" wrapText="1"/>
    </xf>
    <xf numFmtId="164" fontId="103" fillId="42" borderId="152" xfId="42" applyNumberFormat="1" applyFont="1" applyFill="1" applyBorder="1" applyAlignment="1">
      <alignment vertical="top" wrapText="1"/>
    </xf>
    <xf numFmtId="0" fontId="103" fillId="42" borderId="152" xfId="0" applyFont="1" applyFill="1" applyBorder="1" applyAlignment="1">
      <alignment vertical="top" wrapText="1"/>
    </xf>
    <xf numFmtId="0" fontId="103" fillId="42" borderId="123" xfId="0" applyFont="1" applyFill="1" applyBorder="1" applyAlignment="1">
      <alignment horizontal="center" vertical="top" wrapText="1"/>
    </xf>
    <xf numFmtId="164" fontId="110" fillId="42" borderId="161" xfId="42" applyNumberFormat="1" applyFont="1" applyFill="1" applyBorder="1" applyAlignment="1">
      <alignment horizontal="right" vertical="top" wrapText="1"/>
    </xf>
    <xf numFmtId="164" fontId="110" fillId="42" borderId="156" xfId="42" applyNumberFormat="1" applyFont="1" applyFill="1" applyBorder="1" applyAlignment="1">
      <alignment horizontal="right" vertical="top" wrapText="1"/>
    </xf>
    <xf numFmtId="164" fontId="103" fillId="42" borderId="137" xfId="42" applyNumberFormat="1" applyFont="1" applyFill="1" applyBorder="1" applyAlignment="1">
      <alignment horizontal="right" vertical="top" wrapText="1"/>
    </xf>
    <xf numFmtId="0" fontId="110" fillId="42" borderId="42" xfId="0" applyFont="1" applyFill="1" applyBorder="1" applyAlignment="1">
      <alignment vertical="top" wrapText="1"/>
    </xf>
    <xf numFmtId="0" fontId="103" fillId="42" borderId="42" xfId="0" applyFont="1" applyFill="1" applyBorder="1" applyAlignment="1">
      <alignment vertical="top" wrapText="1"/>
    </xf>
    <xf numFmtId="164" fontId="103" fillId="42" borderId="42" xfId="42" applyNumberFormat="1" applyFont="1" applyFill="1" applyBorder="1" applyAlignment="1">
      <alignment horizontal="left" vertical="top" wrapText="1"/>
    </xf>
    <xf numFmtId="164" fontId="110" fillId="42" borderId="42" xfId="42" applyNumberFormat="1" applyFont="1" applyFill="1" applyBorder="1" applyAlignment="1">
      <alignment horizontal="right" vertical="top" wrapText="1"/>
    </xf>
    <xf numFmtId="164" fontId="110" fillId="42" borderId="126" xfId="42" applyNumberFormat="1" applyFont="1" applyFill="1" applyBorder="1" applyAlignment="1">
      <alignment horizontal="right" vertical="top" wrapText="1"/>
    </xf>
    <xf numFmtId="164" fontId="110" fillId="42" borderId="46" xfId="42" applyNumberFormat="1" applyFont="1" applyFill="1" applyBorder="1" applyAlignment="1">
      <alignment horizontal="right" vertical="top" wrapText="1"/>
    </xf>
    <xf numFmtId="164" fontId="103" fillId="42" borderId="136" xfId="42" applyNumberFormat="1" applyFont="1" applyFill="1" applyBorder="1" applyAlignment="1">
      <alignment horizontal="right" vertical="top" wrapText="1"/>
    </xf>
    <xf numFmtId="0" fontId="103" fillId="42" borderId="146" xfId="0" applyFont="1" applyFill="1" applyBorder="1" applyAlignment="1">
      <alignment horizontal="center" vertical="top" wrapText="1"/>
    </xf>
    <xf numFmtId="164" fontId="103" fillId="42" borderId="153" xfId="42" applyNumberFormat="1" applyFont="1" applyFill="1" applyBorder="1" applyAlignment="1">
      <alignment vertical="top" wrapText="1"/>
    </xf>
    <xf numFmtId="0" fontId="103" fillId="42" borderId="153" xfId="0" applyFont="1" applyFill="1" applyBorder="1" applyAlignment="1">
      <alignment vertical="top" wrapText="1"/>
    </xf>
    <xf numFmtId="164" fontId="110" fillId="42" borderId="10" xfId="42" applyNumberFormat="1" applyFont="1" applyFill="1" applyBorder="1" applyAlignment="1">
      <alignment horizontal="justify" vertical="top" wrapText="1"/>
    </xf>
    <xf numFmtId="0" fontId="103" fillId="42" borderId="0" xfId="0" applyFont="1" applyFill="1" applyBorder="1" applyAlignment="1">
      <alignment horizontal="left" vertical="top" wrapText="1"/>
    </xf>
    <xf numFmtId="3" fontId="103" fillId="42" borderId="0" xfId="0" applyNumberFormat="1" applyFont="1" applyFill="1" applyBorder="1" applyAlignment="1">
      <alignment horizontal="center" vertical="top" wrapText="1"/>
    </xf>
    <xf numFmtId="0" fontId="110" fillId="42" borderId="0" xfId="0" applyFont="1" applyFill="1" applyBorder="1" applyAlignment="1">
      <alignment horizontal="left" vertical="top" wrapText="1"/>
    </xf>
    <xf numFmtId="164" fontId="103" fillId="42" borderId="0" xfId="42" applyNumberFormat="1" applyFont="1" applyFill="1" applyBorder="1" applyAlignment="1">
      <alignment horizontal="justify" vertical="top" wrapText="1"/>
    </xf>
    <xf numFmtId="164" fontId="103" fillId="42" borderId="0" xfId="42" applyNumberFormat="1" applyFont="1" applyFill="1" applyBorder="1" applyAlignment="1">
      <alignment horizontal="right" vertical="top" wrapText="1"/>
    </xf>
    <xf numFmtId="0" fontId="103" fillId="42" borderId="0" xfId="0" applyFont="1" applyFill="1" applyBorder="1" applyAlignment="1">
      <alignment horizontal="center" vertical="top" wrapText="1"/>
    </xf>
    <xf numFmtId="164" fontId="103" fillId="42" borderId="0" xfId="0" applyNumberFormat="1" applyFont="1" applyFill="1" applyBorder="1" applyAlignment="1">
      <alignment horizontal="left" vertical="top" wrapText="1"/>
    </xf>
    <xf numFmtId="0" fontId="103" fillId="42" borderId="71" xfId="0" applyFont="1" applyFill="1" applyBorder="1" applyAlignment="1">
      <alignment vertical="top" wrapText="1"/>
    </xf>
    <xf numFmtId="0" fontId="103" fillId="42" borderId="20" xfId="0" applyFont="1" applyFill="1" applyBorder="1" applyAlignment="1">
      <alignment horizontal="left" vertical="top" wrapText="1"/>
    </xf>
    <xf numFmtId="3" fontId="103" fillId="42" borderId="15" xfId="0" applyNumberFormat="1" applyFont="1" applyFill="1" applyBorder="1" applyAlignment="1">
      <alignment horizontal="center" vertical="top" wrapText="1"/>
    </xf>
    <xf numFmtId="3" fontId="103" fillId="42" borderId="20" xfId="0" applyNumberFormat="1" applyFont="1" applyFill="1" applyBorder="1" applyAlignment="1">
      <alignment horizontal="center" vertical="top" wrapText="1"/>
    </xf>
    <xf numFmtId="0" fontId="103" fillId="42" borderId="15" xfId="0" applyFont="1" applyFill="1" applyBorder="1" applyAlignment="1">
      <alignment horizontal="center" vertical="top" wrapText="1"/>
    </xf>
    <xf numFmtId="164" fontId="103" fillId="42" borderId="15" xfId="42" applyNumberFormat="1" applyFont="1" applyFill="1" applyBorder="1" applyAlignment="1">
      <alignment horizontal="center" vertical="center" wrapText="1"/>
    </xf>
    <xf numFmtId="164" fontId="103" fillId="42" borderId="186" xfId="42" applyNumberFormat="1" applyFont="1" applyFill="1" applyBorder="1" applyAlignment="1">
      <alignment horizontal="center" vertical="top" wrapText="1"/>
    </xf>
    <xf numFmtId="3" fontId="110" fillId="42" borderId="15" xfId="0" applyNumberFormat="1" applyFont="1" applyFill="1" applyBorder="1" applyAlignment="1">
      <alignment horizontal="center" vertical="top" wrapText="1"/>
    </xf>
    <xf numFmtId="0" fontId="110" fillId="42" borderId="15" xfId="0" applyFont="1" applyFill="1" applyBorder="1" applyAlignment="1">
      <alignment horizontal="right" vertical="top" wrapText="1"/>
    </xf>
    <xf numFmtId="0" fontId="103" fillId="42" borderId="193" xfId="0" applyFont="1" applyFill="1" applyBorder="1" applyAlignment="1">
      <alignment vertical="top" wrapText="1"/>
    </xf>
    <xf numFmtId="164" fontId="110" fillId="42" borderId="10" xfId="0" applyNumberFormat="1" applyFont="1" applyFill="1" applyBorder="1" applyAlignment="1">
      <alignment vertical="top" wrapText="1"/>
    </xf>
    <xf numFmtId="164" fontId="110" fillId="42" borderId="130" xfId="42" applyNumberFormat="1" applyFont="1" applyFill="1" applyBorder="1" applyAlignment="1">
      <alignment horizontal="justify" vertical="top" wrapText="1"/>
    </xf>
    <xf numFmtId="164" fontId="110" fillId="42" borderId="129" xfId="42" applyNumberFormat="1" applyFont="1" applyFill="1" applyBorder="1" applyAlignment="1">
      <alignment horizontal="justify" vertical="top" wrapText="1"/>
    </xf>
    <xf numFmtId="164" fontId="103" fillId="42" borderId="0" xfId="42" applyNumberFormat="1" applyFont="1" applyFill="1" applyBorder="1" applyAlignment="1">
      <alignment horizontal="center" vertical="top" wrapText="1"/>
    </xf>
    <xf numFmtId="0" fontId="103" fillId="42" borderId="0" xfId="0" applyFont="1" applyFill="1" applyBorder="1" applyAlignment="1">
      <alignment horizontal="center"/>
    </xf>
    <xf numFmtId="164" fontId="110" fillId="42" borderId="0" xfId="0" applyNumberFormat="1" applyFont="1" applyFill="1" applyBorder="1" applyAlignment="1">
      <alignment/>
    </xf>
    <xf numFmtId="164" fontId="103" fillId="42" borderId="0" xfId="0" applyNumberFormat="1" applyFont="1" applyFill="1" applyBorder="1" applyAlignment="1">
      <alignment horizontal="center"/>
    </xf>
    <xf numFmtId="0" fontId="110" fillId="42" borderId="0" xfId="0" applyFont="1" applyFill="1" applyAlignment="1">
      <alignment vertical="center" wrapText="1"/>
    </xf>
    <xf numFmtId="0" fontId="103" fillId="42" borderId="0" xfId="0" applyFont="1" applyFill="1" applyAlignment="1">
      <alignment horizontal="center" vertical="center" wrapText="1"/>
    </xf>
    <xf numFmtId="0" fontId="110" fillId="42" borderId="0" xfId="0" applyFont="1" applyFill="1" applyBorder="1" applyAlignment="1">
      <alignment vertical="center" wrapText="1"/>
    </xf>
    <xf numFmtId="0" fontId="110" fillId="42" borderId="0" xfId="0" applyFont="1" applyFill="1" applyAlignment="1">
      <alignment horizontal="center" vertical="center" wrapText="1"/>
    </xf>
    <xf numFmtId="0" fontId="110" fillId="42" borderId="0" xfId="0" applyFont="1" applyFill="1" applyBorder="1" applyAlignment="1">
      <alignment horizontal="center" vertical="center" wrapText="1"/>
    </xf>
    <xf numFmtId="0" fontId="110" fillId="42" borderId="10" xfId="0" applyFont="1" applyFill="1" applyBorder="1" applyAlignment="1">
      <alignment vertical="top"/>
    </xf>
    <xf numFmtId="164" fontId="110" fillId="42" borderId="10" xfId="42" applyNumberFormat="1" applyFont="1" applyFill="1" applyBorder="1" applyAlignment="1">
      <alignment horizontal="left" vertical="top"/>
    </xf>
    <xf numFmtId="0" fontId="103" fillId="42" borderId="0" xfId="0" applyFont="1" applyFill="1" applyAlignment="1">
      <alignment/>
    </xf>
    <xf numFmtId="0" fontId="103" fillId="42" borderId="0" xfId="0" applyFont="1" applyFill="1" applyAlignment="1">
      <alignment horizontal="left"/>
    </xf>
    <xf numFmtId="0" fontId="110" fillId="42" borderId="0" xfId="0" applyFont="1" applyFill="1" applyAlignment="1">
      <alignment horizontal="left"/>
    </xf>
    <xf numFmtId="164" fontId="110" fillId="42" borderId="0" xfId="0" applyNumberFormat="1" applyFont="1" applyFill="1" applyAlignment="1">
      <alignment/>
    </xf>
    <xf numFmtId="164" fontId="103" fillId="42" borderId="0" xfId="0" applyNumberFormat="1" applyFont="1" applyFill="1" applyAlignment="1">
      <alignment horizontal="left"/>
    </xf>
    <xf numFmtId="164" fontId="103" fillId="42" borderId="0" xfId="42" applyNumberFormat="1" applyFont="1" applyFill="1" applyBorder="1" applyAlignment="1">
      <alignment/>
    </xf>
    <xf numFmtId="164" fontId="103" fillId="42" borderId="0" xfId="42" applyNumberFormat="1" applyFont="1" applyFill="1" applyAlignment="1">
      <alignment horizontal="left"/>
    </xf>
    <xf numFmtId="164" fontId="103" fillId="42" borderId="42" xfId="42" applyNumberFormat="1" applyFont="1" applyFill="1" applyBorder="1" applyAlignment="1">
      <alignment horizontal="right" vertical="top" wrapText="1"/>
    </xf>
    <xf numFmtId="164" fontId="110" fillId="42" borderId="79" xfId="42" applyNumberFormat="1" applyFont="1" applyFill="1" applyBorder="1" applyAlignment="1">
      <alignment vertical="top"/>
    </xf>
    <xf numFmtId="164" fontId="110" fillId="42" borderId="136" xfId="42" applyNumberFormat="1" applyFont="1" applyFill="1" applyBorder="1" applyAlignment="1">
      <alignment horizontal="right" vertical="top" wrapText="1"/>
    </xf>
    <xf numFmtId="164" fontId="110" fillId="42" borderId="139" xfId="42" applyNumberFormat="1" applyFont="1" applyFill="1" applyBorder="1" applyAlignment="1">
      <alignment horizontal="right" vertical="top" wrapText="1"/>
    </xf>
    <xf numFmtId="164" fontId="110" fillId="42" borderId="137" xfId="42" applyNumberFormat="1" applyFont="1" applyFill="1" applyBorder="1" applyAlignment="1">
      <alignment horizontal="right" vertical="top" wrapText="1"/>
    </xf>
    <xf numFmtId="164" fontId="110" fillId="42" borderId="136" xfId="42" applyNumberFormat="1" applyFont="1" applyFill="1" applyBorder="1" applyAlignment="1">
      <alignment horizontal="left" vertical="top" wrapText="1"/>
    </xf>
    <xf numFmtId="164" fontId="110" fillId="42" borderId="155" xfId="42" applyNumberFormat="1" applyFont="1" applyFill="1" applyBorder="1" applyAlignment="1">
      <alignment horizontal="right" vertical="top" wrapText="1"/>
    </xf>
    <xf numFmtId="0" fontId="103" fillId="44" borderId="10" xfId="0" applyFont="1" applyFill="1" applyBorder="1" applyAlignment="1">
      <alignment horizontal="center" vertical="center" wrapText="1"/>
    </xf>
    <xf numFmtId="164" fontId="103" fillId="44" borderId="10" xfId="42" applyNumberFormat="1" applyFont="1" applyFill="1" applyBorder="1" applyAlignment="1">
      <alignment horizontal="center" vertical="center" wrapText="1"/>
    </xf>
    <xf numFmtId="0" fontId="103" fillId="44" borderId="128" xfId="0" applyFont="1" applyFill="1" applyBorder="1" applyAlignment="1">
      <alignment horizontal="left" vertical="top" wrapText="1"/>
    </xf>
    <xf numFmtId="0" fontId="103" fillId="44" borderId="10" xfId="0" applyFont="1" applyFill="1" applyBorder="1" applyAlignment="1">
      <alignment horizontal="right" vertical="top" wrapText="1"/>
    </xf>
    <xf numFmtId="3" fontId="103" fillId="44" borderId="10" xfId="0" applyNumberFormat="1" applyFont="1" applyFill="1" applyBorder="1" applyAlignment="1">
      <alignment horizontal="center" vertical="top" wrapText="1"/>
    </xf>
    <xf numFmtId="0" fontId="103" fillId="44" borderId="10" xfId="0" applyFont="1" applyFill="1" applyBorder="1" applyAlignment="1">
      <alignment horizontal="center" vertical="top" wrapText="1"/>
    </xf>
    <xf numFmtId="0" fontId="103" fillId="44" borderId="10" xfId="0" applyFont="1" applyFill="1" applyBorder="1" applyAlignment="1">
      <alignment horizontal="left" vertical="top" wrapText="1"/>
    </xf>
    <xf numFmtId="164" fontId="103" fillId="44" borderId="42" xfId="42" applyNumberFormat="1" applyFont="1" applyFill="1" applyBorder="1" applyAlignment="1">
      <alignment horizontal="right" vertical="top" wrapText="1"/>
    </xf>
    <xf numFmtId="164" fontId="103" fillId="44" borderId="10" xfId="42" applyNumberFormat="1" applyFont="1" applyFill="1" applyBorder="1" applyAlignment="1">
      <alignment horizontal="right" vertical="top" wrapText="1"/>
    </xf>
    <xf numFmtId="164" fontId="103" fillId="44" borderId="136" xfId="42" applyNumberFormat="1" applyFont="1" applyFill="1" applyBorder="1" applyAlignment="1">
      <alignment horizontal="right" vertical="top" wrapText="1"/>
    </xf>
    <xf numFmtId="0" fontId="110" fillId="44" borderId="10" xfId="0" applyFont="1" applyFill="1" applyBorder="1" applyAlignment="1">
      <alignment horizontal="left" vertical="top" wrapText="1"/>
    </xf>
    <xf numFmtId="164" fontId="103" fillId="44" borderId="139" xfId="42" applyNumberFormat="1" applyFont="1" applyFill="1" applyBorder="1" applyAlignment="1">
      <alignment horizontal="right" vertical="top" wrapText="1"/>
    </xf>
    <xf numFmtId="0" fontId="110" fillId="44" borderId="169" xfId="0" applyFont="1" applyFill="1" applyBorder="1" applyAlignment="1">
      <alignment vertical="top" wrapText="1"/>
    </xf>
    <xf numFmtId="0" fontId="103" fillId="44" borderId="11" xfId="0" applyFont="1" applyFill="1" applyBorder="1" applyAlignment="1">
      <alignment horizontal="right" vertical="top" wrapText="1"/>
    </xf>
    <xf numFmtId="0" fontId="110" fillId="44" borderId="11" xfId="0" applyFont="1" applyFill="1" applyBorder="1" applyAlignment="1">
      <alignment horizontal="center" vertical="top" wrapText="1"/>
    </xf>
    <xf numFmtId="0" fontId="103" fillId="44" borderId="11" xfId="0" applyFont="1" applyFill="1" applyBorder="1" applyAlignment="1">
      <alignment horizontal="left" vertical="top" wrapText="1"/>
    </xf>
    <xf numFmtId="0" fontId="110" fillId="44" borderId="11" xfId="0" applyFont="1" applyFill="1" applyBorder="1" applyAlignment="1">
      <alignment horizontal="left" vertical="top" wrapText="1"/>
    </xf>
    <xf numFmtId="164" fontId="103" fillId="44" borderId="11" xfId="42" applyNumberFormat="1" applyFont="1" applyFill="1" applyBorder="1" applyAlignment="1">
      <alignment horizontal="right" vertical="top" wrapText="1"/>
    </xf>
    <xf numFmtId="164" fontId="103" fillId="44" borderId="148" xfId="42" applyNumberFormat="1" applyFont="1" applyFill="1" applyBorder="1" applyAlignment="1">
      <alignment horizontal="right" vertical="top" wrapText="1"/>
    </xf>
    <xf numFmtId="0" fontId="110" fillId="44" borderId="10" xfId="0" applyFont="1" applyFill="1" applyBorder="1" applyAlignment="1">
      <alignment horizontal="center" vertical="top" wrapText="1"/>
    </xf>
    <xf numFmtId="0" fontId="110" fillId="44" borderId="128" xfId="0" applyFont="1" applyFill="1" applyBorder="1" applyAlignment="1">
      <alignment vertical="top" wrapText="1"/>
    </xf>
    <xf numFmtId="0" fontId="103" fillId="44" borderId="128" xfId="0" applyFont="1" applyFill="1" applyBorder="1" applyAlignment="1">
      <alignment horizontal="right" vertical="top" wrapText="1"/>
    </xf>
    <xf numFmtId="3" fontId="110" fillId="44" borderId="10" xfId="0" applyNumberFormat="1" applyFont="1" applyFill="1" applyBorder="1" applyAlignment="1">
      <alignment horizontal="center" vertical="top" wrapText="1"/>
    </xf>
    <xf numFmtId="164" fontId="103" fillId="44" borderId="10" xfId="42" applyNumberFormat="1" applyFont="1" applyFill="1" applyBorder="1" applyAlignment="1" quotePrefix="1">
      <alignment horizontal="right" vertical="top" wrapText="1"/>
    </xf>
    <xf numFmtId="164" fontId="103" fillId="44" borderId="139" xfId="42" applyNumberFormat="1" applyFont="1" applyFill="1" applyBorder="1" applyAlignment="1" quotePrefix="1">
      <alignment horizontal="right" vertical="top" wrapText="1"/>
    </xf>
    <xf numFmtId="0" fontId="117" fillId="42" borderId="0" xfId="0" applyFont="1" applyFill="1" applyBorder="1" applyAlignment="1">
      <alignment vertical="top" wrapText="1"/>
    </xf>
    <xf numFmtId="0" fontId="117" fillId="42" borderId="0" xfId="0" applyFont="1" applyFill="1" applyBorder="1" applyAlignment="1">
      <alignment horizontal="left" vertical="top" wrapText="1"/>
    </xf>
    <xf numFmtId="3" fontId="117" fillId="42" borderId="0" xfId="0" applyNumberFormat="1" applyFont="1" applyFill="1" applyBorder="1" applyAlignment="1">
      <alignment horizontal="center" vertical="top" wrapText="1"/>
    </xf>
    <xf numFmtId="0" fontId="114" fillId="42" borderId="0" xfId="0" applyFont="1" applyFill="1" applyBorder="1" applyAlignment="1">
      <alignment horizontal="left" vertical="top" wrapText="1"/>
    </xf>
    <xf numFmtId="0" fontId="117" fillId="42" borderId="0" xfId="0" applyFont="1" applyFill="1" applyBorder="1" applyAlignment="1">
      <alignment horizontal="center" vertical="top" wrapText="1"/>
    </xf>
    <xf numFmtId="164" fontId="117" fillId="42" borderId="0" xfId="42" applyNumberFormat="1" applyFont="1" applyFill="1" applyBorder="1" applyAlignment="1">
      <alignment horizontal="justify" vertical="top" wrapText="1"/>
    </xf>
    <xf numFmtId="164" fontId="117" fillId="42" borderId="0" xfId="42" applyNumberFormat="1" applyFont="1" applyFill="1" applyBorder="1" applyAlignment="1">
      <alignment horizontal="left" vertical="top" wrapText="1"/>
    </xf>
    <xf numFmtId="164" fontId="117" fillId="42" borderId="0" xfId="0" applyNumberFormat="1" applyFont="1" applyFill="1" applyBorder="1" applyAlignment="1">
      <alignment horizontal="left" vertical="top" wrapText="1"/>
    </xf>
    <xf numFmtId="164" fontId="117" fillId="42" borderId="0" xfId="42" applyNumberFormat="1" applyFont="1" applyFill="1" applyBorder="1" applyAlignment="1">
      <alignment vertical="top" wrapText="1"/>
    </xf>
    <xf numFmtId="164" fontId="117" fillId="42" borderId="0" xfId="42" applyNumberFormat="1" applyFont="1" applyFill="1" applyBorder="1" applyAlignment="1">
      <alignment horizontal="right" vertical="top" wrapText="1"/>
    </xf>
    <xf numFmtId="164" fontId="110" fillId="42" borderId="102" xfId="42" applyNumberFormat="1" applyFont="1" applyFill="1" applyBorder="1" applyAlignment="1">
      <alignment horizontal="justify" vertical="top" wrapText="1"/>
    </xf>
    <xf numFmtId="164" fontId="110" fillId="42" borderId="129" xfId="0" applyNumberFormat="1" applyFont="1" applyFill="1" applyBorder="1" applyAlignment="1">
      <alignment vertical="top" wrapText="1"/>
    </xf>
    <xf numFmtId="164" fontId="110" fillId="42" borderId="130" xfId="0" applyNumberFormat="1" applyFont="1" applyFill="1" applyBorder="1" applyAlignment="1">
      <alignment vertical="top" wrapText="1"/>
    </xf>
    <xf numFmtId="164" fontId="103" fillId="42" borderId="130" xfId="42" applyNumberFormat="1" applyFont="1" applyFill="1" applyBorder="1" applyAlignment="1">
      <alignment horizontal="left" vertical="top" wrapText="1"/>
    </xf>
    <xf numFmtId="164" fontId="110" fillId="42" borderId="101" xfId="42" applyNumberFormat="1" applyFont="1" applyFill="1" applyBorder="1" applyAlignment="1">
      <alignment horizontal="justify" vertical="top" wrapText="1"/>
    </xf>
    <xf numFmtId="164" fontId="38" fillId="42" borderId="102" xfId="42" applyNumberFormat="1" applyFont="1" applyFill="1" applyBorder="1" applyAlignment="1">
      <alignment horizontal="justify" vertical="top" wrapText="1"/>
    </xf>
    <xf numFmtId="164" fontId="38" fillId="42" borderId="130" xfId="42" applyNumberFormat="1" applyFont="1" applyFill="1" applyBorder="1" applyAlignment="1">
      <alignment horizontal="justify" vertical="top" wrapText="1"/>
    </xf>
    <xf numFmtId="164" fontId="118" fillId="42" borderId="0" xfId="0" applyNumberFormat="1" applyFont="1" applyFill="1" applyAlignment="1">
      <alignment vertical="top" wrapText="1"/>
    </xf>
    <xf numFmtId="164" fontId="37" fillId="42" borderId="130" xfId="0" applyNumberFormat="1" applyFont="1" applyFill="1" applyBorder="1" applyAlignment="1">
      <alignment vertical="top" wrapText="1"/>
    </xf>
    <xf numFmtId="164" fontId="101" fillId="42" borderId="129" xfId="0" applyNumberFormat="1" applyFont="1" applyFill="1" applyBorder="1" applyAlignment="1">
      <alignment vertical="top" wrapText="1"/>
    </xf>
    <xf numFmtId="164" fontId="101" fillId="42" borderId="130" xfId="0" applyNumberFormat="1" applyFont="1" applyFill="1" applyBorder="1" applyAlignment="1">
      <alignment vertical="top" wrapText="1"/>
    </xf>
    <xf numFmtId="164" fontId="101" fillId="42" borderId="101" xfId="42" applyNumberFormat="1" applyFont="1" applyFill="1" applyBorder="1" applyAlignment="1">
      <alignment horizontal="justify" vertical="top" wrapText="1"/>
    </xf>
    <xf numFmtId="0" fontId="119" fillId="42" borderId="0" xfId="0" applyFont="1" applyFill="1" applyAlignment="1">
      <alignment horizontal="left"/>
    </xf>
    <xf numFmtId="0" fontId="118" fillId="42" borderId="0" xfId="0" applyFont="1" applyFill="1" applyAlignment="1">
      <alignment horizontal="left"/>
    </xf>
    <xf numFmtId="0" fontId="119" fillId="42" borderId="0" xfId="0" applyFont="1" applyFill="1" applyAlignment="1">
      <alignment/>
    </xf>
    <xf numFmtId="164" fontId="119" fillId="42" borderId="0" xfId="0" applyNumberFormat="1" applyFont="1" applyFill="1" applyBorder="1" applyAlignment="1">
      <alignment/>
    </xf>
    <xf numFmtId="164" fontId="119" fillId="42" borderId="0" xfId="42" applyNumberFormat="1" applyFont="1" applyFill="1" applyBorder="1" applyAlignment="1">
      <alignment/>
    </xf>
    <xf numFmtId="0" fontId="118" fillId="42" borderId="0" xfId="0" applyFont="1" applyFill="1" applyAlignment="1">
      <alignment horizontal="center"/>
    </xf>
    <xf numFmtId="0" fontId="119" fillId="42" borderId="0" xfId="0" applyFont="1" applyFill="1" applyBorder="1" applyAlignment="1">
      <alignment/>
    </xf>
    <xf numFmtId="164" fontId="119" fillId="42" borderId="0" xfId="42" applyNumberFormat="1" applyFont="1" applyFill="1" applyAlignment="1">
      <alignment/>
    </xf>
    <xf numFmtId="164" fontId="118" fillId="42" borderId="0" xfId="0" applyNumberFormat="1" applyFont="1" applyFill="1" applyAlignment="1">
      <alignment horizontal="left"/>
    </xf>
    <xf numFmtId="164" fontId="118" fillId="42" borderId="0" xfId="42" applyNumberFormat="1" applyFont="1" applyFill="1" applyAlignment="1">
      <alignment/>
    </xf>
    <xf numFmtId="164" fontId="119" fillId="42" borderId="0" xfId="0" applyNumberFormat="1" applyFont="1" applyFill="1" applyAlignment="1">
      <alignment/>
    </xf>
    <xf numFmtId="0" fontId="119" fillId="42" borderId="0" xfId="0" applyFont="1" applyFill="1" applyAlignment="1">
      <alignment horizontal="center"/>
    </xf>
    <xf numFmtId="9" fontId="119" fillId="42" borderId="0" xfId="0" applyNumberFormat="1" applyFont="1" applyFill="1" applyAlignment="1">
      <alignment horizontal="center"/>
    </xf>
    <xf numFmtId="3" fontId="119" fillId="42" borderId="0" xfId="0" applyNumberFormat="1" applyFont="1" applyFill="1" applyAlignment="1">
      <alignment/>
    </xf>
    <xf numFmtId="170" fontId="119" fillId="42" borderId="0" xfId="42" applyNumberFormat="1" applyFont="1" applyFill="1" applyAlignment="1">
      <alignment/>
    </xf>
    <xf numFmtId="0" fontId="118" fillId="42" borderId="0" xfId="0" applyFont="1" applyFill="1" applyAlignment="1">
      <alignment/>
    </xf>
    <xf numFmtId="170" fontId="118" fillId="42" borderId="0" xfId="42" applyNumberFormat="1" applyFont="1" applyFill="1" applyAlignment="1">
      <alignment/>
    </xf>
    <xf numFmtId="164" fontId="101" fillId="42" borderId="162" xfId="0" applyNumberFormat="1" applyFont="1" applyFill="1" applyBorder="1" applyAlignment="1">
      <alignment vertical="top" wrapText="1"/>
    </xf>
    <xf numFmtId="164" fontId="101" fillId="42" borderId="163" xfId="0" applyNumberFormat="1" applyFont="1" applyFill="1" applyBorder="1" applyAlignment="1">
      <alignment vertical="top" wrapText="1"/>
    </xf>
    <xf numFmtId="164" fontId="101" fillId="42" borderId="164" xfId="42" applyNumberFormat="1" applyFont="1" applyFill="1" applyBorder="1" applyAlignment="1">
      <alignment horizontal="justify" vertical="top" wrapText="1"/>
    </xf>
    <xf numFmtId="164" fontId="101" fillId="42" borderId="168" xfId="42" applyNumberFormat="1" applyFont="1" applyFill="1" applyBorder="1" applyAlignment="1">
      <alignment horizontal="justify" vertical="top" wrapText="1"/>
    </xf>
    <xf numFmtId="164" fontId="101" fillId="42" borderId="163" xfId="42" applyNumberFormat="1" applyFont="1" applyFill="1" applyBorder="1" applyAlignment="1">
      <alignment horizontal="justify" vertical="top" wrapText="1"/>
    </xf>
    <xf numFmtId="164" fontId="101" fillId="42" borderId="174" xfId="42" applyNumberFormat="1" applyFont="1" applyFill="1" applyBorder="1" applyAlignment="1">
      <alignment horizontal="justify" vertical="top" wrapText="1"/>
    </xf>
    <xf numFmtId="164" fontId="101" fillId="42" borderId="162" xfId="42" applyNumberFormat="1" applyFont="1" applyFill="1" applyBorder="1" applyAlignment="1">
      <alignment horizontal="justify" vertical="top" wrapText="1"/>
    </xf>
    <xf numFmtId="164" fontId="102" fillId="42" borderId="168" xfId="42" applyNumberFormat="1" applyFont="1" applyFill="1" applyBorder="1" applyAlignment="1">
      <alignment horizontal="justify" vertical="top" wrapText="1"/>
    </xf>
    <xf numFmtId="164" fontId="102" fillId="42" borderId="163" xfId="42" applyNumberFormat="1" applyFont="1" applyFill="1" applyBorder="1" applyAlignment="1">
      <alignment horizontal="justify" vertical="top" wrapText="1"/>
    </xf>
    <xf numFmtId="164" fontId="102" fillId="42" borderId="174" xfId="42" applyNumberFormat="1" applyFont="1" applyFill="1" applyBorder="1" applyAlignment="1">
      <alignment horizontal="justify" vertical="top" wrapText="1"/>
    </xf>
    <xf numFmtId="0" fontId="101" fillId="42" borderId="0" xfId="0" applyFont="1" applyFill="1" applyAlignment="1">
      <alignment horizontal="center"/>
    </xf>
    <xf numFmtId="0" fontId="101" fillId="42" borderId="10" xfId="0" applyFont="1" applyFill="1" applyBorder="1" applyAlignment="1">
      <alignment vertical="top"/>
    </xf>
    <xf numFmtId="0" fontId="101" fillId="42" borderId="10" xfId="0" applyFont="1" applyFill="1" applyBorder="1" applyAlignment="1">
      <alignment horizontal="center" vertical="top" wrapText="1"/>
    </xf>
    <xf numFmtId="0" fontId="101" fillId="42" borderId="0" xfId="0" applyFont="1" applyFill="1" applyBorder="1" applyAlignment="1">
      <alignment/>
    </xf>
    <xf numFmtId="164" fontId="110" fillId="42" borderId="42" xfId="0" applyNumberFormat="1" applyFont="1" applyFill="1" applyBorder="1" applyAlignment="1">
      <alignment horizontal="left" vertical="top" wrapText="1"/>
    </xf>
    <xf numFmtId="0" fontId="116" fillId="42" borderId="120" xfId="0" applyFont="1" applyFill="1" applyBorder="1" applyAlignment="1">
      <alignment vertical="top" wrapText="1"/>
    </xf>
    <xf numFmtId="0" fontId="120" fillId="42" borderId="155" xfId="0" applyFont="1" applyFill="1" applyBorder="1" applyAlignment="1">
      <alignment vertical="top" wrapText="1"/>
    </xf>
    <xf numFmtId="164" fontId="110" fillId="42" borderId="10" xfId="0" applyNumberFormat="1" applyFont="1" applyFill="1" applyBorder="1" applyAlignment="1">
      <alignment horizontal="left" vertical="top" wrapText="1"/>
    </xf>
    <xf numFmtId="0" fontId="103" fillId="42" borderId="19" xfId="0" applyFont="1" applyFill="1" applyBorder="1" applyAlignment="1">
      <alignment horizontal="left" vertical="top" wrapText="1"/>
    </xf>
    <xf numFmtId="0" fontId="110" fillId="42" borderId="19" xfId="0" applyFont="1" applyFill="1" applyBorder="1" applyAlignment="1">
      <alignment horizontal="left" vertical="top" wrapText="1"/>
    </xf>
    <xf numFmtId="164" fontId="103" fillId="42" borderId="19" xfId="42" applyNumberFormat="1" applyFont="1" applyFill="1" applyBorder="1" applyAlignment="1">
      <alignment horizontal="right" vertical="top" wrapText="1"/>
    </xf>
    <xf numFmtId="164" fontId="110" fillId="42" borderId="19" xfId="42" applyNumberFormat="1" applyFont="1" applyFill="1" applyBorder="1" applyAlignment="1">
      <alignment horizontal="left" vertical="top" wrapText="1"/>
    </xf>
    <xf numFmtId="164" fontId="110" fillId="42" borderId="19" xfId="0" applyNumberFormat="1" applyFont="1" applyFill="1" applyBorder="1" applyAlignment="1">
      <alignment horizontal="left" vertical="top" wrapText="1"/>
    </xf>
    <xf numFmtId="178" fontId="110" fillId="42" borderId="42" xfId="0" applyNumberFormat="1" applyFont="1" applyFill="1" applyBorder="1" applyAlignment="1">
      <alignment vertical="top" wrapText="1"/>
    </xf>
    <xf numFmtId="178" fontId="110" fillId="42" borderId="136" xfId="0" applyNumberFormat="1" applyFont="1" applyFill="1" applyBorder="1" applyAlignment="1">
      <alignment vertical="top" wrapText="1"/>
    </xf>
    <xf numFmtId="0" fontId="115" fillId="42" borderId="87" xfId="0" applyFont="1" applyFill="1" applyBorder="1" applyAlignment="1">
      <alignment horizontal="left" vertical="top" wrapText="1"/>
    </xf>
    <xf numFmtId="0" fontId="115" fillId="42" borderId="156" xfId="0" applyFont="1" applyFill="1" applyBorder="1" applyAlignment="1">
      <alignment horizontal="left" vertical="top" wrapText="1"/>
    </xf>
    <xf numFmtId="0" fontId="103" fillId="42" borderId="46" xfId="0" applyFont="1" applyFill="1" applyBorder="1" applyAlignment="1">
      <alignment horizontal="left" vertical="top" wrapText="1"/>
    </xf>
    <xf numFmtId="0" fontId="103" fillId="44" borderId="101" xfId="0" applyFont="1" applyFill="1" applyBorder="1" applyAlignment="1">
      <alignment vertical="top" wrapText="1"/>
    </xf>
    <xf numFmtId="0" fontId="110" fillId="42" borderId="151" xfId="0" applyFont="1" applyFill="1" applyBorder="1" applyAlignment="1">
      <alignment horizontal="left" vertical="top" wrapText="1"/>
    </xf>
    <xf numFmtId="0" fontId="110" fillId="42" borderId="46" xfId="0" applyFont="1" applyFill="1" applyBorder="1" applyAlignment="1">
      <alignment horizontal="left" vertical="top" wrapText="1"/>
    </xf>
    <xf numFmtId="0" fontId="103" fillId="42" borderId="151" xfId="0" applyFont="1" applyFill="1" applyBorder="1" applyAlignment="1">
      <alignment horizontal="left" vertical="top" wrapText="1"/>
    </xf>
    <xf numFmtId="0" fontId="110" fillId="44" borderId="101" xfId="0" applyFont="1" applyFill="1" applyBorder="1" applyAlignment="1">
      <alignment vertical="top" wrapText="1"/>
    </xf>
    <xf numFmtId="0" fontId="110" fillId="42" borderId="101" xfId="0" applyFont="1" applyFill="1" applyBorder="1" applyAlignment="1">
      <alignment horizontal="left" vertical="top" wrapText="1"/>
    </xf>
    <xf numFmtId="0" fontId="110" fillId="42" borderId="156" xfId="0" applyFont="1" applyFill="1" applyBorder="1" applyAlignment="1">
      <alignment horizontal="left" vertical="top" wrapText="1"/>
    </xf>
    <xf numFmtId="0" fontId="110" fillId="44" borderId="194" xfId="0" applyFont="1" applyFill="1" applyBorder="1" applyAlignment="1">
      <alignment vertical="top" wrapText="1"/>
    </xf>
    <xf numFmtId="0" fontId="110" fillId="44" borderId="101" xfId="0" applyFont="1" applyFill="1" applyBorder="1" applyAlignment="1">
      <alignment horizontal="left" vertical="top" wrapText="1"/>
    </xf>
    <xf numFmtId="0" fontId="110" fillId="44" borderId="101" xfId="58" applyFont="1" applyFill="1" applyBorder="1" applyAlignment="1">
      <alignment vertical="top" wrapText="1"/>
      <protection/>
    </xf>
    <xf numFmtId="0" fontId="110" fillId="44" borderId="194" xfId="58" applyFont="1" applyFill="1" applyBorder="1" applyAlignment="1">
      <alignment vertical="top" wrapText="1"/>
      <protection/>
    </xf>
    <xf numFmtId="0" fontId="110" fillId="44" borderId="101" xfId="0" applyFont="1" applyFill="1" applyBorder="1" applyAlignment="1" quotePrefix="1">
      <alignment horizontal="left" vertical="top" wrapText="1"/>
    </xf>
    <xf numFmtId="0" fontId="103" fillId="42" borderId="151" xfId="0" applyFont="1" applyFill="1" applyBorder="1" applyAlignment="1">
      <alignment vertical="top" wrapText="1"/>
    </xf>
    <xf numFmtId="0" fontId="110" fillId="42" borderId="156" xfId="0" applyFont="1" applyFill="1" applyBorder="1" applyAlignment="1">
      <alignment vertical="top" wrapText="1"/>
    </xf>
    <xf numFmtId="0" fontId="110" fillId="42" borderId="46" xfId="0" applyFont="1" applyFill="1" applyBorder="1" applyAlignment="1">
      <alignment vertical="top" wrapText="1"/>
    </xf>
    <xf numFmtId="0" fontId="103" fillId="42" borderId="101" xfId="0" applyFont="1" applyFill="1" applyBorder="1" applyAlignment="1">
      <alignment vertical="top" wrapText="1"/>
    </xf>
    <xf numFmtId="0" fontId="103" fillId="42" borderId="101" xfId="0" applyFont="1" applyFill="1" applyBorder="1" applyAlignment="1">
      <alignment horizontal="left" vertical="top" wrapText="1"/>
    </xf>
    <xf numFmtId="164" fontId="110" fillId="42" borderId="32" xfId="42" applyNumberFormat="1" applyFont="1" applyFill="1" applyBorder="1" applyAlignment="1">
      <alignment horizontal="right" vertical="top" wrapText="1"/>
    </xf>
    <xf numFmtId="164" fontId="103" fillId="42" borderId="127" xfId="42" applyNumberFormat="1" applyFont="1" applyFill="1" applyBorder="1" applyAlignment="1">
      <alignment horizontal="right" vertical="top" wrapText="1"/>
    </xf>
    <xf numFmtId="164" fontId="103" fillId="44" borderId="127" xfId="42" applyNumberFormat="1" applyFont="1" applyFill="1" applyBorder="1" applyAlignment="1">
      <alignment horizontal="right" vertical="top" wrapText="1"/>
    </xf>
    <xf numFmtId="164" fontId="103" fillId="44" borderId="102" xfId="42" applyNumberFormat="1" applyFont="1" applyFill="1" applyBorder="1" applyAlignment="1">
      <alignment horizontal="right" vertical="top" wrapText="1"/>
    </xf>
    <xf numFmtId="164" fontId="110" fillId="42" borderId="102" xfId="42" applyNumberFormat="1" applyFont="1" applyFill="1" applyBorder="1" applyAlignment="1">
      <alignment horizontal="right" vertical="top" wrapText="1"/>
    </xf>
    <xf numFmtId="164" fontId="103" fillId="44" borderId="32" xfId="42" applyNumberFormat="1" applyFont="1" applyFill="1" applyBorder="1" applyAlignment="1">
      <alignment horizontal="right" vertical="top" wrapText="1"/>
    </xf>
    <xf numFmtId="178" fontId="110" fillId="42" borderId="127" xfId="0" applyNumberFormat="1" applyFont="1" applyFill="1" applyBorder="1" applyAlignment="1">
      <alignment vertical="top" wrapText="1"/>
    </xf>
    <xf numFmtId="164" fontId="103" fillId="44" borderId="102" xfId="42" applyNumberFormat="1" applyFont="1" applyFill="1" applyBorder="1" applyAlignment="1" quotePrefix="1">
      <alignment horizontal="right" vertical="top" wrapText="1"/>
    </xf>
    <xf numFmtId="164" fontId="103" fillId="42" borderId="126" xfId="42" applyNumberFormat="1" applyFont="1" applyFill="1" applyBorder="1" applyAlignment="1">
      <alignment horizontal="right" vertical="top" wrapText="1"/>
    </xf>
    <xf numFmtId="164" fontId="103" fillId="44" borderId="125" xfId="42" applyNumberFormat="1" applyFont="1" applyFill="1" applyBorder="1" applyAlignment="1">
      <alignment horizontal="right" vertical="top" wrapText="1"/>
    </xf>
    <xf numFmtId="164" fontId="103" fillId="44" borderId="126" xfId="42" applyNumberFormat="1" applyFont="1" applyFill="1" applyBorder="1" applyAlignment="1">
      <alignment horizontal="right" vertical="top" wrapText="1"/>
    </xf>
    <xf numFmtId="164" fontId="103" fillId="44" borderId="129" xfId="42" applyNumberFormat="1" applyFont="1" applyFill="1" applyBorder="1" applyAlignment="1">
      <alignment horizontal="right" vertical="top" wrapText="1"/>
    </xf>
    <xf numFmtId="164" fontId="103" fillId="44" borderId="130" xfId="42" applyNumberFormat="1" applyFont="1" applyFill="1" applyBorder="1" applyAlignment="1">
      <alignment horizontal="right" vertical="top" wrapText="1"/>
    </xf>
    <xf numFmtId="164" fontId="103" fillId="44" borderId="189" xfId="42" applyNumberFormat="1" applyFont="1" applyFill="1" applyBorder="1" applyAlignment="1">
      <alignment horizontal="right" vertical="top" wrapText="1"/>
    </xf>
    <xf numFmtId="164" fontId="103" fillId="44" borderId="190" xfId="42" applyNumberFormat="1" applyFont="1" applyFill="1" applyBorder="1" applyAlignment="1">
      <alignment horizontal="right" vertical="top" wrapText="1"/>
    </xf>
    <xf numFmtId="164" fontId="103" fillId="42" borderId="195" xfId="42" applyNumberFormat="1" applyFont="1" applyFill="1" applyBorder="1" applyAlignment="1">
      <alignment horizontal="right" vertical="top" wrapText="1"/>
    </xf>
    <xf numFmtId="164" fontId="103" fillId="42" borderId="196" xfId="42" applyNumberFormat="1" applyFont="1" applyFill="1" applyBorder="1" applyAlignment="1">
      <alignment horizontal="right" vertical="top" wrapText="1"/>
    </xf>
    <xf numFmtId="178" fontId="110" fillId="42" borderId="125" xfId="0" applyNumberFormat="1" applyFont="1" applyFill="1" applyBorder="1" applyAlignment="1">
      <alignment vertical="top" wrapText="1"/>
    </xf>
    <xf numFmtId="178" fontId="110" fillId="42" borderId="126" xfId="0" applyNumberFormat="1" applyFont="1" applyFill="1" applyBorder="1" applyAlignment="1">
      <alignment vertical="top" wrapText="1"/>
    </xf>
    <xf numFmtId="164" fontId="110" fillId="42" borderId="126" xfId="42" applyNumberFormat="1" applyFont="1" applyFill="1" applyBorder="1" applyAlignment="1">
      <alignment horizontal="left" vertical="top" wrapText="1"/>
    </xf>
    <xf numFmtId="164" fontId="103" fillId="44" borderId="129" xfId="42" applyNumberFormat="1" applyFont="1" applyFill="1" applyBorder="1" applyAlignment="1" quotePrefix="1">
      <alignment horizontal="right" vertical="top" wrapText="1"/>
    </xf>
    <xf numFmtId="164" fontId="103" fillId="44" borderId="130" xfId="42" applyNumberFormat="1" applyFont="1" applyFill="1" applyBorder="1" applyAlignment="1" quotePrefix="1">
      <alignment horizontal="right" vertical="top" wrapText="1"/>
    </xf>
    <xf numFmtId="0" fontId="103" fillId="44" borderId="101" xfId="0" applyFont="1" applyFill="1" applyBorder="1" applyAlignment="1">
      <alignment horizontal="center" vertical="center" wrapText="1"/>
    </xf>
    <xf numFmtId="164" fontId="110" fillId="42" borderId="194" xfId="42" applyNumberFormat="1" applyFont="1" applyFill="1" applyBorder="1" applyAlignment="1">
      <alignment horizontal="right" vertical="top" wrapText="1"/>
    </xf>
    <xf numFmtId="164" fontId="103" fillId="42" borderId="46" xfId="42" applyNumberFormat="1" applyFont="1" applyFill="1" applyBorder="1" applyAlignment="1">
      <alignment horizontal="right" vertical="top" wrapText="1"/>
    </xf>
    <xf numFmtId="164" fontId="103" fillId="44" borderId="46" xfId="42" applyNumberFormat="1" applyFont="1" applyFill="1" applyBorder="1" applyAlignment="1">
      <alignment horizontal="right" vertical="top" wrapText="1"/>
    </xf>
    <xf numFmtId="164" fontId="103" fillId="44" borderId="101" xfId="42" applyNumberFormat="1" applyFont="1" applyFill="1" applyBorder="1" applyAlignment="1">
      <alignment horizontal="right" vertical="top" wrapText="1"/>
    </xf>
    <xf numFmtId="164" fontId="110" fillId="42" borderId="101" xfId="42" applyNumberFormat="1" applyFont="1" applyFill="1" applyBorder="1" applyAlignment="1">
      <alignment horizontal="right" vertical="top" wrapText="1"/>
    </xf>
    <xf numFmtId="164" fontId="103" fillId="44" borderId="194" xfId="42" applyNumberFormat="1" applyFont="1" applyFill="1" applyBorder="1" applyAlignment="1">
      <alignment horizontal="right" vertical="top" wrapText="1"/>
    </xf>
    <xf numFmtId="178" fontId="110" fillId="42" borderId="46" xfId="0" applyNumberFormat="1" applyFont="1" applyFill="1" applyBorder="1" applyAlignment="1">
      <alignment vertical="top" wrapText="1"/>
    </xf>
    <xf numFmtId="164" fontId="110" fillId="42" borderId="46" xfId="42" applyNumberFormat="1" applyFont="1" applyFill="1" applyBorder="1" applyAlignment="1">
      <alignment horizontal="left" vertical="top" wrapText="1"/>
    </xf>
    <xf numFmtId="164" fontId="103" fillId="44" borderId="101" xfId="42" applyNumberFormat="1" applyFont="1" applyFill="1" applyBorder="1" applyAlignment="1" quotePrefix="1">
      <alignment horizontal="right" vertical="top" wrapText="1"/>
    </xf>
    <xf numFmtId="164" fontId="110" fillId="42" borderId="151" xfId="42" applyNumberFormat="1" applyFont="1" applyFill="1" applyBorder="1" applyAlignment="1">
      <alignment horizontal="right" vertical="top" wrapText="1"/>
    </xf>
    <xf numFmtId="164" fontId="103" fillId="44" borderId="102" xfId="42" applyNumberFormat="1" applyFont="1" applyFill="1" applyBorder="1" applyAlignment="1">
      <alignment horizontal="center" vertical="center" wrapText="1"/>
    </xf>
    <xf numFmtId="164" fontId="110" fillId="42" borderId="46" xfId="0" applyNumberFormat="1" applyFont="1" applyFill="1" applyBorder="1" applyAlignment="1">
      <alignment horizontal="left" vertical="top" wrapText="1"/>
    </xf>
    <xf numFmtId="164" fontId="110" fillId="42" borderId="101" xfId="0" applyNumberFormat="1" applyFont="1" applyFill="1" applyBorder="1" applyAlignment="1">
      <alignment horizontal="left" vertical="top" wrapText="1"/>
    </xf>
    <xf numFmtId="164" fontId="110" fillId="42" borderId="122" xfId="0" applyNumberFormat="1" applyFont="1" applyFill="1" applyBorder="1" applyAlignment="1">
      <alignment horizontal="left" vertical="top" wrapText="1"/>
    </xf>
    <xf numFmtId="0" fontId="110" fillId="42" borderId="147" xfId="0" applyFont="1" applyFill="1" applyBorder="1" applyAlignment="1">
      <alignment horizontal="left" vertical="top" wrapText="1"/>
    </xf>
    <xf numFmtId="0" fontId="103" fillId="42" borderId="146" xfId="0" applyFont="1" applyFill="1" applyBorder="1" applyAlignment="1">
      <alignment horizontal="left" vertical="top" wrapText="1"/>
    </xf>
    <xf numFmtId="164" fontId="37" fillId="44" borderId="102" xfId="42" applyNumberFormat="1" applyFont="1" applyFill="1" applyBorder="1" applyAlignment="1">
      <alignment horizontal="center" vertical="center" wrapText="1"/>
    </xf>
    <xf numFmtId="0" fontId="39" fillId="42" borderId="181" xfId="0" applyFont="1" applyFill="1" applyBorder="1" applyAlignment="1">
      <alignment vertical="center" wrapText="1"/>
    </xf>
    <xf numFmtId="0" fontId="67" fillId="42" borderId="181" xfId="0" applyFont="1" applyFill="1" applyBorder="1" applyAlignment="1">
      <alignment vertical="center" wrapText="1"/>
    </xf>
    <xf numFmtId="0" fontId="37" fillId="42" borderId="26" xfId="0" applyFont="1" applyFill="1" applyBorder="1" applyAlignment="1">
      <alignment vertical="top" wrapText="1"/>
    </xf>
    <xf numFmtId="164" fontId="37" fillId="42" borderId="116" xfId="0" applyNumberFormat="1" applyFont="1" applyFill="1" applyBorder="1" applyAlignment="1">
      <alignment vertical="top" wrapText="1"/>
    </xf>
    <xf numFmtId="164" fontId="37" fillId="42" borderId="139" xfId="0" applyNumberFormat="1" applyFont="1" applyFill="1" applyBorder="1" applyAlignment="1">
      <alignment vertical="top" wrapText="1"/>
    </xf>
    <xf numFmtId="164" fontId="37" fillId="42" borderId="116" xfId="42" applyNumberFormat="1" applyFont="1" applyFill="1" applyBorder="1" applyAlignment="1">
      <alignment horizontal="justify" vertical="top" wrapText="1"/>
    </xf>
    <xf numFmtId="164" fontId="37" fillId="42" borderId="139" xfId="42" applyNumberFormat="1" applyFont="1" applyFill="1" applyBorder="1" applyAlignment="1">
      <alignment horizontal="justify" vertical="top" wrapText="1"/>
    </xf>
    <xf numFmtId="164" fontId="38" fillId="42" borderId="123" xfId="0" applyNumberFormat="1" applyFont="1" applyFill="1" applyBorder="1" applyAlignment="1">
      <alignment vertical="top" wrapText="1"/>
    </xf>
    <xf numFmtId="164" fontId="38" fillId="42" borderId="123" xfId="42" applyNumberFormat="1" applyFont="1" applyFill="1" applyBorder="1" applyAlignment="1">
      <alignment horizontal="justify" vertical="top" wrapText="1"/>
    </xf>
    <xf numFmtId="164" fontId="38" fillId="42" borderId="122" xfId="42" applyNumberFormat="1" applyFont="1" applyFill="1" applyBorder="1" applyAlignment="1">
      <alignment horizontal="justify" vertical="top" wrapText="1"/>
    </xf>
    <xf numFmtId="164" fontId="38" fillId="42" borderId="156" xfId="0" applyNumberFormat="1" applyFont="1" applyFill="1" applyBorder="1" applyAlignment="1">
      <alignment vertical="top" wrapText="1"/>
    </xf>
    <xf numFmtId="164" fontId="38" fillId="42" borderId="161" xfId="42" applyNumberFormat="1" applyFont="1" applyFill="1" applyBorder="1" applyAlignment="1">
      <alignment horizontal="justify" vertical="top" wrapText="1"/>
    </xf>
    <xf numFmtId="164" fontId="38" fillId="42" borderId="124" xfId="0" applyNumberFormat="1" applyFont="1" applyFill="1" applyBorder="1" applyAlignment="1">
      <alignment vertical="top" wrapText="1"/>
    </xf>
    <xf numFmtId="164" fontId="38" fillId="42" borderId="121" xfId="42" applyNumberFormat="1" applyFont="1" applyFill="1" applyBorder="1" applyAlignment="1">
      <alignment horizontal="justify" vertical="top" wrapText="1"/>
    </xf>
    <xf numFmtId="164" fontId="38" fillId="42" borderId="151" xfId="0" applyNumberFormat="1" applyFont="1" applyFill="1" applyBorder="1" applyAlignment="1">
      <alignment vertical="top" wrapText="1"/>
    </xf>
    <xf numFmtId="164" fontId="38" fillId="42" borderId="150" xfId="42" applyNumberFormat="1" applyFont="1" applyFill="1" applyBorder="1" applyAlignment="1">
      <alignment horizontal="justify" vertical="top" wrapText="1"/>
    </xf>
    <xf numFmtId="164" fontId="38" fillId="42" borderId="121" xfId="0" applyNumberFormat="1" applyFont="1" applyFill="1" applyBorder="1" applyAlignment="1">
      <alignment vertical="top" wrapText="1"/>
    </xf>
    <xf numFmtId="164" fontId="38" fillId="42" borderId="155" xfId="0" applyNumberFormat="1" applyFont="1" applyFill="1" applyBorder="1" applyAlignment="1">
      <alignment vertical="top" wrapText="1"/>
    </xf>
    <xf numFmtId="0" fontId="102" fillId="42" borderId="0" xfId="0" applyFont="1" applyFill="1" applyAlignment="1">
      <alignment vertical="top" wrapText="1"/>
    </xf>
    <xf numFmtId="164" fontId="38" fillId="42" borderId="124" xfId="42" applyNumberFormat="1" applyFont="1" applyFill="1" applyBorder="1" applyAlignment="1">
      <alignment horizontal="justify" vertical="top" wrapText="1"/>
    </xf>
    <xf numFmtId="164" fontId="101" fillId="42" borderId="78" xfId="42" applyNumberFormat="1" applyFont="1" applyFill="1" applyBorder="1" applyAlignment="1">
      <alignment horizontal="justify" vertical="top" wrapText="1"/>
    </xf>
    <xf numFmtId="164" fontId="101" fillId="42" borderId="133" xfId="42" applyNumberFormat="1" applyFont="1" applyFill="1" applyBorder="1" applyAlignment="1">
      <alignment horizontal="justify" vertical="top" wrapText="1"/>
    </xf>
    <xf numFmtId="164" fontId="102" fillId="42" borderId="132" xfId="42" applyNumberFormat="1" applyFont="1" applyFill="1" applyBorder="1" applyAlignment="1">
      <alignment horizontal="justify" vertical="top" wrapText="1"/>
    </xf>
    <xf numFmtId="164" fontId="102" fillId="42" borderId="78" xfId="42" applyNumberFormat="1" applyFont="1" applyFill="1" applyBorder="1" applyAlignment="1">
      <alignment horizontal="justify" vertical="top" wrapText="1"/>
    </xf>
    <xf numFmtId="164" fontId="101" fillId="42" borderId="135" xfId="0" applyNumberFormat="1" applyFont="1" applyFill="1" applyBorder="1" applyAlignment="1">
      <alignment vertical="top" wrapText="1"/>
    </xf>
    <xf numFmtId="164" fontId="101" fillId="42" borderId="197" xfId="0" applyNumberFormat="1" applyFont="1" applyFill="1" applyBorder="1" applyAlignment="1">
      <alignment vertical="top" wrapText="1"/>
    </xf>
    <xf numFmtId="164" fontId="102" fillId="42" borderId="134" xfId="42" applyNumberFormat="1" applyFont="1" applyFill="1" applyBorder="1" applyAlignment="1">
      <alignment horizontal="justify" vertical="top" wrapText="1"/>
    </xf>
    <xf numFmtId="164" fontId="101" fillId="42" borderId="133" xfId="0" applyNumberFormat="1" applyFont="1" applyFill="1" applyBorder="1" applyAlignment="1">
      <alignment vertical="top" wrapText="1"/>
    </xf>
    <xf numFmtId="164" fontId="101" fillId="42" borderId="149" xfId="0" applyNumberFormat="1" applyFont="1" applyFill="1" applyBorder="1" applyAlignment="1">
      <alignment vertical="top" wrapText="1"/>
    </xf>
    <xf numFmtId="164" fontId="37" fillId="43" borderId="183" xfId="42" applyNumberFormat="1" applyFont="1" applyFill="1" applyBorder="1" applyAlignment="1">
      <alignment horizontal="right" vertical="top" wrapText="1"/>
    </xf>
    <xf numFmtId="164" fontId="37" fillId="43" borderId="198" xfId="42" applyNumberFormat="1" applyFont="1" applyFill="1" applyBorder="1" applyAlignment="1">
      <alignment horizontal="right" vertical="top" wrapText="1"/>
    </xf>
    <xf numFmtId="0" fontId="37" fillId="43" borderId="173" xfId="0" applyFont="1" applyFill="1" applyBorder="1" applyAlignment="1">
      <alignment vertical="top" wrapText="1"/>
    </xf>
    <xf numFmtId="0" fontId="37" fillId="43" borderId="11" xfId="0" applyFont="1" applyFill="1" applyBorder="1" applyAlignment="1">
      <alignment horizontal="center" vertical="top" wrapText="1"/>
    </xf>
    <xf numFmtId="164" fontId="37" fillId="43" borderId="154" xfId="42" applyNumberFormat="1" applyFont="1" applyFill="1" applyBorder="1" applyAlignment="1">
      <alignment horizontal="right" vertical="top" wrapText="1"/>
    </xf>
    <xf numFmtId="0" fontId="101" fillId="43" borderId="128" xfId="0" applyFont="1" applyFill="1" applyBorder="1" applyAlignment="1">
      <alignment vertical="top" wrapText="1"/>
    </xf>
    <xf numFmtId="0" fontId="101" fillId="43" borderId="10" xfId="0" applyFont="1" applyFill="1" applyBorder="1" applyAlignment="1">
      <alignment horizontal="left" vertical="top" wrapText="1"/>
    </xf>
    <xf numFmtId="3" fontId="101" fillId="43" borderId="10" xfId="0" applyNumberFormat="1" applyFont="1" applyFill="1" applyBorder="1" applyAlignment="1">
      <alignment horizontal="center" vertical="top" wrapText="1"/>
    </xf>
    <xf numFmtId="0" fontId="102" fillId="43" borderId="10" xfId="0" applyFont="1" applyFill="1" applyBorder="1" applyAlignment="1">
      <alignment horizontal="left" vertical="top" wrapText="1"/>
    </xf>
    <xf numFmtId="164" fontId="101" fillId="43" borderId="130" xfId="42" applyNumberFormat="1" applyFont="1" applyFill="1" applyBorder="1" applyAlignment="1">
      <alignment horizontal="right" vertical="top" wrapText="1"/>
    </xf>
    <xf numFmtId="164" fontId="101" fillId="43" borderId="138" xfId="42" applyNumberFormat="1" applyFont="1" applyFill="1" applyBorder="1" applyAlignment="1">
      <alignment horizontal="right" vertical="top" wrapText="1"/>
    </xf>
    <xf numFmtId="164" fontId="101" fillId="43" borderId="139" xfId="42" applyNumberFormat="1" applyFont="1" applyFill="1" applyBorder="1" applyAlignment="1">
      <alignment horizontal="right" vertical="top" wrapText="1"/>
    </xf>
    <xf numFmtId="164" fontId="101" fillId="43" borderId="10" xfId="42" applyNumberFormat="1" applyFont="1" applyFill="1" applyBorder="1" applyAlignment="1">
      <alignment horizontal="left" vertical="top" wrapText="1"/>
    </xf>
    <xf numFmtId="164" fontId="101" fillId="43" borderId="129" xfId="42" applyNumberFormat="1" applyFont="1" applyFill="1" applyBorder="1" applyAlignment="1">
      <alignment horizontal="justify" vertical="top" wrapText="1"/>
    </xf>
    <xf numFmtId="164" fontId="101" fillId="43" borderId="123" xfId="42" applyNumberFormat="1" applyFont="1" applyFill="1" applyBorder="1" applyAlignment="1">
      <alignment horizontal="left" vertical="top" wrapText="1"/>
    </xf>
    <xf numFmtId="164" fontId="101" fillId="43" borderId="137" xfId="42" applyNumberFormat="1" applyFont="1" applyFill="1" applyBorder="1" applyAlignment="1">
      <alignment horizontal="left" vertical="top" wrapText="1"/>
    </xf>
    <xf numFmtId="0" fontId="101" fillId="43" borderId="199" xfId="0" applyFont="1" applyFill="1" applyBorder="1" applyAlignment="1">
      <alignment vertical="top" wrapText="1"/>
    </xf>
    <xf numFmtId="0" fontId="101" fillId="43" borderId="200" xfId="0" applyFont="1" applyFill="1" applyBorder="1" applyAlignment="1">
      <alignment horizontal="left" vertical="top" wrapText="1"/>
    </xf>
    <xf numFmtId="3" fontId="101" fillId="43" borderId="200" xfId="0" applyNumberFormat="1" applyFont="1" applyFill="1" applyBorder="1" applyAlignment="1">
      <alignment horizontal="center" vertical="top" wrapText="1"/>
    </xf>
    <xf numFmtId="0" fontId="102" fillId="43" borderId="200" xfId="0" applyFont="1" applyFill="1" applyBorder="1" applyAlignment="1">
      <alignment horizontal="left" vertical="top" wrapText="1"/>
    </xf>
    <xf numFmtId="164" fontId="101" fillId="43" borderId="200" xfId="42" applyNumberFormat="1" applyFont="1" applyFill="1" applyBorder="1" applyAlignment="1">
      <alignment horizontal="justify" vertical="top" wrapText="1"/>
    </xf>
    <xf numFmtId="164" fontId="101" fillId="43" borderId="201" xfId="42" applyNumberFormat="1" applyFont="1" applyFill="1" applyBorder="1" applyAlignment="1">
      <alignment horizontal="right" vertical="top" wrapText="1"/>
    </xf>
    <xf numFmtId="164" fontId="101" fillId="43" borderId="200" xfId="42" applyNumberFormat="1" applyFont="1" applyFill="1" applyBorder="1" applyAlignment="1">
      <alignment horizontal="right" vertical="top" wrapText="1"/>
    </xf>
    <xf numFmtId="164" fontId="101" fillId="43" borderId="202" xfId="42" applyNumberFormat="1" applyFont="1" applyFill="1" applyBorder="1" applyAlignment="1">
      <alignment horizontal="justify" vertical="top" wrapText="1"/>
    </xf>
    <xf numFmtId="164" fontId="37" fillId="44" borderId="18" xfId="42" applyNumberFormat="1" applyFont="1" applyFill="1" applyBorder="1" applyAlignment="1">
      <alignment horizontal="center" vertical="center" wrapText="1"/>
    </xf>
    <xf numFmtId="0" fontId="37" fillId="44" borderId="18" xfId="0" applyFont="1" applyFill="1" applyBorder="1" applyAlignment="1">
      <alignment horizontal="center" vertical="center" wrapText="1"/>
    </xf>
    <xf numFmtId="0" fontId="37" fillId="44" borderId="18" xfId="0" applyFont="1" applyFill="1" applyBorder="1" applyAlignment="1">
      <alignment horizontal="center" vertical="top" wrapText="1"/>
    </xf>
    <xf numFmtId="0" fontId="37" fillId="44" borderId="203" xfId="0" applyFont="1" applyFill="1" applyBorder="1" applyAlignment="1">
      <alignment horizontal="center" vertical="top" wrapText="1"/>
    </xf>
    <xf numFmtId="0" fontId="37" fillId="44" borderId="204" xfId="0" applyFont="1" applyFill="1" applyBorder="1" applyAlignment="1">
      <alignment horizontal="center" vertical="top" wrapText="1"/>
    </xf>
    <xf numFmtId="164" fontId="37" fillId="44" borderId="18" xfId="42" applyNumberFormat="1" applyFont="1" applyFill="1" applyBorder="1" applyAlignment="1">
      <alignment horizontal="center" vertical="top" wrapText="1"/>
    </xf>
    <xf numFmtId="0" fontId="37" fillId="44" borderId="205" xfId="0" applyFont="1" applyFill="1" applyBorder="1" applyAlignment="1">
      <alignment horizontal="center" vertical="top" wrapText="1"/>
    </xf>
    <xf numFmtId="164" fontId="37" fillId="44" borderId="102" xfId="42" applyNumberFormat="1" applyFont="1" applyFill="1" applyBorder="1" applyAlignment="1">
      <alignment horizontal="center" vertical="top" wrapText="1"/>
    </xf>
    <xf numFmtId="164" fontId="37" fillId="44" borderId="10" xfId="42" applyNumberFormat="1" applyFont="1" applyFill="1" applyBorder="1" applyAlignment="1">
      <alignment horizontal="center" vertical="top" wrapText="1"/>
    </xf>
    <xf numFmtId="0" fontId="37" fillId="44" borderId="130" xfId="0" applyFont="1" applyFill="1" applyBorder="1" applyAlignment="1">
      <alignment horizontal="center" vertical="top" wrapText="1"/>
    </xf>
    <xf numFmtId="0" fontId="37" fillId="44" borderId="139" xfId="0" applyFont="1" applyFill="1" applyBorder="1" applyAlignment="1">
      <alignment horizontal="center" vertical="top" wrapText="1"/>
    </xf>
    <xf numFmtId="164" fontId="37" fillId="44" borderId="11" xfId="42" applyNumberFormat="1" applyFont="1" applyFill="1" applyBorder="1" applyAlignment="1" quotePrefix="1">
      <alignment horizontal="center" vertical="center" wrapText="1"/>
    </xf>
    <xf numFmtId="0" fontId="37" fillId="44" borderId="11" xfId="0" applyFont="1" applyFill="1" applyBorder="1" applyAlignment="1" quotePrefix="1">
      <alignment horizontal="center" vertical="center" wrapText="1"/>
    </xf>
    <xf numFmtId="0" fontId="38" fillId="44" borderId="11" xfId="0" applyFont="1" applyFill="1" applyBorder="1" applyAlignment="1">
      <alignment horizontal="center" vertical="center" wrapText="1"/>
    </xf>
    <xf numFmtId="0" fontId="38" fillId="44" borderId="22" xfId="0" applyFont="1" applyFill="1" applyBorder="1" applyAlignment="1">
      <alignment horizontal="center" vertical="center" wrapText="1"/>
    </xf>
    <xf numFmtId="0" fontId="121" fillId="42" borderId="0" xfId="0" applyFont="1" applyFill="1" applyBorder="1" applyAlignment="1">
      <alignment/>
    </xf>
    <xf numFmtId="0" fontId="105" fillId="42" borderId="0" xfId="0" applyFont="1" applyFill="1" applyAlignment="1">
      <alignment/>
    </xf>
    <xf numFmtId="0" fontId="117" fillId="42" borderId="0" xfId="0" applyFont="1" applyFill="1" applyAlignment="1">
      <alignment vertical="top" wrapText="1"/>
    </xf>
    <xf numFmtId="164" fontId="114" fillId="42" borderId="0" xfId="0" applyNumberFormat="1" applyFont="1" applyFill="1" applyAlignment="1">
      <alignment vertical="top" wrapText="1"/>
    </xf>
    <xf numFmtId="164" fontId="117" fillId="42" borderId="0" xfId="0" applyNumberFormat="1" applyFont="1" applyFill="1" applyAlignment="1">
      <alignment vertical="top" wrapText="1"/>
    </xf>
    <xf numFmtId="0" fontId="114" fillId="42" borderId="0" xfId="0" applyFont="1" applyFill="1" applyAlignment="1">
      <alignment vertical="top" wrapText="1"/>
    </xf>
    <xf numFmtId="0" fontId="114" fillId="34" borderId="0" xfId="0" applyFont="1" applyFill="1" applyAlignment="1">
      <alignment vertical="top" wrapText="1"/>
    </xf>
    <xf numFmtId="0" fontId="39" fillId="42" borderId="151" xfId="0" applyFont="1" applyFill="1" applyBorder="1" applyAlignment="1">
      <alignment horizontal="left" vertical="top" wrapText="1"/>
    </xf>
    <xf numFmtId="0" fontId="39" fillId="42" borderId="156" xfId="0" applyFont="1" applyFill="1" applyBorder="1" applyAlignment="1">
      <alignment horizontal="left" vertical="top" wrapText="1"/>
    </xf>
    <xf numFmtId="0" fontId="37" fillId="42" borderId="46" xfId="0" applyFont="1" applyFill="1" applyBorder="1" applyAlignment="1">
      <alignment horizontal="left" vertical="top" wrapText="1"/>
    </xf>
    <xf numFmtId="0" fontId="37" fillId="43" borderId="101" xfId="0" applyFont="1" applyFill="1" applyBorder="1" applyAlignment="1">
      <alignment vertical="top" wrapText="1"/>
    </xf>
    <xf numFmtId="0" fontId="38" fillId="42" borderId="151" xfId="0" applyFont="1" applyFill="1" applyBorder="1" applyAlignment="1">
      <alignment horizontal="left" vertical="top" wrapText="1"/>
    </xf>
    <xf numFmtId="0" fontId="38" fillId="42" borderId="46" xfId="0" applyFont="1" applyFill="1" applyBorder="1" applyAlignment="1">
      <alignment horizontal="left" vertical="top" wrapText="1"/>
    </xf>
    <xf numFmtId="0" fontId="38" fillId="34" borderId="151" xfId="0" applyFont="1" applyFill="1" applyBorder="1" applyAlignment="1">
      <alignment horizontal="left" vertical="top" wrapText="1"/>
    </xf>
    <xf numFmtId="0" fontId="38" fillId="42" borderId="159" xfId="0" applyFont="1" applyFill="1" applyBorder="1" applyAlignment="1">
      <alignment horizontal="left" vertical="top" wrapText="1"/>
    </xf>
    <xf numFmtId="0" fontId="38" fillId="34" borderId="159" xfId="0" applyFont="1" applyFill="1" applyBorder="1" applyAlignment="1">
      <alignment horizontal="left" vertical="top" wrapText="1"/>
    </xf>
    <xf numFmtId="0" fontId="38" fillId="42" borderId="156" xfId="0" applyFont="1" applyFill="1" applyBorder="1" applyAlignment="1">
      <alignment horizontal="left" vertical="top" wrapText="1"/>
    </xf>
    <xf numFmtId="0" fontId="37" fillId="43" borderId="194" xfId="0" applyFont="1" applyFill="1" applyBorder="1" applyAlignment="1">
      <alignment vertical="top" wrapText="1"/>
    </xf>
    <xf numFmtId="0" fontId="38" fillId="42" borderId="135" xfId="0" applyFont="1" applyFill="1" applyBorder="1" applyAlignment="1">
      <alignment horizontal="left" vertical="top" wrapText="1"/>
    </xf>
    <xf numFmtId="0" fontId="37" fillId="43" borderId="101" xfId="58" applyFont="1" applyFill="1" applyBorder="1" applyAlignment="1">
      <alignment vertical="top" wrapText="1"/>
      <protection/>
    </xf>
    <xf numFmtId="0" fontId="38" fillId="43" borderId="101" xfId="0" applyFont="1" applyFill="1" applyBorder="1" applyAlignment="1">
      <alignment vertical="top" wrapText="1"/>
    </xf>
    <xf numFmtId="0" fontId="66" fillId="43" borderId="101" xfId="0" applyFont="1" applyFill="1" applyBorder="1" applyAlignment="1" quotePrefix="1">
      <alignment horizontal="left" vertical="top" wrapText="1"/>
    </xf>
    <xf numFmtId="0" fontId="37" fillId="42" borderId="101" xfId="0" applyFont="1" applyFill="1" applyBorder="1" applyAlignment="1">
      <alignment vertical="top" wrapText="1"/>
    </xf>
    <xf numFmtId="0" fontId="37" fillId="42" borderId="151" xfId="0" applyFont="1" applyFill="1" applyBorder="1" applyAlignment="1">
      <alignment vertical="top" wrapText="1"/>
    </xf>
    <xf numFmtId="0" fontId="38" fillId="42" borderId="156" xfId="0" applyFont="1" applyFill="1" applyBorder="1" applyAlignment="1">
      <alignment vertical="top" wrapText="1"/>
    </xf>
    <xf numFmtId="0" fontId="38" fillId="42" borderId="46" xfId="0" applyFont="1" applyFill="1" applyBorder="1" applyAlignment="1">
      <alignment vertical="top" wrapText="1"/>
    </xf>
    <xf numFmtId="0" fontId="38" fillId="42" borderId="151" xfId="0" applyFont="1" applyFill="1" applyBorder="1" applyAlignment="1">
      <alignment vertical="top" wrapText="1"/>
    </xf>
    <xf numFmtId="0" fontId="37" fillId="42" borderId="101" xfId="0" applyFont="1" applyFill="1" applyBorder="1" applyAlignment="1">
      <alignment horizontal="left" vertical="top" wrapText="1"/>
    </xf>
    <xf numFmtId="0" fontId="37" fillId="42" borderId="151" xfId="0" applyFont="1" applyFill="1" applyBorder="1" applyAlignment="1">
      <alignment horizontal="left" vertical="top" wrapText="1"/>
    </xf>
    <xf numFmtId="164" fontId="101" fillId="43" borderId="101" xfId="42" applyNumberFormat="1" applyFont="1" applyFill="1" applyBorder="1" applyAlignment="1">
      <alignment horizontal="justify" vertical="top" wrapText="1"/>
    </xf>
    <xf numFmtId="164" fontId="101" fillId="43" borderId="206" xfId="42" applyNumberFormat="1" applyFont="1" applyFill="1" applyBorder="1" applyAlignment="1">
      <alignment horizontal="justify" vertical="top" wrapText="1"/>
    </xf>
    <xf numFmtId="164" fontId="101" fillId="43" borderId="102" xfId="42" applyNumberFormat="1" applyFont="1" applyFill="1" applyBorder="1" applyAlignment="1">
      <alignment horizontal="justify" vertical="top" wrapText="1"/>
    </xf>
    <xf numFmtId="164" fontId="38" fillId="43" borderId="129" xfId="42" applyNumberFormat="1" applyFont="1" applyFill="1" applyBorder="1" applyAlignment="1">
      <alignment horizontal="left" vertical="top" wrapText="1"/>
    </xf>
    <xf numFmtId="0" fontId="37" fillId="42" borderId="176" xfId="0" applyFont="1" applyFill="1" applyBorder="1" applyAlignment="1">
      <alignment vertical="top" wrapText="1"/>
    </xf>
    <xf numFmtId="164" fontId="101" fillId="43" borderId="207" xfId="42" applyNumberFormat="1" applyFont="1" applyFill="1" applyBorder="1" applyAlignment="1">
      <alignment horizontal="justify" vertical="top" wrapText="1"/>
    </xf>
    <xf numFmtId="0" fontId="37" fillId="42" borderId="208" xfId="0" applyFont="1" applyFill="1" applyBorder="1" applyAlignment="1">
      <alignment vertical="top" wrapText="1"/>
    </xf>
    <xf numFmtId="0" fontId="37" fillId="34" borderId="176" xfId="0" applyFont="1" applyFill="1" applyBorder="1" applyAlignment="1">
      <alignment vertical="top" wrapText="1"/>
    </xf>
    <xf numFmtId="3" fontId="37" fillId="42" borderId="176" xfId="0" applyNumberFormat="1" applyFont="1" applyFill="1" applyBorder="1" applyAlignment="1">
      <alignment vertical="top" wrapText="1"/>
    </xf>
    <xf numFmtId="3" fontId="37" fillId="42" borderId="208" xfId="0" applyNumberFormat="1" applyFont="1" applyFill="1" applyBorder="1" applyAlignment="1">
      <alignment vertical="top" wrapText="1"/>
    </xf>
    <xf numFmtId="164" fontId="37" fillId="43" borderId="209" xfId="42" applyNumberFormat="1" applyFont="1" applyFill="1" applyBorder="1" applyAlignment="1">
      <alignment horizontal="right" vertical="top" wrapText="1"/>
    </xf>
    <xf numFmtId="0" fontId="37" fillId="42" borderId="19" xfId="0" applyFont="1" applyFill="1" applyBorder="1" applyAlignment="1">
      <alignment vertical="top" wrapText="1"/>
    </xf>
    <xf numFmtId="164" fontId="37" fillId="43" borderId="210" xfId="42" applyNumberFormat="1" applyFont="1" applyFill="1" applyBorder="1" applyAlignment="1">
      <alignment horizontal="right" vertical="top" wrapText="1"/>
    </xf>
    <xf numFmtId="164" fontId="103" fillId="42" borderId="139" xfId="42" applyNumberFormat="1" applyFont="1" applyFill="1" applyBorder="1" applyAlignment="1">
      <alignment horizontal="left" vertical="top" wrapText="1"/>
    </xf>
    <xf numFmtId="164" fontId="103" fillId="42" borderId="154" xfId="42" applyNumberFormat="1" applyFont="1" applyFill="1" applyBorder="1" applyAlignment="1">
      <alignment horizontal="right" vertical="top" wrapText="1"/>
    </xf>
    <xf numFmtId="164" fontId="102" fillId="42" borderId="15" xfId="42" applyNumberFormat="1" applyFont="1" applyFill="1" applyBorder="1" applyAlignment="1">
      <alignment vertical="top" wrapText="1"/>
    </xf>
    <xf numFmtId="164" fontId="38" fillId="43" borderId="166" xfId="42" applyNumberFormat="1" applyFont="1" applyFill="1" applyBorder="1" applyAlignment="1">
      <alignment horizontal="right" vertical="top" wrapText="1"/>
    </xf>
    <xf numFmtId="164" fontId="38" fillId="43" borderId="22" xfId="42" applyNumberFormat="1" applyFont="1" applyFill="1" applyBorder="1" applyAlignment="1">
      <alignment horizontal="right" vertical="top" wrapText="1"/>
    </xf>
    <xf numFmtId="164" fontId="38" fillId="43" borderId="198" xfId="42" applyNumberFormat="1" applyFont="1" applyFill="1" applyBorder="1" applyAlignment="1">
      <alignment horizontal="right" vertical="top" wrapText="1"/>
    </xf>
    <xf numFmtId="0" fontId="38" fillId="42" borderId="15" xfId="0" applyFont="1" applyFill="1" applyBorder="1" applyAlignment="1">
      <alignment vertical="top" wrapText="1"/>
    </xf>
    <xf numFmtId="164" fontId="101" fillId="43" borderId="139" xfId="42" applyNumberFormat="1" applyFont="1" applyFill="1" applyBorder="1" applyAlignment="1">
      <alignment horizontal="left" vertical="top" wrapText="1"/>
    </xf>
    <xf numFmtId="164" fontId="101" fillId="43" borderId="200" xfId="42" applyNumberFormat="1" applyFont="1" applyFill="1" applyBorder="1" applyAlignment="1">
      <alignment horizontal="left" vertical="top" wrapText="1"/>
    </xf>
    <xf numFmtId="164" fontId="101" fillId="43" borderId="200" xfId="0" applyNumberFormat="1" applyFont="1" applyFill="1" applyBorder="1" applyAlignment="1">
      <alignment horizontal="left" vertical="top" wrapText="1"/>
    </xf>
    <xf numFmtId="164" fontId="101" fillId="43" borderId="202" xfId="42" applyNumberFormat="1" applyFont="1" applyFill="1" applyBorder="1" applyAlignment="1">
      <alignment horizontal="left" vertical="top" wrapText="1"/>
    </xf>
    <xf numFmtId="0" fontId="37" fillId="44" borderId="101" xfId="0" applyFont="1" applyFill="1" applyBorder="1" applyAlignment="1">
      <alignment horizontal="center" vertical="center" wrapText="1"/>
    </xf>
    <xf numFmtId="164" fontId="37" fillId="44" borderId="129" xfId="42" applyNumberFormat="1" applyFont="1" applyFill="1" applyBorder="1" applyAlignment="1">
      <alignment horizontal="center" vertical="center" wrapText="1"/>
    </xf>
    <xf numFmtId="0" fontId="37" fillId="44" borderId="130" xfId="0" applyFont="1" applyFill="1" applyBorder="1" applyAlignment="1">
      <alignment horizontal="center" vertical="center" wrapText="1"/>
    </xf>
    <xf numFmtId="0" fontId="37" fillId="44" borderId="129" xfId="0" applyFont="1" applyFill="1" applyBorder="1" applyAlignment="1">
      <alignment horizontal="center" vertical="center" wrapText="1"/>
    </xf>
    <xf numFmtId="0" fontId="102" fillId="43" borderId="128" xfId="0" applyFont="1" applyFill="1" applyBorder="1" applyAlignment="1">
      <alignment vertical="top" wrapText="1"/>
    </xf>
    <xf numFmtId="3" fontId="102" fillId="43" borderId="10" xfId="0" applyNumberFormat="1" applyFont="1" applyFill="1" applyBorder="1" applyAlignment="1">
      <alignment horizontal="center" vertical="top" wrapText="1"/>
    </xf>
    <xf numFmtId="164" fontId="102" fillId="43" borderId="101" xfId="42" applyNumberFormat="1" applyFont="1" applyFill="1" applyBorder="1" applyAlignment="1">
      <alignment horizontal="justify" vertical="top" wrapText="1"/>
    </xf>
    <xf numFmtId="164" fontId="101" fillId="43" borderId="101" xfId="42" applyNumberFormat="1" applyFont="1" applyFill="1" applyBorder="1" applyAlignment="1">
      <alignment horizontal="right" vertical="top" wrapText="1"/>
    </xf>
    <xf numFmtId="164" fontId="102" fillId="43" borderId="10" xfId="42" applyNumberFormat="1" applyFont="1" applyFill="1" applyBorder="1" applyAlignment="1">
      <alignment horizontal="left" vertical="top" wrapText="1"/>
    </xf>
    <xf numFmtId="164" fontId="101" fillId="43" borderId="130" xfId="42" applyNumberFormat="1" applyFont="1" applyFill="1" applyBorder="1" applyAlignment="1">
      <alignment horizontal="justify" vertical="top" wrapText="1"/>
    </xf>
    <xf numFmtId="164" fontId="101" fillId="43" borderId="207" xfId="42" applyNumberFormat="1" applyFont="1" applyFill="1" applyBorder="1" applyAlignment="1">
      <alignment horizontal="left" vertical="top" wrapText="1"/>
    </xf>
    <xf numFmtId="164" fontId="101" fillId="43" borderId="206" xfId="0" applyNumberFormat="1" applyFont="1" applyFill="1" applyBorder="1" applyAlignment="1">
      <alignment horizontal="left" vertical="top" wrapText="1"/>
    </xf>
    <xf numFmtId="164" fontId="101" fillId="43" borderId="211" xfId="42" applyNumberFormat="1" applyFont="1" applyFill="1" applyBorder="1" applyAlignment="1">
      <alignment horizontal="left" vertical="top" wrapText="1"/>
    </xf>
    <xf numFmtId="164" fontId="101" fillId="43" borderId="212" xfId="42" applyNumberFormat="1" applyFont="1" applyFill="1" applyBorder="1" applyAlignment="1">
      <alignment horizontal="left" vertical="top" wrapText="1"/>
    </xf>
    <xf numFmtId="164" fontId="101" fillId="43" borderId="213" xfId="42" applyNumberFormat="1" applyFont="1" applyFill="1" applyBorder="1" applyAlignment="1">
      <alignment horizontal="left" vertical="top" wrapText="1"/>
    </xf>
    <xf numFmtId="164" fontId="101" fillId="43" borderId="214" xfId="42" applyNumberFormat="1" applyFont="1" applyFill="1" applyBorder="1" applyAlignment="1">
      <alignment horizontal="left" vertical="top" wrapText="1"/>
    </xf>
    <xf numFmtId="164" fontId="103" fillId="44" borderId="129" xfId="42" applyNumberFormat="1" applyFont="1" applyFill="1" applyBorder="1" applyAlignment="1">
      <alignment horizontal="center" vertical="center" wrapText="1"/>
    </xf>
    <xf numFmtId="0" fontId="103" fillId="44" borderId="130" xfId="0" applyFont="1" applyFill="1" applyBorder="1" applyAlignment="1">
      <alignment horizontal="center" vertical="center" wrapText="1"/>
    </xf>
    <xf numFmtId="0" fontId="103" fillId="44" borderId="129" xfId="0" applyFont="1" applyFill="1" applyBorder="1" applyAlignment="1">
      <alignment horizontal="center" vertical="center" wrapText="1"/>
    </xf>
    <xf numFmtId="0" fontId="103" fillId="44" borderId="102" xfId="0" applyFont="1" applyFill="1" applyBorder="1" applyAlignment="1">
      <alignment horizontal="center" vertical="center" wrapText="1"/>
    </xf>
    <xf numFmtId="164" fontId="103" fillId="44" borderId="10" xfId="42" applyNumberFormat="1" applyFont="1" applyFill="1" applyBorder="1" applyAlignment="1" quotePrefix="1">
      <alignment horizontal="center" vertical="center" wrapText="1"/>
    </xf>
    <xf numFmtId="0" fontId="103" fillId="44" borderId="10" xfId="0" applyFont="1" applyFill="1" applyBorder="1" applyAlignment="1" quotePrefix="1">
      <alignment horizontal="center" vertical="center" wrapText="1"/>
    </xf>
    <xf numFmtId="164" fontId="110" fillId="7" borderId="10" xfId="0" applyNumberFormat="1" applyFont="1" applyFill="1" applyBorder="1" applyAlignment="1">
      <alignment vertical="top"/>
    </xf>
    <xf numFmtId="164" fontId="101" fillId="7" borderId="10" xfId="0" applyNumberFormat="1" applyFont="1" applyFill="1" applyBorder="1" applyAlignment="1">
      <alignment vertical="top"/>
    </xf>
    <xf numFmtId="164" fontId="110" fillId="7" borderId="10" xfId="0" applyNumberFormat="1" applyFont="1" applyFill="1" applyBorder="1" applyAlignment="1">
      <alignment vertical="top" wrapText="1"/>
    </xf>
    <xf numFmtId="164" fontId="101" fillId="7" borderId="10" xfId="42" applyNumberFormat="1" applyFont="1" applyFill="1" applyBorder="1" applyAlignment="1">
      <alignment horizontal="left" vertical="top" wrapText="1"/>
    </xf>
    <xf numFmtId="164" fontId="110" fillId="43" borderId="10" xfId="0" applyNumberFormat="1" applyFont="1" applyFill="1" applyBorder="1" applyAlignment="1">
      <alignment vertical="top" wrapText="1"/>
    </xf>
    <xf numFmtId="164" fontId="101" fillId="43" borderId="215" xfId="42" applyNumberFormat="1" applyFont="1" applyFill="1" applyBorder="1" applyAlignment="1">
      <alignment horizontal="left" vertical="top" wrapText="1"/>
    </xf>
    <xf numFmtId="164" fontId="101" fillId="43" borderId="215" xfId="42" applyNumberFormat="1" applyFont="1" applyFill="1" applyBorder="1" applyAlignment="1">
      <alignment horizontal="justify" vertical="top" wrapText="1"/>
    </xf>
    <xf numFmtId="164" fontId="101" fillId="43" borderId="216" xfId="42" applyNumberFormat="1" applyFont="1" applyFill="1" applyBorder="1" applyAlignment="1">
      <alignment horizontal="justify" vertical="top" wrapText="1"/>
    </xf>
    <xf numFmtId="164" fontId="102" fillId="43" borderId="217" xfId="42" applyNumberFormat="1" applyFont="1" applyFill="1" applyBorder="1" applyAlignment="1">
      <alignment horizontal="justify" vertical="top" wrapText="1"/>
    </xf>
    <xf numFmtId="164" fontId="102" fillId="43" borderId="215" xfId="42" applyNumberFormat="1" applyFont="1" applyFill="1" applyBorder="1" applyAlignment="1">
      <alignment horizontal="justify" vertical="top" wrapText="1"/>
    </xf>
    <xf numFmtId="164" fontId="101" fillId="43" borderId="218" xfId="42" applyNumberFormat="1" applyFont="1" applyFill="1" applyBorder="1" applyAlignment="1">
      <alignment horizontal="justify" vertical="top" wrapText="1"/>
    </xf>
    <xf numFmtId="164" fontId="101" fillId="43" borderId="216" xfId="0" applyNumberFormat="1" applyFont="1" applyFill="1" applyBorder="1" applyAlignment="1">
      <alignment vertical="top" wrapText="1"/>
    </xf>
    <xf numFmtId="164" fontId="102" fillId="43" borderId="219" xfId="42" applyNumberFormat="1" applyFont="1" applyFill="1" applyBorder="1" applyAlignment="1">
      <alignment horizontal="justify" vertical="top" wrapText="1"/>
    </xf>
    <xf numFmtId="164" fontId="101" fillId="43" borderId="217" xfId="42" applyNumberFormat="1" applyFont="1" applyFill="1" applyBorder="1" applyAlignment="1">
      <alignment horizontal="justify" vertical="top" wrapText="1"/>
    </xf>
    <xf numFmtId="164" fontId="101" fillId="43" borderId="220" xfId="0" applyNumberFormat="1" applyFont="1" applyFill="1" applyBorder="1" applyAlignment="1">
      <alignment vertical="top" wrapText="1"/>
    </xf>
    <xf numFmtId="9" fontId="37" fillId="42" borderId="0" xfId="0" applyNumberFormat="1" applyFont="1" applyFill="1" applyBorder="1" applyAlignment="1">
      <alignment vertical="top" wrapText="1"/>
    </xf>
    <xf numFmtId="164" fontId="38" fillId="42" borderId="151" xfId="42" applyNumberFormat="1" applyFont="1" applyFill="1" applyBorder="1" applyAlignment="1">
      <alignment horizontal="justify" vertical="top" wrapText="1"/>
    </xf>
    <xf numFmtId="164" fontId="38" fillId="42" borderId="137" xfId="42" applyNumberFormat="1" applyFont="1" applyFill="1" applyBorder="1" applyAlignment="1">
      <alignment horizontal="justify" vertical="top" wrapText="1"/>
    </xf>
    <xf numFmtId="164" fontId="101" fillId="42" borderId="135" xfId="42" applyNumberFormat="1" applyFont="1" applyFill="1" applyBorder="1" applyAlignment="1">
      <alignment horizontal="left" vertical="top" wrapText="1"/>
    </xf>
    <xf numFmtId="164" fontId="101" fillId="42" borderId="132" xfId="42" applyNumberFormat="1" applyFont="1" applyFill="1" applyBorder="1" applyAlignment="1">
      <alignment horizontal="justify" vertical="top" wrapText="1"/>
    </xf>
    <xf numFmtId="164" fontId="101" fillId="42" borderId="78" xfId="0" applyNumberFormat="1" applyFont="1" applyFill="1" applyBorder="1" applyAlignment="1">
      <alignment vertical="top" wrapText="1"/>
    </xf>
    <xf numFmtId="164" fontId="101" fillId="42" borderId="149" xfId="42" applyNumberFormat="1" applyFont="1" applyFill="1" applyBorder="1" applyAlignment="1">
      <alignment horizontal="justify" vertical="top" wrapText="1"/>
    </xf>
    <xf numFmtId="164" fontId="101" fillId="43" borderId="217" xfId="0" applyNumberFormat="1" applyFont="1" applyFill="1" applyBorder="1" applyAlignment="1">
      <alignment vertical="top" wrapText="1"/>
    </xf>
    <xf numFmtId="164" fontId="101" fillId="43" borderId="215" xfId="0" applyNumberFormat="1" applyFont="1" applyFill="1" applyBorder="1" applyAlignment="1">
      <alignment vertical="top" wrapText="1"/>
    </xf>
    <xf numFmtId="164" fontId="101" fillId="43" borderId="221" xfId="42" applyNumberFormat="1" applyFont="1" applyFill="1" applyBorder="1" applyAlignment="1">
      <alignment horizontal="justify" vertical="top" wrapText="1"/>
    </xf>
    <xf numFmtId="0" fontId="114" fillId="42" borderId="0" xfId="0" applyFont="1" applyFill="1" applyBorder="1" applyAlignment="1">
      <alignment vertical="top" wrapText="1"/>
    </xf>
    <xf numFmtId="164" fontId="114" fillId="42" borderId="0" xfId="42" applyNumberFormat="1" applyFont="1" applyFill="1" applyAlignment="1">
      <alignment vertical="top" wrapText="1"/>
    </xf>
    <xf numFmtId="164" fontId="114" fillId="42" borderId="0" xfId="42" applyNumberFormat="1" applyFont="1" applyFill="1" applyBorder="1" applyAlignment="1">
      <alignment vertical="top" wrapText="1"/>
    </xf>
    <xf numFmtId="164" fontId="117" fillId="42" borderId="0" xfId="0" applyNumberFormat="1" applyFont="1" applyFill="1" applyBorder="1" applyAlignment="1">
      <alignment vertical="top" wrapText="1"/>
    </xf>
    <xf numFmtId="164" fontId="37" fillId="44" borderId="10" xfId="42" applyNumberFormat="1" applyFont="1" applyFill="1" applyBorder="1" applyAlignment="1" quotePrefix="1">
      <alignment horizontal="center" vertical="center" wrapText="1"/>
    </xf>
    <xf numFmtId="0" fontId="37" fillId="44" borderId="11" xfId="0" applyFont="1" applyFill="1" applyBorder="1" applyAlignment="1">
      <alignment horizontal="center" vertical="center" wrapText="1"/>
    </xf>
    <xf numFmtId="0" fontId="37" fillId="44" borderId="15" xfId="0" applyFont="1" applyFill="1" applyBorder="1" applyAlignment="1">
      <alignment horizontal="center" vertical="center" wrapText="1"/>
    </xf>
    <xf numFmtId="0" fontId="37" fillId="44" borderId="10" xfId="0" applyFont="1" applyFill="1" applyBorder="1" applyAlignment="1" quotePrefix="1">
      <alignment horizontal="center" vertical="center" wrapText="1"/>
    </xf>
    <xf numFmtId="0" fontId="37" fillId="44" borderId="22" xfId="0" applyFont="1" applyFill="1" applyBorder="1" applyAlignment="1">
      <alignment horizontal="center" vertical="center" wrapText="1"/>
    </xf>
    <xf numFmtId="0" fontId="38" fillId="42" borderId="101" xfId="0" applyFont="1" applyFill="1" applyBorder="1" applyAlignment="1">
      <alignment horizontal="left" vertical="top" wrapText="1"/>
    </xf>
    <xf numFmtId="0" fontId="38" fillId="43" borderId="194" xfId="0" applyFont="1" applyFill="1" applyBorder="1" applyAlignment="1">
      <alignment vertical="top" wrapText="1"/>
    </xf>
    <xf numFmtId="3" fontId="37" fillId="43" borderId="176" xfId="0" applyNumberFormat="1" applyFont="1" applyFill="1" applyBorder="1" applyAlignment="1">
      <alignment vertical="top" wrapText="1"/>
    </xf>
    <xf numFmtId="164" fontId="102" fillId="42" borderId="119" xfId="42" applyNumberFormat="1" applyFont="1" applyFill="1" applyBorder="1" applyAlignment="1">
      <alignment horizontal="left" vertical="top" wrapText="1"/>
    </xf>
    <xf numFmtId="0" fontId="38" fillId="43" borderId="87" xfId="0" applyFont="1" applyFill="1" applyBorder="1" applyAlignment="1">
      <alignment vertical="top" wrapText="1"/>
    </xf>
    <xf numFmtId="0" fontId="38" fillId="43" borderId="116" xfId="0" applyFont="1" applyFill="1" applyBorder="1" applyAlignment="1">
      <alignment vertical="top" wrapText="1"/>
    </xf>
    <xf numFmtId="164" fontId="38" fillId="43" borderId="20" xfId="42" applyNumberFormat="1" applyFont="1" applyFill="1" applyBorder="1" applyAlignment="1">
      <alignment horizontal="right" vertical="top" wrapText="1"/>
    </xf>
    <xf numFmtId="164" fontId="38" fillId="43" borderId="14" xfId="42" applyNumberFormat="1" applyFont="1" applyFill="1" applyBorder="1" applyAlignment="1">
      <alignment horizontal="right" vertical="top" wrapText="1"/>
    </xf>
    <xf numFmtId="164" fontId="38" fillId="43" borderId="183" xfId="42" applyNumberFormat="1" applyFont="1" applyFill="1" applyBorder="1" applyAlignment="1">
      <alignment horizontal="right" vertical="top" wrapText="1"/>
    </xf>
    <xf numFmtId="164" fontId="38" fillId="43" borderId="116" xfId="42" applyNumberFormat="1" applyFont="1" applyFill="1" applyBorder="1" applyAlignment="1">
      <alignment horizontal="right" vertical="top" wrapText="1"/>
    </xf>
    <xf numFmtId="164" fontId="38" fillId="43" borderId="222" xfId="42" applyNumberFormat="1" applyFont="1" applyFill="1" applyBorder="1" applyAlignment="1">
      <alignment horizontal="right" vertical="top" wrapText="1"/>
    </xf>
    <xf numFmtId="164" fontId="38" fillId="43" borderId="223" xfId="42" applyNumberFormat="1" applyFont="1" applyFill="1" applyBorder="1" applyAlignment="1">
      <alignment horizontal="right" vertical="top" wrapText="1"/>
    </xf>
    <xf numFmtId="0" fontId="101" fillId="43" borderId="138" xfId="0" applyFont="1" applyFill="1" applyBorder="1" applyAlignment="1">
      <alignment vertical="top" wrapText="1"/>
    </xf>
    <xf numFmtId="0" fontId="101" fillId="43" borderId="224" xfId="0" applyFont="1" applyFill="1" applyBorder="1" applyAlignment="1">
      <alignment vertical="top" wrapText="1"/>
    </xf>
    <xf numFmtId="164" fontId="37" fillId="42" borderId="46" xfId="0" applyNumberFormat="1" applyFont="1" applyFill="1" applyBorder="1" applyAlignment="1">
      <alignment horizontal="left" vertical="top" wrapText="1"/>
    </xf>
    <xf numFmtId="164" fontId="37" fillId="42" borderId="151" xfId="0" applyNumberFormat="1" applyFont="1" applyFill="1" applyBorder="1" applyAlignment="1">
      <alignment horizontal="left" vertical="top" wrapText="1"/>
    </xf>
    <xf numFmtId="164" fontId="37" fillId="42" borderId="101" xfId="0" applyNumberFormat="1" applyFont="1" applyFill="1" applyBorder="1" applyAlignment="1">
      <alignment horizontal="left" vertical="top" wrapText="1"/>
    </xf>
    <xf numFmtId="164" fontId="37" fillId="42" borderId="156" xfId="0" applyNumberFormat="1" applyFont="1" applyFill="1" applyBorder="1" applyAlignment="1">
      <alignment horizontal="right" vertical="top" wrapText="1"/>
    </xf>
    <xf numFmtId="164" fontId="37" fillId="42" borderId="156" xfId="0" applyNumberFormat="1" applyFont="1" applyFill="1" applyBorder="1" applyAlignment="1">
      <alignment horizontal="left" vertical="top" wrapText="1"/>
    </xf>
    <xf numFmtId="164" fontId="101" fillId="43" borderId="102" xfId="42" applyNumberFormat="1" applyFont="1" applyFill="1" applyBorder="1" applyAlignment="1">
      <alignment horizontal="left" vertical="top" wrapText="1"/>
    </xf>
    <xf numFmtId="164" fontId="101" fillId="43" borderId="129" xfId="42" applyNumberFormat="1" applyFont="1" applyFill="1" applyBorder="1" applyAlignment="1">
      <alignment horizontal="left" vertical="top" wrapText="1"/>
    </xf>
    <xf numFmtId="164" fontId="101" fillId="43" borderId="130" xfId="42" applyNumberFormat="1" applyFont="1" applyFill="1" applyBorder="1" applyAlignment="1">
      <alignment horizontal="left" vertical="top" wrapText="1"/>
    </xf>
    <xf numFmtId="164" fontId="101" fillId="43" borderId="201" xfId="42" applyNumberFormat="1" applyFont="1" applyFill="1" applyBorder="1" applyAlignment="1">
      <alignment horizontal="left" vertical="top" wrapText="1"/>
    </xf>
    <xf numFmtId="164" fontId="101" fillId="43" borderId="187" xfId="42" applyNumberFormat="1" applyFont="1" applyFill="1" applyBorder="1" applyAlignment="1">
      <alignment horizontal="left" vertical="top" wrapText="1"/>
    </xf>
    <xf numFmtId="164" fontId="37" fillId="44" borderId="204" xfId="42" applyNumberFormat="1" applyFont="1" applyFill="1" applyBorder="1" applyAlignment="1">
      <alignment horizontal="center" vertical="center" wrapText="1"/>
    </xf>
    <xf numFmtId="164" fontId="37" fillId="44" borderId="129" xfId="42" applyNumberFormat="1" applyFont="1" applyFill="1" applyBorder="1" applyAlignment="1">
      <alignment horizontal="center" vertical="top" wrapText="1"/>
    </xf>
    <xf numFmtId="164" fontId="102" fillId="43" borderId="10" xfId="42" applyNumberFormat="1" applyFont="1" applyFill="1" applyBorder="1" applyAlignment="1">
      <alignment horizontal="justify" vertical="top" wrapText="1"/>
    </xf>
    <xf numFmtId="164" fontId="101" fillId="43" borderId="138" xfId="42" applyNumberFormat="1" applyFont="1" applyFill="1" applyBorder="1" applyAlignment="1">
      <alignment horizontal="left" vertical="top" wrapText="1"/>
    </xf>
    <xf numFmtId="0" fontId="102" fillId="34" borderId="0" xfId="0" applyFont="1" applyFill="1" applyBorder="1" applyAlignment="1">
      <alignment vertical="top" wrapText="1"/>
    </xf>
    <xf numFmtId="164" fontId="101" fillId="34" borderId="0" xfId="42" applyNumberFormat="1" applyFont="1" applyFill="1" applyBorder="1" applyAlignment="1">
      <alignment horizontal="right" vertical="top" wrapText="1"/>
    </xf>
    <xf numFmtId="0" fontId="101" fillId="43" borderId="138" xfId="0" applyFont="1" applyFill="1" applyBorder="1" applyAlignment="1">
      <alignment/>
    </xf>
    <xf numFmtId="164" fontId="102" fillId="43" borderId="129" xfId="42" applyNumberFormat="1" applyFont="1" applyFill="1" applyBorder="1" applyAlignment="1">
      <alignment horizontal="left" vertical="top" wrapText="1"/>
    </xf>
    <xf numFmtId="164" fontId="102" fillId="43" borderId="102" xfId="42" applyNumberFormat="1" applyFont="1" applyFill="1" applyBorder="1" applyAlignment="1">
      <alignment horizontal="left" vertical="top" wrapText="1"/>
    </xf>
    <xf numFmtId="164" fontId="102" fillId="42" borderId="0" xfId="42" applyNumberFormat="1" applyFont="1" applyFill="1" applyBorder="1" applyAlignment="1">
      <alignment horizontal="left" vertical="top" wrapText="1"/>
    </xf>
    <xf numFmtId="164" fontId="101" fillId="34" borderId="0" xfId="0" applyNumberFormat="1" applyFont="1" applyFill="1" applyBorder="1" applyAlignment="1">
      <alignment vertical="top" wrapText="1"/>
    </xf>
    <xf numFmtId="164" fontId="37" fillId="42" borderId="183" xfId="0" applyNumberFormat="1" applyFont="1" applyFill="1" applyBorder="1" applyAlignment="1">
      <alignment vertical="top" wrapText="1"/>
    </xf>
    <xf numFmtId="0" fontId="102" fillId="34" borderId="0" xfId="0" applyFont="1" applyFill="1" applyAlignment="1">
      <alignment vertical="top" wrapText="1"/>
    </xf>
    <xf numFmtId="164" fontId="101" fillId="42" borderId="225" xfId="42" applyNumberFormat="1" applyFont="1" applyFill="1" applyBorder="1" applyAlignment="1">
      <alignment horizontal="left" vertical="top" wrapText="1"/>
    </xf>
    <xf numFmtId="164" fontId="101" fillId="42" borderId="225" xfId="42" applyNumberFormat="1" applyFont="1" applyFill="1" applyBorder="1" applyAlignment="1">
      <alignment horizontal="justify" vertical="top" wrapText="1"/>
    </xf>
    <xf numFmtId="164" fontId="101" fillId="42" borderId="226" xfId="42" applyNumberFormat="1" applyFont="1" applyFill="1" applyBorder="1" applyAlignment="1">
      <alignment horizontal="left" vertical="top" wrapText="1"/>
    </xf>
    <xf numFmtId="164" fontId="101" fillId="42" borderId="227" xfId="42" applyNumberFormat="1" applyFont="1" applyFill="1" applyBorder="1" applyAlignment="1">
      <alignment horizontal="justify" vertical="top" wrapText="1"/>
    </xf>
    <xf numFmtId="164" fontId="101" fillId="42" borderId="226" xfId="42" applyNumberFormat="1" applyFont="1" applyFill="1" applyBorder="1" applyAlignment="1">
      <alignment horizontal="justify" vertical="top" wrapText="1"/>
    </xf>
    <xf numFmtId="164" fontId="101" fillId="42" borderId="227" xfId="42" applyNumberFormat="1" applyFont="1" applyFill="1" applyBorder="1" applyAlignment="1">
      <alignment horizontal="left" vertical="top" wrapText="1"/>
    </xf>
    <xf numFmtId="164" fontId="101" fillId="42" borderId="133" xfId="42" applyNumberFormat="1" applyFont="1" applyFill="1" applyBorder="1" applyAlignment="1">
      <alignment horizontal="left" vertical="top" wrapText="1"/>
    </xf>
    <xf numFmtId="164" fontId="101" fillId="42" borderId="226" xfId="0" applyNumberFormat="1" applyFont="1" applyFill="1" applyBorder="1" applyAlignment="1">
      <alignment vertical="top" wrapText="1"/>
    </xf>
    <xf numFmtId="164" fontId="101" fillId="42" borderId="228" xfId="0" applyNumberFormat="1" applyFont="1" applyFill="1" applyBorder="1" applyAlignment="1">
      <alignment vertical="top" wrapText="1"/>
    </xf>
    <xf numFmtId="164" fontId="101" fillId="43" borderId="215" xfId="0" applyNumberFormat="1" applyFont="1" applyFill="1" applyBorder="1" applyAlignment="1">
      <alignment horizontal="left" vertical="top" wrapText="1"/>
    </xf>
    <xf numFmtId="164" fontId="101" fillId="43" borderId="216" xfId="0" applyNumberFormat="1" applyFont="1" applyFill="1" applyBorder="1" applyAlignment="1">
      <alignment horizontal="left" vertical="top" wrapText="1"/>
    </xf>
    <xf numFmtId="164" fontId="102" fillId="43" borderId="180" xfId="0" applyNumberFormat="1" applyFont="1" applyFill="1" applyBorder="1" applyAlignment="1">
      <alignment vertical="top" wrapText="1"/>
    </xf>
    <xf numFmtId="164" fontId="101" fillId="43" borderId="184" xfId="0" applyNumberFormat="1" applyFont="1" applyFill="1" applyBorder="1" applyAlignment="1">
      <alignment vertical="top" wrapText="1"/>
    </xf>
    <xf numFmtId="164" fontId="101" fillId="43" borderId="221" xfId="0" applyNumberFormat="1" applyFont="1" applyFill="1" applyBorder="1" applyAlignment="1">
      <alignment vertical="top" wrapText="1"/>
    </xf>
    <xf numFmtId="0" fontId="37" fillId="44" borderId="10" xfId="0" applyFont="1" applyFill="1" applyBorder="1" applyAlignment="1">
      <alignment vertical="center" wrapText="1"/>
    </xf>
    <xf numFmtId="164" fontId="114" fillId="42" borderId="0" xfId="42" applyNumberFormat="1" applyFont="1" applyFill="1" applyBorder="1" applyAlignment="1">
      <alignment horizontal="justify" vertical="top" wrapText="1"/>
    </xf>
    <xf numFmtId="0" fontId="103" fillId="44" borderId="139" xfId="0" applyFont="1" applyFill="1" applyBorder="1" applyAlignment="1">
      <alignment horizontal="center" vertical="center" wrapText="1"/>
    </xf>
    <xf numFmtId="0" fontId="110" fillId="42" borderId="147" xfId="0" applyFont="1" applyFill="1" applyBorder="1" applyAlignment="1">
      <alignment horizontal="left" vertical="top" wrapText="1"/>
    </xf>
    <xf numFmtId="0" fontId="103" fillId="42" borderId="147" xfId="0" applyFont="1" applyFill="1" applyBorder="1" applyAlignment="1">
      <alignment horizontal="left" vertical="top" wrapText="1"/>
    </xf>
    <xf numFmtId="0" fontId="115" fillId="42" borderId="146" xfId="0" applyFont="1" applyFill="1" applyBorder="1" applyAlignment="1">
      <alignment vertical="top" wrapText="1"/>
    </xf>
    <xf numFmtId="0" fontId="103" fillId="44" borderId="101" xfId="0" applyFont="1" applyFill="1" applyBorder="1" applyAlignment="1">
      <alignment horizontal="center" vertical="center" wrapText="1"/>
    </xf>
    <xf numFmtId="0" fontId="38" fillId="42" borderId="10" xfId="0" applyFont="1" applyFill="1" applyBorder="1" applyAlignment="1">
      <alignment horizontal="left" vertical="top" wrapText="1"/>
    </xf>
    <xf numFmtId="0" fontId="37" fillId="42" borderId="10" xfId="0" applyFont="1" applyFill="1" applyBorder="1" applyAlignment="1">
      <alignment horizontal="left" vertical="top" wrapText="1"/>
    </xf>
    <xf numFmtId="0" fontId="37" fillId="44" borderId="10" xfId="0" applyFont="1" applyFill="1" applyBorder="1" applyAlignment="1">
      <alignment horizontal="center" vertical="center" wrapText="1"/>
    </xf>
    <xf numFmtId="0" fontId="39" fillId="42" borderId="181" xfId="0" applyFont="1" applyFill="1" applyBorder="1" applyAlignment="1">
      <alignment horizontal="left" vertical="center" wrapText="1"/>
    </xf>
    <xf numFmtId="0" fontId="39" fillId="42" borderId="229" xfId="0" applyFont="1" applyFill="1" applyBorder="1" applyAlignment="1">
      <alignment horizontal="left" vertical="center" wrapText="1"/>
    </xf>
    <xf numFmtId="0" fontId="37" fillId="44" borderId="139" xfId="0" applyFont="1" applyFill="1" applyBorder="1" applyAlignment="1">
      <alignment horizontal="center" vertical="center" wrapText="1"/>
    </xf>
    <xf numFmtId="164" fontId="37" fillId="42" borderId="127" xfId="42" applyNumberFormat="1" applyFont="1" applyFill="1" applyBorder="1" applyAlignment="1">
      <alignment horizontal="left" vertical="top" wrapText="1"/>
    </xf>
    <xf numFmtId="164" fontId="37" fillId="42" borderId="143" xfId="42" applyNumberFormat="1" applyFont="1" applyFill="1" applyBorder="1" applyAlignment="1">
      <alignment horizontal="left" vertical="top" wrapText="1"/>
    </xf>
    <xf numFmtId="164" fontId="37" fillId="42" borderId="150" xfId="42" applyNumberFormat="1" applyFont="1" applyFill="1" applyBorder="1" applyAlignment="1">
      <alignment horizontal="left" vertical="top" wrapText="1"/>
    </xf>
    <xf numFmtId="164" fontId="104" fillId="42" borderId="102" xfId="42" applyNumberFormat="1" applyFont="1" applyFill="1" applyBorder="1" applyAlignment="1">
      <alignment horizontal="left" vertical="top" wrapText="1"/>
    </xf>
    <xf numFmtId="164" fontId="38" fillId="42" borderId="127" xfId="0" applyNumberFormat="1" applyFont="1" applyFill="1" applyBorder="1" applyAlignment="1">
      <alignment horizontal="left" vertical="top" wrapText="1"/>
    </xf>
    <xf numFmtId="164" fontId="37" fillId="42" borderId="102" xfId="42" applyNumberFormat="1" applyFont="1" applyFill="1" applyBorder="1" applyAlignment="1">
      <alignment horizontal="left" vertical="top" wrapText="1"/>
    </xf>
    <xf numFmtId="164" fontId="101" fillId="43" borderId="161" xfId="42" applyNumberFormat="1" applyFont="1" applyFill="1" applyBorder="1" applyAlignment="1">
      <alignment horizontal="left" vertical="top" wrapText="1"/>
    </xf>
    <xf numFmtId="164" fontId="104" fillId="43" borderId="42" xfId="42" applyNumberFormat="1" applyFont="1" applyFill="1" applyBorder="1" applyAlignment="1">
      <alignment horizontal="left" vertical="top" wrapText="1"/>
    </xf>
    <xf numFmtId="0" fontId="67" fillId="42" borderId="230" xfId="0" applyFont="1" applyFill="1" applyBorder="1" applyAlignment="1">
      <alignment vertical="center" wrapText="1"/>
    </xf>
    <xf numFmtId="0" fontId="39" fillId="42" borderId="231" xfId="0" applyFont="1" applyFill="1" applyBorder="1" applyAlignment="1">
      <alignment vertical="center" wrapText="1"/>
    </xf>
    <xf numFmtId="164" fontId="104" fillId="43" borderId="10" xfId="42" applyNumberFormat="1" applyFont="1" applyFill="1" applyBorder="1" applyAlignment="1">
      <alignment horizontal="left" vertical="top" wrapText="1"/>
    </xf>
    <xf numFmtId="164" fontId="37" fillId="42" borderId="46" xfId="42" applyNumberFormat="1" applyFont="1" applyFill="1" applyBorder="1" applyAlignment="1">
      <alignment horizontal="right" vertical="top" wrapText="1"/>
    </xf>
    <xf numFmtId="164" fontId="37" fillId="42" borderId="161" xfId="0" applyNumberFormat="1" applyFont="1" applyFill="1" applyBorder="1" applyAlignment="1">
      <alignment horizontal="left" vertical="top" wrapText="1"/>
    </xf>
    <xf numFmtId="164" fontId="37" fillId="36" borderId="102" xfId="42" applyNumberFormat="1" applyFont="1" applyFill="1" applyBorder="1" applyAlignment="1">
      <alignment horizontal="right" vertical="top" wrapText="1"/>
    </xf>
    <xf numFmtId="164" fontId="37" fillId="34" borderId="150" xfId="42" applyNumberFormat="1" applyFont="1" applyFill="1" applyBorder="1" applyAlignment="1">
      <alignment horizontal="left" vertical="top" wrapText="1"/>
    </xf>
    <xf numFmtId="164" fontId="37" fillId="43" borderId="14" xfId="42" applyNumberFormat="1" applyFont="1" applyFill="1" applyBorder="1" applyAlignment="1">
      <alignment horizontal="right" vertical="top" wrapText="1"/>
    </xf>
    <xf numFmtId="164" fontId="37" fillId="42" borderId="142" xfId="42" applyNumberFormat="1" applyFont="1" applyFill="1" applyBorder="1" applyAlignment="1">
      <alignment horizontal="left" vertical="top" wrapText="1"/>
    </xf>
    <xf numFmtId="164" fontId="37" fillId="42" borderId="161" xfId="42" applyNumberFormat="1" applyFont="1" applyFill="1" applyBorder="1" applyAlignment="1">
      <alignment horizontal="left" vertical="top" wrapText="1"/>
    </xf>
    <xf numFmtId="164" fontId="104" fillId="42" borderId="120" xfId="42" applyNumberFormat="1" applyFont="1" applyFill="1" applyBorder="1" applyAlignment="1">
      <alignment horizontal="left" vertical="top" wrapText="1"/>
    </xf>
    <xf numFmtId="164" fontId="38" fillId="42" borderId="232" xfId="42" applyNumberFormat="1" applyFont="1" applyFill="1" applyBorder="1" applyAlignment="1">
      <alignment horizontal="left" vertical="top" wrapText="1"/>
    </xf>
    <xf numFmtId="164" fontId="102" fillId="43" borderId="42" xfId="42" applyNumberFormat="1" applyFont="1" applyFill="1" applyBorder="1" applyAlignment="1">
      <alignment horizontal="left" vertical="top" wrapText="1"/>
    </xf>
    <xf numFmtId="0" fontId="39" fillId="42" borderId="231" xfId="0" applyFont="1" applyFill="1" applyBorder="1" applyAlignment="1">
      <alignment horizontal="left" vertical="center" wrapText="1"/>
    </xf>
    <xf numFmtId="164" fontId="37" fillId="36" borderId="101" xfId="42" applyNumberFormat="1" applyFont="1" applyFill="1" applyBorder="1" applyAlignment="1">
      <alignment horizontal="right" vertical="top" wrapText="1"/>
    </xf>
    <xf numFmtId="164" fontId="37" fillId="43" borderId="116" xfId="42" applyNumberFormat="1" applyFont="1" applyFill="1" applyBorder="1" applyAlignment="1">
      <alignment horizontal="right" vertical="top" wrapText="1"/>
    </xf>
    <xf numFmtId="164" fontId="38" fillId="42" borderId="233" xfId="42" applyNumberFormat="1" applyFont="1" applyFill="1" applyBorder="1" applyAlignment="1">
      <alignment horizontal="left" vertical="top" wrapText="1"/>
    </xf>
    <xf numFmtId="164" fontId="38" fillId="34" borderId="151" xfId="42" applyNumberFormat="1" applyFont="1" applyFill="1" applyBorder="1" applyAlignment="1">
      <alignment horizontal="left" vertical="top" wrapText="1"/>
    </xf>
    <xf numFmtId="164" fontId="37" fillId="42" borderId="156" xfId="42" applyNumberFormat="1" applyFont="1" applyFill="1" applyBorder="1" applyAlignment="1">
      <alignment horizontal="left" vertical="top" wrapText="1"/>
    </xf>
    <xf numFmtId="164" fontId="37" fillId="42" borderId="101" xfId="42" applyNumberFormat="1" applyFont="1" applyFill="1" applyBorder="1" applyAlignment="1">
      <alignment horizontal="left" vertical="top" wrapText="1"/>
    </xf>
    <xf numFmtId="164" fontId="101" fillId="43" borderId="156" xfId="42" applyNumberFormat="1" applyFont="1" applyFill="1" applyBorder="1" applyAlignment="1">
      <alignment horizontal="left" vertical="top" wrapText="1"/>
    </xf>
    <xf numFmtId="164" fontId="38" fillId="42" borderId="11" xfId="42" applyNumberFormat="1" applyFont="1" applyFill="1" applyBorder="1" applyAlignment="1">
      <alignment horizontal="left" vertical="top" wrapText="1"/>
    </xf>
    <xf numFmtId="164" fontId="38" fillId="42" borderId="78" xfId="42" applyNumberFormat="1" applyFont="1" applyFill="1" applyBorder="1" applyAlignment="1">
      <alignment horizontal="left" vertical="top" wrapText="1"/>
    </xf>
    <xf numFmtId="164" fontId="38" fillId="42" borderId="120" xfId="42" applyNumberFormat="1" applyFont="1" applyFill="1" applyBorder="1" applyAlignment="1" quotePrefix="1">
      <alignment horizontal="right" vertical="top" wrapText="1"/>
    </xf>
    <xf numFmtId="0" fontId="39" fillId="42" borderId="230" xfId="0" applyFont="1" applyFill="1" applyBorder="1" applyAlignment="1">
      <alignment horizontal="left" vertical="center" wrapText="1"/>
    </xf>
    <xf numFmtId="164" fontId="38" fillId="42" borderId="123" xfId="0" applyNumberFormat="1" applyFont="1" applyFill="1" applyBorder="1" applyAlignment="1">
      <alignment/>
    </xf>
    <xf numFmtId="0" fontId="67" fillId="42" borderId="101" xfId="0" applyFont="1" applyFill="1" applyBorder="1" applyAlignment="1">
      <alignment horizontal="left" vertical="top" wrapText="1"/>
    </xf>
    <xf numFmtId="0" fontId="39" fillId="42" borderId="102" xfId="0" applyFont="1" applyFill="1" applyBorder="1" applyAlignment="1">
      <alignment horizontal="left" vertical="top" wrapText="1"/>
    </xf>
    <xf numFmtId="164" fontId="37" fillId="42" borderId="79" xfId="0" applyNumberFormat="1" applyFont="1" applyFill="1" applyBorder="1" applyAlignment="1">
      <alignment horizontal="left" vertical="top" wrapText="1"/>
    </xf>
    <xf numFmtId="164" fontId="37" fillId="42" borderId="156" xfId="42" applyNumberFormat="1" applyFont="1" applyFill="1" applyBorder="1" applyAlignment="1">
      <alignment horizontal="right" vertical="top" wrapText="1"/>
    </xf>
    <xf numFmtId="164" fontId="37" fillId="42" borderId="159" xfId="42" applyNumberFormat="1" applyFont="1" applyFill="1" applyBorder="1" applyAlignment="1">
      <alignment horizontal="right" vertical="top" wrapText="1"/>
    </xf>
    <xf numFmtId="164" fontId="37" fillId="42" borderId="135" xfId="42" applyNumberFormat="1" applyFont="1" applyFill="1" applyBorder="1" applyAlignment="1">
      <alignment horizontal="left" vertical="top" wrapText="1"/>
    </xf>
    <xf numFmtId="164" fontId="37" fillId="42" borderId="101" xfId="42" applyNumberFormat="1" applyFont="1" applyFill="1" applyBorder="1" applyAlignment="1">
      <alignment horizontal="right" vertical="top" wrapText="1"/>
    </xf>
    <xf numFmtId="164" fontId="38" fillId="42" borderId="156" xfId="42" applyNumberFormat="1" applyFont="1" applyFill="1" applyBorder="1" applyAlignment="1">
      <alignment horizontal="right" vertical="top" wrapText="1"/>
    </xf>
    <xf numFmtId="164" fontId="101" fillId="43" borderId="206" xfId="42" applyNumberFormat="1" applyFont="1" applyFill="1" applyBorder="1" applyAlignment="1">
      <alignment horizontal="right" vertical="top" wrapText="1"/>
    </xf>
    <xf numFmtId="164" fontId="38" fillId="42" borderId="120" xfId="42" applyNumberFormat="1" applyFont="1" applyFill="1" applyBorder="1" applyAlignment="1">
      <alignment vertical="top"/>
    </xf>
    <xf numFmtId="164" fontId="66" fillId="42" borderId="123" xfId="42" applyNumberFormat="1" applyFont="1" applyFill="1" applyBorder="1" applyAlignment="1">
      <alignment vertical="top"/>
    </xf>
    <xf numFmtId="164" fontId="38" fillId="42" borderId="123" xfId="42" applyNumberFormat="1" applyFont="1" applyFill="1" applyBorder="1" applyAlignment="1">
      <alignment vertical="top"/>
    </xf>
    <xf numFmtId="164" fontId="37" fillId="42" borderId="78" xfId="42" applyNumberFormat="1" applyFont="1" applyFill="1" applyBorder="1" applyAlignment="1">
      <alignment horizontal="right" vertical="top" wrapText="1"/>
    </xf>
    <xf numFmtId="164" fontId="38" fillId="42" borderId="42" xfId="42" applyNumberFormat="1" applyFont="1" applyFill="1" applyBorder="1" applyAlignment="1">
      <alignment vertical="top"/>
    </xf>
    <xf numFmtId="164" fontId="66" fillId="42" borderId="42" xfId="42" applyNumberFormat="1" applyFont="1" applyFill="1" applyBorder="1" applyAlignment="1">
      <alignment horizontal="left" vertical="top" wrapText="1"/>
    </xf>
    <xf numFmtId="164" fontId="37" fillId="42" borderId="10" xfId="42" applyNumberFormat="1" applyFont="1" applyFill="1" applyBorder="1" applyAlignment="1">
      <alignment horizontal="right" vertical="top" wrapText="1"/>
    </xf>
    <xf numFmtId="0" fontId="38" fillId="0" borderId="146" xfId="0" applyFont="1" applyBorder="1" applyAlignment="1">
      <alignment/>
    </xf>
    <xf numFmtId="0" fontId="38" fillId="0" borderId="147" xfId="0" applyFont="1" applyBorder="1" applyAlignment="1">
      <alignment/>
    </xf>
    <xf numFmtId="0" fontId="38" fillId="42" borderId="169" xfId="0" applyFont="1" applyFill="1" applyBorder="1" applyAlignment="1">
      <alignment vertical="top" wrapText="1"/>
    </xf>
    <xf numFmtId="0" fontId="38" fillId="42" borderId="169" xfId="0" applyFont="1" applyFill="1" applyBorder="1" applyAlignment="1">
      <alignment vertical="top" wrapText="1"/>
    </xf>
    <xf numFmtId="0" fontId="39" fillId="42" borderId="25" xfId="0" applyFont="1" applyFill="1" applyBorder="1" applyAlignment="1">
      <alignment vertical="center" wrapText="1"/>
    </xf>
    <xf numFmtId="0" fontId="67" fillId="42" borderId="116" xfId="0" applyFont="1" applyFill="1" applyBorder="1" applyAlignment="1">
      <alignment vertical="center" wrapText="1"/>
    </xf>
    <xf numFmtId="0" fontId="67" fillId="42" borderId="25" xfId="0" applyFont="1" applyFill="1" applyBorder="1" applyAlignment="1">
      <alignment vertical="center" wrapText="1"/>
    </xf>
    <xf numFmtId="0" fontId="39" fillId="42" borderId="14" xfId="0" applyFont="1" applyFill="1" applyBorder="1" applyAlignment="1">
      <alignment vertical="center" wrapText="1"/>
    </xf>
    <xf numFmtId="164" fontId="38" fillId="42" borderId="116" xfId="42" applyNumberFormat="1" applyFont="1" applyFill="1" applyBorder="1" applyAlignment="1">
      <alignment horizontal="justify" vertical="top" wrapText="1"/>
    </xf>
    <xf numFmtId="164" fontId="38" fillId="42" borderId="25" xfId="42" applyNumberFormat="1" applyFont="1" applyFill="1" applyBorder="1" applyAlignment="1">
      <alignment horizontal="justify" vertical="top" wrapText="1"/>
    </xf>
    <xf numFmtId="164" fontId="37" fillId="42" borderId="234" xfId="0" applyNumberFormat="1" applyFont="1" applyFill="1" applyBorder="1" applyAlignment="1">
      <alignment vertical="top" wrapText="1"/>
    </xf>
    <xf numFmtId="164" fontId="102" fillId="42" borderId="140" xfId="42" applyNumberFormat="1" applyFont="1" applyFill="1" applyBorder="1" applyAlignment="1">
      <alignment horizontal="left" vertical="top" wrapText="1"/>
    </xf>
    <xf numFmtId="164" fontId="37" fillId="42" borderId="167" xfId="42" applyNumberFormat="1" applyFont="1" applyFill="1" applyBorder="1" applyAlignment="1">
      <alignment horizontal="left" vertical="top" wrapText="1"/>
    </xf>
    <xf numFmtId="0" fontId="37" fillId="42" borderId="147" xfId="0" applyFont="1" applyFill="1" applyBorder="1" applyAlignment="1">
      <alignment vertical="top" wrapText="1"/>
    </xf>
    <xf numFmtId="3" fontId="37" fillId="42" borderId="79" xfId="0" applyNumberFormat="1" applyFont="1" applyFill="1" applyBorder="1" applyAlignment="1">
      <alignment horizontal="center" vertical="top" wrapText="1"/>
    </xf>
    <xf numFmtId="0" fontId="37" fillId="42" borderId="79" xfId="0" applyFont="1" applyFill="1" applyBorder="1" applyAlignment="1">
      <alignment horizontal="center" vertical="top" wrapText="1"/>
    </xf>
    <xf numFmtId="0" fontId="37" fillId="42" borderId="159" xfId="0" applyFont="1" applyFill="1" applyBorder="1" applyAlignment="1">
      <alignment horizontal="left" vertical="top" wrapText="1"/>
    </xf>
    <xf numFmtId="164" fontId="38" fillId="42" borderId="142" xfId="42" applyNumberFormat="1" applyFont="1" applyFill="1" applyBorder="1" applyAlignment="1">
      <alignment horizontal="right" vertical="top" wrapText="1"/>
    </xf>
    <xf numFmtId="164" fontId="38" fillId="42" borderId="159" xfId="42" applyNumberFormat="1" applyFont="1" applyFill="1" applyBorder="1" applyAlignment="1">
      <alignment horizontal="right" vertical="top" wrapText="1"/>
    </xf>
    <xf numFmtId="164" fontId="38" fillId="42" borderId="167" xfId="42" applyNumberFormat="1" applyFont="1" applyFill="1" applyBorder="1" applyAlignment="1">
      <alignment horizontal="right" vertical="top" wrapText="1"/>
    </xf>
    <xf numFmtId="0" fontId="81" fillId="0" borderId="0" xfId="0" applyFont="1" applyAlignment="1">
      <alignment/>
    </xf>
    <xf numFmtId="0" fontId="82" fillId="0" borderId="0" xfId="0" applyFont="1" applyAlignment="1">
      <alignment/>
    </xf>
    <xf numFmtId="0" fontId="82" fillId="0" borderId="0" xfId="0" applyFont="1" applyBorder="1" applyAlignment="1">
      <alignment/>
    </xf>
    <xf numFmtId="0" fontId="81" fillId="0" borderId="0" xfId="0" applyFont="1" applyBorder="1" applyAlignment="1">
      <alignment/>
    </xf>
    <xf numFmtId="0" fontId="81" fillId="42" borderId="0" xfId="0" applyFont="1" applyFill="1" applyBorder="1" applyAlignment="1">
      <alignment/>
    </xf>
    <xf numFmtId="0" fontId="81" fillId="0" borderId="0" xfId="0" applyFont="1" applyAlignment="1">
      <alignment horizontal="left"/>
    </xf>
    <xf numFmtId="0" fontId="81" fillId="0" borderId="0" xfId="0" applyFont="1" applyFill="1" applyAlignment="1">
      <alignment horizontal="left"/>
    </xf>
    <xf numFmtId="0" fontId="82" fillId="34" borderId="0" xfId="0" applyFont="1" applyFill="1" applyAlignment="1">
      <alignment/>
    </xf>
    <xf numFmtId="0" fontId="81" fillId="0" borderId="0" xfId="0" applyFont="1" applyAlignment="1">
      <alignment horizontal="center"/>
    </xf>
    <xf numFmtId="0" fontId="82" fillId="0" borderId="0" xfId="0" applyFont="1" applyAlignment="1">
      <alignment horizontal="left"/>
    </xf>
    <xf numFmtId="0" fontId="38" fillId="42" borderId="128" xfId="0" applyFont="1" applyFill="1" applyBorder="1" applyAlignment="1">
      <alignment vertical="top" wrapText="1"/>
    </xf>
    <xf numFmtId="0" fontId="38" fillId="42" borderId="22" xfId="0" applyFont="1" applyFill="1" applyBorder="1" applyAlignment="1">
      <alignment horizontal="right" vertical="top" wrapText="1"/>
    </xf>
    <xf numFmtId="0" fontId="38" fillId="42" borderId="22" xfId="0" applyFont="1" applyFill="1" applyBorder="1" applyAlignment="1">
      <alignment horizontal="center" vertical="top" wrapText="1"/>
    </xf>
    <xf numFmtId="0" fontId="38" fillId="42" borderId="22" xfId="0" applyFont="1" applyFill="1" applyBorder="1" applyAlignment="1">
      <alignment horizontal="left" vertical="top" wrapText="1"/>
    </xf>
    <xf numFmtId="0" fontId="37" fillId="42" borderId="22" xfId="0" applyFont="1" applyFill="1" applyBorder="1" applyAlignment="1">
      <alignment horizontal="left" vertical="top" wrapText="1"/>
    </xf>
    <xf numFmtId="0" fontId="38" fillId="42" borderId="116" xfId="0" applyFont="1" applyFill="1" applyBorder="1" applyAlignment="1">
      <alignment horizontal="left" vertical="top" wrapText="1"/>
    </xf>
    <xf numFmtId="164" fontId="38" fillId="42" borderId="182" xfId="42" applyNumberFormat="1" applyFont="1" applyFill="1" applyBorder="1" applyAlignment="1">
      <alignment horizontal="right" vertical="top" wrapText="1"/>
    </xf>
    <xf numFmtId="164" fontId="38" fillId="42" borderId="22" xfId="42" applyNumberFormat="1" applyFont="1" applyFill="1" applyBorder="1" applyAlignment="1">
      <alignment horizontal="right" vertical="top" wrapText="1"/>
    </xf>
    <xf numFmtId="164" fontId="37" fillId="42" borderId="116" xfId="42" applyNumberFormat="1" applyFont="1" applyFill="1" applyBorder="1" applyAlignment="1">
      <alignment horizontal="right" vertical="top" wrapText="1"/>
    </xf>
    <xf numFmtId="164" fontId="38" fillId="42" borderId="22" xfId="42" applyNumberFormat="1" applyFont="1" applyFill="1" applyBorder="1" applyAlignment="1">
      <alignment horizontal="left" vertical="top" wrapText="1"/>
    </xf>
    <xf numFmtId="164" fontId="37" fillId="42" borderId="22" xfId="42" applyNumberFormat="1" applyFont="1" applyFill="1" applyBorder="1" applyAlignment="1">
      <alignment horizontal="right" vertical="top" wrapText="1"/>
    </xf>
    <xf numFmtId="164" fontId="38" fillId="42" borderId="22" xfId="0" applyNumberFormat="1" applyFont="1" applyFill="1" applyBorder="1" applyAlignment="1">
      <alignment horizontal="left" vertical="top" wrapText="1"/>
    </xf>
    <xf numFmtId="164" fontId="37" fillId="42" borderId="22" xfId="0" applyNumberFormat="1" applyFont="1" applyFill="1" applyBorder="1" applyAlignment="1">
      <alignment horizontal="left" vertical="top" wrapText="1"/>
    </xf>
    <xf numFmtId="164" fontId="104" fillId="42" borderId="22" xfId="42" applyNumberFormat="1" applyFont="1" applyFill="1" applyBorder="1" applyAlignment="1">
      <alignment horizontal="left" vertical="top" wrapText="1"/>
    </xf>
    <xf numFmtId="164" fontId="37" fillId="42" borderId="22" xfId="42" applyNumberFormat="1" applyFont="1" applyFill="1" applyBorder="1" applyAlignment="1">
      <alignment horizontal="left" vertical="top" wrapText="1"/>
    </xf>
    <xf numFmtId="164" fontId="37" fillId="42" borderId="14" xfId="42" applyNumberFormat="1" applyFont="1" applyFill="1" applyBorder="1" applyAlignment="1">
      <alignment horizontal="left" vertical="top" wrapText="1"/>
    </xf>
    <xf numFmtId="164" fontId="37" fillId="42" borderId="116" xfId="42" applyNumberFormat="1" applyFont="1" applyFill="1" applyBorder="1" applyAlignment="1">
      <alignment horizontal="left" vertical="top" wrapText="1"/>
    </xf>
    <xf numFmtId="164" fontId="37" fillId="42" borderId="198" xfId="42" applyNumberFormat="1" applyFont="1" applyFill="1" applyBorder="1" applyAlignment="1">
      <alignment horizontal="left" vertical="top" wrapText="1"/>
    </xf>
    <xf numFmtId="0" fontId="39" fillId="42" borderId="10" xfId="0" applyFont="1" applyFill="1" applyBorder="1" applyAlignment="1">
      <alignment horizontal="left" vertical="top" wrapText="1"/>
    </xf>
    <xf numFmtId="164" fontId="110" fillId="42" borderId="165" xfId="42" applyNumberFormat="1" applyFont="1" applyFill="1" applyBorder="1" applyAlignment="1">
      <alignment horizontal="left" vertical="top" wrapText="1"/>
    </xf>
    <xf numFmtId="164" fontId="103" fillId="42" borderId="151" xfId="42" applyNumberFormat="1" applyFont="1" applyFill="1" applyBorder="1" applyAlignment="1">
      <alignment horizontal="right" vertical="top" wrapText="1"/>
    </xf>
    <xf numFmtId="164" fontId="101" fillId="43" borderId="235" xfId="42" applyNumberFormat="1" applyFont="1" applyFill="1" applyBorder="1" applyAlignment="1">
      <alignment horizontal="left" vertical="top" wrapText="1"/>
    </xf>
    <xf numFmtId="0" fontId="110" fillId="42" borderId="151" xfId="0" applyFont="1" applyFill="1" applyBorder="1" applyAlignment="1">
      <alignment/>
    </xf>
    <xf numFmtId="164" fontId="103" fillId="42" borderId="101" xfId="42" applyNumberFormat="1" applyFont="1" applyFill="1" applyBorder="1" applyAlignment="1">
      <alignment horizontal="right" vertical="top" wrapText="1"/>
    </xf>
    <xf numFmtId="0" fontId="115" fillId="42" borderId="10" xfId="0" applyFont="1" applyFill="1" applyBorder="1" applyAlignment="1">
      <alignment horizontal="center" vertical="top" wrapText="1"/>
    </xf>
    <xf numFmtId="164" fontId="103" fillId="42" borderId="11" xfId="42" applyNumberFormat="1" applyFont="1" applyFill="1" applyBorder="1" applyAlignment="1">
      <alignment horizontal="center" vertical="top"/>
    </xf>
    <xf numFmtId="0" fontId="115" fillId="42" borderId="123" xfId="0" applyFont="1" applyFill="1" applyBorder="1" applyAlignment="1">
      <alignment horizontal="center" vertical="top" wrapText="1"/>
    </xf>
    <xf numFmtId="164" fontId="103" fillId="42" borderId="42" xfId="42" applyNumberFormat="1" applyFont="1" applyFill="1" applyBorder="1" applyAlignment="1">
      <alignment horizontal="center" vertical="top" wrapText="1"/>
    </xf>
    <xf numFmtId="164" fontId="103" fillId="44" borderId="10" xfId="42" applyNumberFormat="1" applyFont="1" applyFill="1" applyBorder="1" applyAlignment="1">
      <alignment horizontal="center" vertical="top" wrapText="1"/>
    </xf>
    <xf numFmtId="164" fontId="103" fillId="42" borderId="10" xfId="42" applyNumberFormat="1" applyFont="1" applyFill="1" applyBorder="1" applyAlignment="1">
      <alignment horizontal="center" vertical="top" wrapText="1"/>
    </xf>
    <xf numFmtId="164" fontId="103" fillId="42" borderId="123" xfId="42" applyNumberFormat="1" applyFont="1" applyFill="1" applyBorder="1" applyAlignment="1">
      <alignment horizontal="center" vertical="top"/>
    </xf>
    <xf numFmtId="164" fontId="103" fillId="42" borderId="10" xfId="42" applyNumberFormat="1" applyFont="1" applyFill="1" applyBorder="1" applyAlignment="1">
      <alignment horizontal="right" vertical="top" wrapText="1"/>
    </xf>
    <xf numFmtId="164" fontId="103" fillId="42" borderId="42" xfId="42" applyNumberFormat="1" applyFont="1" applyFill="1" applyBorder="1" applyAlignment="1">
      <alignment horizontal="center" vertical="top"/>
    </xf>
    <xf numFmtId="164" fontId="103" fillId="42" borderId="120" xfId="0" applyNumberFormat="1" applyFont="1" applyFill="1" applyBorder="1" applyAlignment="1">
      <alignment horizontal="center" vertical="top" wrapText="1"/>
    </xf>
    <xf numFmtId="164" fontId="103" fillId="42" borderId="120" xfId="42" applyNumberFormat="1" applyFont="1" applyFill="1" applyBorder="1" applyAlignment="1">
      <alignment horizontal="center" vertical="top" wrapText="1"/>
    </xf>
    <xf numFmtId="164" fontId="103" fillId="42" borderId="123" xfId="42" applyNumberFormat="1" applyFont="1" applyFill="1" applyBorder="1" applyAlignment="1">
      <alignment horizontal="center" vertical="top" wrapText="1"/>
    </xf>
    <xf numFmtId="164" fontId="101" fillId="43" borderId="10" xfId="42" applyNumberFormat="1" applyFont="1" applyFill="1" applyBorder="1" applyAlignment="1">
      <alignment horizontal="center" vertical="top" wrapText="1"/>
    </xf>
    <xf numFmtId="0" fontId="101" fillId="43" borderId="200" xfId="0" applyFont="1" applyFill="1" applyBorder="1" applyAlignment="1">
      <alignment horizontal="center" vertical="top" wrapText="1"/>
    </xf>
    <xf numFmtId="0" fontId="103" fillId="42" borderId="79" xfId="0" applyFont="1" applyFill="1" applyBorder="1" applyAlignment="1">
      <alignment vertical="top" wrapText="1"/>
    </xf>
    <xf numFmtId="0" fontId="110" fillId="42" borderId="79" xfId="0" applyFont="1" applyFill="1" applyBorder="1" applyAlignment="1">
      <alignment horizontal="left" vertical="top" wrapText="1"/>
    </xf>
    <xf numFmtId="0" fontId="103" fillId="42" borderId="79" xfId="0" applyFont="1" applyFill="1" applyBorder="1" applyAlignment="1">
      <alignment horizontal="left" vertical="top" wrapText="1"/>
    </xf>
    <xf numFmtId="0" fontId="110" fillId="42" borderId="159" xfId="0" applyFont="1" applyFill="1" applyBorder="1" applyAlignment="1">
      <alignment horizontal="left" vertical="top" wrapText="1"/>
    </xf>
    <xf numFmtId="164" fontId="110" fillId="42" borderId="140" xfId="42" applyNumberFormat="1" applyFont="1" applyFill="1" applyBorder="1" applyAlignment="1">
      <alignment horizontal="right" vertical="top" wrapText="1"/>
    </xf>
    <xf numFmtId="164" fontId="110" fillId="42" borderId="79" xfId="42" applyNumberFormat="1" applyFont="1" applyFill="1" applyBorder="1" applyAlignment="1">
      <alignment horizontal="right" vertical="top" wrapText="1"/>
    </xf>
    <xf numFmtId="164" fontId="110" fillId="42" borderId="141" xfId="42" applyNumberFormat="1" applyFont="1" applyFill="1" applyBorder="1" applyAlignment="1">
      <alignment horizontal="right" vertical="top" wrapText="1"/>
    </xf>
    <xf numFmtId="164" fontId="110" fillId="42" borderId="79" xfId="42" applyNumberFormat="1" applyFont="1" applyFill="1" applyBorder="1" applyAlignment="1">
      <alignment horizontal="left" vertical="top" wrapText="1"/>
    </xf>
    <xf numFmtId="164" fontId="110" fillId="42" borderId="159" xfId="42" applyNumberFormat="1" applyFont="1" applyFill="1" applyBorder="1" applyAlignment="1">
      <alignment horizontal="left" vertical="top" wrapText="1"/>
    </xf>
    <xf numFmtId="3" fontId="103" fillId="42" borderId="79" xfId="0" applyNumberFormat="1" applyFont="1" applyFill="1" applyBorder="1" applyAlignment="1">
      <alignment horizontal="center" vertical="top" wrapText="1"/>
    </xf>
    <xf numFmtId="164" fontId="110" fillId="42" borderId="79" xfId="0" applyNumberFormat="1" applyFont="1" applyFill="1" applyBorder="1" applyAlignment="1">
      <alignment horizontal="left" vertical="top" wrapText="1"/>
    </xf>
    <xf numFmtId="164" fontId="110" fillId="42" borderId="159" xfId="0" applyNumberFormat="1" applyFont="1" applyFill="1" applyBorder="1" applyAlignment="1">
      <alignment horizontal="left" vertical="top" wrapText="1"/>
    </xf>
    <xf numFmtId="164" fontId="110" fillId="42" borderId="140" xfId="42" applyNumberFormat="1" applyFont="1" applyFill="1" applyBorder="1" applyAlignment="1">
      <alignment horizontal="left" vertical="top" wrapText="1"/>
    </xf>
    <xf numFmtId="164" fontId="110" fillId="42" borderId="141" xfId="42" applyNumberFormat="1" applyFont="1" applyFill="1" applyBorder="1" applyAlignment="1">
      <alignment horizontal="left" vertical="top" wrapText="1"/>
    </xf>
    <xf numFmtId="0" fontId="110" fillId="42" borderId="79" xfId="0" applyFont="1" applyFill="1" applyBorder="1" applyAlignment="1">
      <alignment vertical="top" wrapText="1"/>
    </xf>
    <xf numFmtId="0" fontId="103" fillId="42" borderId="167" xfId="0" applyFont="1" applyFill="1" applyBorder="1" applyAlignment="1">
      <alignment vertical="top" wrapText="1"/>
    </xf>
    <xf numFmtId="0" fontId="103" fillId="42" borderId="79" xfId="0" applyFont="1" applyFill="1" applyBorder="1" applyAlignment="1">
      <alignment horizontal="center" vertical="top" wrapText="1"/>
    </xf>
    <xf numFmtId="164" fontId="103" fillId="42" borderId="141" xfId="42" applyNumberFormat="1" applyFont="1" applyFill="1" applyBorder="1" applyAlignment="1">
      <alignment horizontal="left" vertical="top" wrapText="1"/>
    </xf>
    <xf numFmtId="164" fontId="103" fillId="42" borderId="159" xfId="42" applyNumberFormat="1" applyFont="1" applyFill="1" applyBorder="1" applyAlignment="1">
      <alignment horizontal="left" vertical="top" wrapText="1"/>
    </xf>
    <xf numFmtId="0" fontId="110" fillId="42" borderId="22" xfId="0" applyFont="1" applyFill="1" applyBorder="1" applyAlignment="1">
      <alignment horizontal="right" vertical="top" wrapText="1"/>
    </xf>
    <xf numFmtId="0" fontId="103" fillId="42" borderId="22" xfId="0" applyFont="1" applyFill="1" applyBorder="1" applyAlignment="1">
      <alignment horizontal="right" vertical="top" wrapText="1"/>
    </xf>
    <xf numFmtId="0" fontId="103" fillId="42" borderId="22" xfId="0" applyFont="1" applyFill="1" applyBorder="1" applyAlignment="1">
      <alignment horizontal="left" vertical="top" wrapText="1"/>
    </xf>
    <xf numFmtId="0" fontId="110" fillId="42" borderId="116" xfId="0" applyFont="1" applyFill="1" applyBorder="1" applyAlignment="1">
      <alignment horizontal="left" vertical="top" wrapText="1"/>
    </xf>
    <xf numFmtId="164" fontId="110" fillId="42" borderId="182" xfId="42" applyNumberFormat="1" applyFont="1" applyFill="1" applyBorder="1" applyAlignment="1">
      <alignment horizontal="right" vertical="top" wrapText="1"/>
    </xf>
    <xf numFmtId="164" fontId="110" fillId="42" borderId="22" xfId="42" applyNumberFormat="1" applyFont="1" applyFill="1" applyBorder="1" applyAlignment="1">
      <alignment horizontal="right" vertical="top" wrapText="1"/>
    </xf>
    <xf numFmtId="164" fontId="110" fillId="42" borderId="183" xfId="42" applyNumberFormat="1" applyFont="1" applyFill="1" applyBorder="1" applyAlignment="1">
      <alignment horizontal="right" vertical="top" wrapText="1"/>
    </xf>
    <xf numFmtId="164" fontId="110" fillId="42" borderId="14" xfId="42" applyNumberFormat="1" applyFont="1" applyFill="1" applyBorder="1" applyAlignment="1">
      <alignment horizontal="right" vertical="top" wrapText="1"/>
    </xf>
    <xf numFmtId="164" fontId="110" fillId="42" borderId="116" xfId="42" applyNumberFormat="1" applyFont="1" applyFill="1" applyBorder="1" applyAlignment="1">
      <alignment horizontal="right" vertical="top" wrapText="1"/>
    </xf>
    <xf numFmtId="164" fontId="103" fillId="42" borderId="22" xfId="42" applyNumberFormat="1" applyFont="1" applyFill="1" applyBorder="1" applyAlignment="1">
      <alignment horizontal="center" vertical="top" wrapText="1"/>
    </xf>
    <xf numFmtId="164" fontId="110" fillId="42" borderId="14" xfId="42" applyNumberFormat="1" applyFont="1" applyFill="1" applyBorder="1" applyAlignment="1">
      <alignment horizontal="left" vertical="top" wrapText="1"/>
    </xf>
    <xf numFmtId="164" fontId="110" fillId="42" borderId="22" xfId="0" applyNumberFormat="1" applyFont="1" applyFill="1" applyBorder="1" applyAlignment="1">
      <alignment horizontal="left" vertical="top" wrapText="1"/>
    </xf>
    <xf numFmtId="164" fontId="110" fillId="42" borderId="116" xfId="0" applyNumberFormat="1" applyFont="1" applyFill="1" applyBorder="1" applyAlignment="1">
      <alignment horizontal="left" vertical="top" wrapText="1"/>
    </xf>
    <xf numFmtId="164" fontId="110" fillId="42" borderId="198" xfId="42" applyNumberFormat="1" applyFont="1" applyFill="1" applyBorder="1" applyAlignment="1">
      <alignment horizontal="right" vertical="top" wrapText="1"/>
    </xf>
    <xf numFmtId="0" fontId="110" fillId="42" borderId="10" xfId="0" applyFont="1" applyFill="1" applyBorder="1" applyAlignment="1">
      <alignment vertical="top" wrapText="1"/>
    </xf>
    <xf numFmtId="0" fontId="103" fillId="42" borderId="139" xfId="0" applyFont="1" applyFill="1" applyBorder="1" applyAlignment="1">
      <alignment vertical="top" wrapText="1"/>
    </xf>
    <xf numFmtId="0" fontId="115" fillId="42" borderId="147" xfId="0" applyFont="1" applyFill="1" applyBorder="1" applyAlignment="1">
      <alignment vertical="top" wrapText="1"/>
    </xf>
    <xf numFmtId="0" fontId="103" fillId="42" borderId="22" xfId="0" applyFont="1" applyFill="1" applyBorder="1" applyAlignment="1">
      <alignment vertical="top" wrapText="1"/>
    </xf>
    <xf numFmtId="0" fontId="103" fillId="42" borderId="22" xfId="0" applyFont="1" applyFill="1" applyBorder="1" applyAlignment="1">
      <alignment horizontal="center" vertical="top" wrapText="1"/>
    </xf>
    <xf numFmtId="0" fontId="110" fillId="42" borderId="22" xfId="0" applyFont="1" applyFill="1" applyBorder="1" applyAlignment="1">
      <alignment horizontal="left" vertical="top" wrapText="1"/>
    </xf>
    <xf numFmtId="0" fontId="103" fillId="42" borderId="116" xfId="0" applyFont="1" applyFill="1" applyBorder="1" applyAlignment="1">
      <alignment horizontal="left" vertical="top" wrapText="1"/>
    </xf>
    <xf numFmtId="164" fontId="102" fillId="43" borderId="42" xfId="0" applyNumberFormat="1" applyFont="1" applyFill="1" applyBorder="1" applyAlignment="1">
      <alignment horizontal="left" vertical="top" wrapText="1"/>
    </xf>
    <xf numFmtId="164" fontId="38" fillId="43" borderId="102" xfId="42" applyNumberFormat="1" applyFont="1" applyFill="1" applyBorder="1" applyAlignment="1">
      <alignment horizontal="left" vertical="top" wrapText="1"/>
    </xf>
    <xf numFmtId="164" fontId="38" fillId="43" borderId="42" xfId="42" applyNumberFormat="1" applyFont="1" applyFill="1" applyBorder="1" applyAlignment="1">
      <alignment horizontal="left" vertical="top" wrapText="1"/>
    </xf>
    <xf numFmtId="164" fontId="38" fillId="43" borderId="42" xfId="0" applyNumberFormat="1" applyFont="1" applyFill="1" applyBorder="1" applyAlignment="1">
      <alignment horizontal="left" vertical="top" wrapText="1"/>
    </xf>
    <xf numFmtId="164" fontId="101" fillId="9" borderId="78" xfId="42" applyNumberFormat="1" applyFont="1" applyFill="1" applyBorder="1" applyAlignment="1">
      <alignment horizontal="justify" vertical="top" wrapText="1"/>
    </xf>
    <xf numFmtId="0" fontId="37" fillId="42" borderId="10" xfId="0" applyFont="1" applyFill="1" applyBorder="1" applyAlignment="1">
      <alignment horizontal="left" vertical="top" wrapText="1"/>
    </xf>
    <xf numFmtId="164" fontId="37" fillId="34" borderId="159" xfId="0" applyNumberFormat="1" applyFont="1" applyFill="1" applyBorder="1" applyAlignment="1">
      <alignment horizontal="left" vertical="top" wrapText="1"/>
    </xf>
    <xf numFmtId="164" fontId="37" fillId="42" borderId="159" xfId="0" applyNumberFormat="1" applyFont="1" applyFill="1" applyBorder="1" applyAlignment="1">
      <alignment horizontal="left" vertical="top" wrapText="1"/>
    </xf>
    <xf numFmtId="164" fontId="102" fillId="42" borderId="42" xfId="42" applyNumberFormat="1" applyFont="1" applyFill="1" applyBorder="1" applyAlignment="1">
      <alignment horizontal="left" vertical="top" wrapText="1"/>
    </xf>
    <xf numFmtId="164" fontId="102" fillId="42" borderId="79" xfId="42" applyNumberFormat="1" applyFont="1" applyFill="1" applyBorder="1" applyAlignment="1">
      <alignment horizontal="left" vertical="top" wrapText="1"/>
    </xf>
    <xf numFmtId="164" fontId="102" fillId="42" borderId="120" xfId="42" applyNumberFormat="1" applyFont="1" applyFill="1" applyBorder="1" applyAlignment="1">
      <alignment horizontal="left" vertical="top" wrapText="1"/>
    </xf>
    <xf numFmtId="0" fontId="39" fillId="42" borderId="120" xfId="0" applyFont="1" applyFill="1" applyBorder="1" applyAlignment="1">
      <alignment horizontal="left" vertical="top" wrapText="1"/>
    </xf>
    <xf numFmtId="0" fontId="39" fillId="42" borderId="123" xfId="0" applyFont="1" applyFill="1" applyBorder="1" applyAlignment="1">
      <alignment horizontal="left" vertical="top" wrapText="1"/>
    </xf>
    <xf numFmtId="0" fontId="37" fillId="42" borderId="22" xfId="0" applyFont="1" applyFill="1" applyBorder="1" applyAlignment="1">
      <alignment vertical="top" wrapText="1"/>
    </xf>
    <xf numFmtId="3" fontId="37" fillId="34" borderId="120" xfId="0" applyNumberFormat="1" applyFont="1" applyFill="1" applyBorder="1" applyAlignment="1">
      <alignment vertical="top" wrapText="1"/>
    </xf>
    <xf numFmtId="3" fontId="37" fillId="42" borderId="120" xfId="0" applyNumberFormat="1" applyFont="1" applyFill="1" applyBorder="1" applyAlignment="1">
      <alignment vertical="top" wrapText="1"/>
    </xf>
    <xf numFmtId="3" fontId="37" fillId="42" borderId="42" xfId="0" applyNumberFormat="1" applyFont="1" applyFill="1" applyBorder="1" applyAlignment="1">
      <alignment vertical="top" wrapText="1"/>
    </xf>
    <xf numFmtId="0" fontId="39" fillId="42" borderId="236" xfId="0" applyFont="1" applyFill="1" applyBorder="1" applyAlignment="1">
      <alignment vertical="center" wrapText="1"/>
    </xf>
    <xf numFmtId="164" fontId="37" fillId="42" borderId="42" xfId="0" applyNumberFormat="1" applyFont="1" applyFill="1" applyBorder="1" applyAlignment="1">
      <alignment vertical="top" wrapText="1"/>
    </xf>
    <xf numFmtId="164" fontId="37" fillId="42" borderId="79" xfId="0" applyNumberFormat="1" applyFont="1" applyFill="1" applyBorder="1" applyAlignment="1">
      <alignment vertical="top" wrapText="1"/>
    </xf>
    <xf numFmtId="0" fontId="101" fillId="43" borderId="123" xfId="0" applyFont="1" applyFill="1" applyBorder="1" applyAlignment="1">
      <alignment vertical="top" wrapText="1"/>
    </xf>
    <xf numFmtId="0" fontId="40" fillId="42" borderId="120" xfId="0" applyFont="1" applyFill="1" applyBorder="1" applyAlignment="1">
      <alignment vertical="top" wrapText="1"/>
    </xf>
    <xf numFmtId="164" fontId="103" fillId="42" borderId="11" xfId="42" applyNumberFormat="1" applyFont="1" applyFill="1" applyBorder="1" applyAlignment="1">
      <alignment horizontal="right" vertical="top" wrapText="1"/>
    </xf>
    <xf numFmtId="164" fontId="103" fillId="42" borderId="32" xfId="42" applyNumberFormat="1" applyFont="1" applyFill="1" applyBorder="1" applyAlignment="1">
      <alignment horizontal="right" vertical="top" wrapText="1"/>
    </xf>
    <xf numFmtId="164" fontId="103" fillId="42" borderId="194" xfId="42" applyNumberFormat="1" applyFont="1" applyFill="1" applyBorder="1" applyAlignment="1">
      <alignment horizontal="right" vertical="top" wrapText="1"/>
    </xf>
    <xf numFmtId="164" fontId="103" fillId="42" borderId="189" xfId="42" applyNumberFormat="1" applyFont="1" applyFill="1" applyBorder="1" applyAlignment="1">
      <alignment horizontal="right" vertical="top" wrapText="1"/>
    </xf>
    <xf numFmtId="164" fontId="103" fillId="42" borderId="190" xfId="42" applyNumberFormat="1" applyFont="1" applyFill="1" applyBorder="1" applyAlignment="1">
      <alignment horizontal="right" vertical="top" wrapText="1"/>
    </xf>
    <xf numFmtId="164" fontId="103" fillId="42" borderId="148" xfId="42" applyNumberFormat="1" applyFont="1" applyFill="1" applyBorder="1" applyAlignment="1">
      <alignment horizontal="right" vertical="top" wrapText="1"/>
    </xf>
    <xf numFmtId="164" fontId="110" fillId="42" borderId="134" xfId="42" applyNumberFormat="1" applyFont="1" applyFill="1" applyBorder="1" applyAlignment="1">
      <alignment horizontal="right" vertical="top" wrapText="1"/>
    </xf>
    <xf numFmtId="164" fontId="110" fillId="42" borderId="194" xfId="42" applyNumberFormat="1" applyFont="1" applyFill="1" applyBorder="1" applyAlignment="1">
      <alignment horizontal="left" vertical="top" wrapText="1"/>
    </xf>
    <xf numFmtId="164" fontId="110" fillId="42" borderId="149" xfId="42" applyNumberFormat="1" applyFont="1" applyFill="1" applyBorder="1" applyAlignment="1">
      <alignment horizontal="right" vertical="top" wrapText="1"/>
    </xf>
    <xf numFmtId="0" fontId="110" fillId="42" borderId="20" xfId="0" applyFont="1" applyFill="1" applyBorder="1" applyAlignment="1">
      <alignment horizontal="right" vertical="top" wrapText="1"/>
    </xf>
    <xf numFmtId="0" fontId="110" fillId="42" borderId="190" xfId="0" applyFont="1" applyFill="1" applyBorder="1" applyAlignment="1">
      <alignment horizontal="right" vertical="top" wrapText="1"/>
    </xf>
    <xf numFmtId="0" fontId="110" fillId="42" borderId="126" xfId="0" applyFont="1" applyFill="1" applyBorder="1" applyAlignment="1">
      <alignment horizontal="center" vertical="top" wrapText="1"/>
    </xf>
    <xf numFmtId="0" fontId="103" fillId="43" borderId="120" xfId="0" applyFont="1" applyFill="1" applyBorder="1" applyAlignment="1">
      <alignment horizontal="center" vertical="top" wrapText="1"/>
    </xf>
    <xf numFmtId="0" fontId="103" fillId="43" borderId="120" xfId="0" applyFont="1" applyFill="1" applyBorder="1" applyAlignment="1">
      <alignment vertical="top" wrapText="1"/>
    </xf>
    <xf numFmtId="0" fontId="115" fillId="43" borderId="120" xfId="0" applyFont="1" applyFill="1" applyBorder="1" applyAlignment="1">
      <alignment vertical="top" wrapText="1"/>
    </xf>
    <xf numFmtId="0" fontId="103" fillId="43" borderId="79" xfId="0" applyFont="1" applyFill="1" applyBorder="1" applyAlignment="1">
      <alignment vertical="top" wrapText="1"/>
    </xf>
    <xf numFmtId="0" fontId="40" fillId="42" borderId="169" xfId="0" applyFont="1" applyFill="1" applyBorder="1" applyAlignment="1">
      <alignment vertical="top" wrapText="1"/>
    </xf>
    <xf numFmtId="0" fontId="110" fillId="43" borderId="15" xfId="0" applyFont="1" applyFill="1" applyBorder="1" applyAlignment="1">
      <alignment horizontal="right" vertical="top" wrapText="1"/>
    </xf>
    <xf numFmtId="0" fontId="103" fillId="45" borderId="15" xfId="0" applyFont="1" applyFill="1" applyBorder="1" applyAlignment="1">
      <alignment vertical="top" wrapText="1"/>
    </xf>
    <xf numFmtId="0" fontId="103" fillId="45" borderId="120" xfId="0" applyFont="1" applyFill="1" applyBorder="1" applyAlignment="1">
      <alignment vertical="top" wrapText="1"/>
    </xf>
    <xf numFmtId="0" fontId="110" fillId="46" borderId="120" xfId="0" applyFont="1" applyFill="1" applyBorder="1" applyAlignment="1">
      <alignment vertical="top" wrapText="1"/>
    </xf>
    <xf numFmtId="0" fontId="103" fillId="45" borderId="120" xfId="0" applyFont="1" applyFill="1" applyBorder="1" applyAlignment="1">
      <alignment horizontal="center" vertical="top" wrapText="1"/>
    </xf>
    <xf numFmtId="0" fontId="103" fillId="46" borderId="79" xfId="0" applyFont="1" applyFill="1" applyBorder="1" applyAlignment="1">
      <alignment vertical="top" wrapText="1"/>
    </xf>
    <xf numFmtId="0" fontId="103" fillId="46" borderId="120" xfId="0" applyFont="1" applyFill="1" applyBorder="1" applyAlignment="1">
      <alignment vertical="top" wrapText="1"/>
    </xf>
    <xf numFmtId="0" fontId="110" fillId="43" borderId="120" xfId="0" applyFont="1" applyFill="1" applyBorder="1" applyAlignment="1">
      <alignment vertical="top" wrapText="1"/>
    </xf>
    <xf numFmtId="0" fontId="103" fillId="43" borderId="123" xfId="0" applyFont="1" applyFill="1" applyBorder="1" applyAlignment="1">
      <alignment horizontal="center" vertical="top" wrapText="1"/>
    </xf>
    <xf numFmtId="0" fontId="103" fillId="45" borderId="123" xfId="0" applyFont="1" applyFill="1" applyBorder="1" applyAlignment="1">
      <alignment horizontal="center" vertical="top" wrapText="1"/>
    </xf>
    <xf numFmtId="0" fontId="103" fillId="45" borderId="42" xfId="0" applyFont="1" applyFill="1" applyBorder="1" applyAlignment="1">
      <alignment horizontal="center" vertical="top" wrapText="1"/>
    </xf>
    <xf numFmtId="0" fontId="103" fillId="45" borderId="10" xfId="0" applyFont="1" applyFill="1" applyBorder="1" applyAlignment="1">
      <alignment horizontal="center" vertical="top" wrapText="1"/>
    </xf>
    <xf numFmtId="0" fontId="110" fillId="45" borderId="120" xfId="0" applyFont="1" applyFill="1" applyBorder="1" applyAlignment="1">
      <alignment vertical="top" wrapText="1"/>
    </xf>
    <xf numFmtId="164" fontId="101" fillId="43" borderId="78" xfId="42" applyNumberFormat="1" applyFont="1" applyFill="1" applyBorder="1" applyAlignment="1">
      <alignment horizontal="justify" vertical="top" wrapText="1"/>
    </xf>
    <xf numFmtId="164" fontId="101" fillId="43" borderId="149" xfId="42" applyNumberFormat="1" applyFont="1" applyFill="1" applyBorder="1" applyAlignment="1">
      <alignment horizontal="justify" vertical="top" wrapText="1"/>
    </xf>
    <xf numFmtId="0" fontId="3" fillId="33" borderId="10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6"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108" xfId="0" applyFont="1" applyFill="1" applyBorder="1" applyAlignment="1">
      <alignment horizontal="center" vertical="center" wrapText="1"/>
    </xf>
    <xf numFmtId="164" fontId="3" fillId="33" borderId="50" xfId="42" applyNumberFormat="1" applyFont="1" applyFill="1" applyBorder="1" applyAlignment="1">
      <alignment horizontal="center" vertical="center" wrapText="1"/>
    </xf>
    <xf numFmtId="0" fontId="103" fillId="42" borderId="0" xfId="0" applyFont="1" applyFill="1" applyBorder="1" applyAlignment="1">
      <alignment horizontal="right" vertical="top" wrapText="1"/>
    </xf>
    <xf numFmtId="0" fontId="103" fillId="42" borderId="0" xfId="0" applyFont="1" applyFill="1" applyBorder="1" applyAlignment="1">
      <alignment horizontal="left" vertical="top" wrapText="1"/>
    </xf>
    <xf numFmtId="0" fontId="103" fillId="44" borderId="237" xfId="0" applyFont="1" applyFill="1" applyBorder="1" applyAlignment="1">
      <alignment horizontal="center" vertical="center" wrapText="1"/>
    </xf>
    <xf numFmtId="0" fontId="103" fillId="44" borderId="22" xfId="0" applyFont="1" applyFill="1" applyBorder="1" applyAlignment="1">
      <alignment horizontal="center" vertical="center" wrapText="1"/>
    </xf>
    <xf numFmtId="0" fontId="103" fillId="42" borderId="0" xfId="0" applyFont="1" applyFill="1" applyAlignment="1">
      <alignment horizontal="left" vertical="top" wrapText="1"/>
    </xf>
    <xf numFmtId="0" fontId="103" fillId="44" borderId="10" xfId="0" applyFont="1" applyFill="1" applyBorder="1" applyAlignment="1">
      <alignment horizontal="center" vertical="center" wrapText="1"/>
    </xf>
    <xf numFmtId="0" fontId="103" fillId="44" borderId="101" xfId="0" applyFont="1" applyFill="1" applyBorder="1" applyAlignment="1">
      <alignment horizontal="center" vertical="center" wrapText="1"/>
    </xf>
    <xf numFmtId="0" fontId="41" fillId="42" borderId="169" xfId="0" applyFont="1" applyFill="1" applyBorder="1" applyAlignment="1">
      <alignment horizontal="left" vertical="top" wrapText="1"/>
    </xf>
    <xf numFmtId="0" fontId="110" fillId="42" borderId="146" xfId="0" applyFont="1" applyFill="1" applyBorder="1" applyAlignment="1">
      <alignment horizontal="left" vertical="top" wrapText="1"/>
    </xf>
    <xf numFmtId="0" fontId="103" fillId="42" borderId="169" xfId="0" applyFont="1" applyFill="1" applyBorder="1" applyAlignment="1">
      <alignment horizontal="left" vertical="top" wrapText="1"/>
    </xf>
    <xf numFmtId="0" fontId="103" fillId="42" borderId="146" xfId="0" applyFont="1" applyFill="1" applyBorder="1" applyAlignment="1">
      <alignment horizontal="left" vertical="top" wrapText="1"/>
    </xf>
    <xf numFmtId="0" fontId="103" fillId="42" borderId="147" xfId="0" applyFont="1" applyFill="1" applyBorder="1" applyAlignment="1">
      <alignment horizontal="left" vertical="top" wrapText="1"/>
    </xf>
    <xf numFmtId="0" fontId="103" fillId="42" borderId="169" xfId="0" applyFont="1" applyFill="1" applyBorder="1" applyAlignment="1">
      <alignment horizontal="left" vertical="top" wrapText="1"/>
    </xf>
    <xf numFmtId="0" fontId="115" fillId="42" borderId="146" xfId="0" applyFont="1" applyFill="1" applyBorder="1" applyAlignment="1">
      <alignment horizontal="left" vertical="top" wrapText="1"/>
    </xf>
    <xf numFmtId="0" fontId="115" fillId="42" borderId="147" xfId="0" applyFont="1" applyFill="1" applyBorder="1" applyAlignment="1">
      <alignment horizontal="left" vertical="top" wrapText="1"/>
    </xf>
    <xf numFmtId="0" fontId="103" fillId="42" borderId="0" xfId="0" applyFont="1" applyFill="1" applyAlignment="1">
      <alignment vertical="top" wrapText="1"/>
    </xf>
    <xf numFmtId="0" fontId="103" fillId="42" borderId="238" xfId="0" applyFont="1" applyFill="1" applyBorder="1" applyAlignment="1">
      <alignment horizontal="left" vertical="top" wrapText="1"/>
    </xf>
    <xf numFmtId="0" fontId="103" fillId="42" borderId="19" xfId="0" applyFont="1" applyFill="1" applyBorder="1" applyAlignment="1">
      <alignment horizontal="left" vertical="top" wrapText="1"/>
    </xf>
    <xf numFmtId="0" fontId="103" fillId="42" borderId="102" xfId="0" applyFont="1" applyFill="1" applyBorder="1" applyAlignment="1">
      <alignment horizontal="left" vertical="top" wrapText="1"/>
    </xf>
    <xf numFmtId="0" fontId="103" fillId="44" borderId="239" xfId="0" applyFont="1" applyFill="1" applyBorder="1" applyAlignment="1">
      <alignment horizontal="center" vertical="center" wrapText="1"/>
    </xf>
    <xf numFmtId="0" fontId="103" fillId="44" borderId="240" xfId="0" applyFont="1" applyFill="1" applyBorder="1" applyAlignment="1">
      <alignment horizontal="center" vertical="center" wrapText="1"/>
    </xf>
    <xf numFmtId="0" fontId="103" fillId="44" borderId="128" xfId="0" applyFont="1" applyFill="1" applyBorder="1" applyAlignment="1">
      <alignment horizontal="center" vertical="center" wrapText="1"/>
    </xf>
    <xf numFmtId="0" fontId="41" fillId="42" borderId="146" xfId="0" applyFont="1" applyFill="1" applyBorder="1" applyAlignment="1">
      <alignment horizontal="left" vertical="top" wrapText="1"/>
    </xf>
    <xf numFmtId="0" fontId="110" fillId="42" borderId="146" xfId="0" applyFont="1" applyFill="1" applyBorder="1" applyAlignment="1">
      <alignment horizontal="left" vertical="top" wrapText="1"/>
    </xf>
    <xf numFmtId="0" fontId="110" fillId="42" borderId="147" xfId="0" applyFont="1" applyFill="1" applyBorder="1" applyAlignment="1">
      <alignment horizontal="left" vertical="top" wrapText="1"/>
    </xf>
    <xf numFmtId="164" fontId="103" fillId="42" borderId="87" xfId="42" applyNumberFormat="1" applyFont="1" applyFill="1" applyBorder="1" applyAlignment="1">
      <alignment horizontal="center" vertical="top" wrapText="1"/>
    </xf>
    <xf numFmtId="164" fontId="103" fillId="42" borderId="0" xfId="42" applyNumberFormat="1" applyFont="1" applyFill="1" applyBorder="1" applyAlignment="1">
      <alignment horizontal="center" vertical="top"/>
    </xf>
    <xf numFmtId="164" fontId="103" fillId="42" borderId="241" xfId="42" applyNumberFormat="1" applyFont="1" applyFill="1" applyBorder="1" applyAlignment="1">
      <alignment horizontal="center" vertical="top"/>
    </xf>
    <xf numFmtId="164" fontId="103" fillId="42" borderId="87" xfId="42" applyNumberFormat="1" applyFont="1" applyFill="1" applyBorder="1" applyAlignment="1">
      <alignment horizontal="center" vertical="top"/>
    </xf>
    <xf numFmtId="3" fontId="103" fillId="42" borderId="0" xfId="0" applyNumberFormat="1" applyFont="1" applyFill="1" applyBorder="1" applyAlignment="1">
      <alignment horizontal="center" vertical="top" wrapText="1"/>
    </xf>
    <xf numFmtId="3" fontId="103" fillId="42" borderId="20" xfId="0" applyNumberFormat="1" applyFont="1" applyFill="1" applyBorder="1" applyAlignment="1">
      <alignment horizontal="center" vertical="top" wrapText="1"/>
    </xf>
    <xf numFmtId="164" fontId="103" fillId="42" borderId="0" xfId="42" applyNumberFormat="1" applyFont="1" applyFill="1" applyBorder="1" applyAlignment="1">
      <alignment horizontal="center" vertical="top" wrapText="1"/>
    </xf>
    <xf numFmtId="164" fontId="103" fillId="42" borderId="20" xfId="42" applyNumberFormat="1" applyFont="1" applyFill="1" applyBorder="1" applyAlignment="1">
      <alignment horizontal="center" vertical="top" wrapText="1"/>
    </xf>
    <xf numFmtId="164" fontId="103" fillId="44" borderId="242" xfId="42" applyNumberFormat="1" applyFont="1" applyFill="1" applyBorder="1" applyAlignment="1">
      <alignment horizontal="center" vertical="center" wrapText="1"/>
    </xf>
    <xf numFmtId="0" fontId="103" fillId="44" borderId="243" xfId="0" applyFont="1" applyFill="1" applyBorder="1" applyAlignment="1">
      <alignment horizontal="center" vertical="center" wrapText="1"/>
    </xf>
    <xf numFmtId="0" fontId="103" fillId="44" borderId="102" xfId="0" applyFont="1" applyFill="1" applyBorder="1" applyAlignment="1">
      <alignment horizontal="center" vertical="center" wrapText="1"/>
    </xf>
    <xf numFmtId="0" fontId="103" fillId="44" borderId="139" xfId="0" applyFont="1" applyFill="1" applyBorder="1" applyAlignment="1">
      <alignment horizontal="center" vertical="center" wrapText="1"/>
    </xf>
    <xf numFmtId="0" fontId="103" fillId="44" borderId="244" xfId="0" applyFont="1" applyFill="1" applyBorder="1" applyAlignment="1">
      <alignment horizontal="right" vertical="center" wrapText="1"/>
    </xf>
    <xf numFmtId="0" fontId="103" fillId="44" borderId="236" xfId="0" applyFont="1" applyFill="1" applyBorder="1" applyAlignment="1">
      <alignment horizontal="right" vertical="center" wrapText="1"/>
    </xf>
    <xf numFmtId="0" fontId="103" fillId="44" borderId="230" xfId="0" applyFont="1" applyFill="1" applyBorder="1" applyAlignment="1">
      <alignment horizontal="right" vertical="center" wrapText="1"/>
    </xf>
    <xf numFmtId="0" fontId="103" fillId="44" borderId="129" xfId="0" applyFont="1" applyFill="1" applyBorder="1" applyAlignment="1">
      <alignment horizontal="right" vertical="center" wrapText="1"/>
    </xf>
    <xf numFmtId="0" fontId="103" fillId="44" borderId="10" xfId="0" applyFont="1" applyFill="1" applyBorder="1" applyAlignment="1">
      <alignment horizontal="right" vertical="center" wrapText="1"/>
    </xf>
    <xf numFmtId="0" fontId="103" fillId="44" borderId="101" xfId="0" applyFont="1" applyFill="1" applyBorder="1" applyAlignment="1">
      <alignment horizontal="right" vertical="center" wrapText="1"/>
    </xf>
    <xf numFmtId="3" fontId="103" fillId="44" borderId="242" xfId="0" applyNumberFormat="1" applyFont="1" applyFill="1" applyBorder="1" applyAlignment="1">
      <alignment horizontal="center" vertical="center" wrapText="1"/>
    </xf>
    <xf numFmtId="0" fontId="103" fillId="42" borderId="129" xfId="0" applyFont="1" applyFill="1" applyBorder="1" applyAlignment="1">
      <alignment horizontal="right" vertical="top" wrapText="1"/>
    </xf>
    <xf numFmtId="0" fontId="103" fillId="42" borderId="10" xfId="0" applyFont="1" applyFill="1" applyBorder="1" applyAlignment="1">
      <alignment horizontal="right" vertical="top" wrapText="1"/>
    </xf>
    <xf numFmtId="0" fontId="103" fillId="42" borderId="101" xfId="0" applyFont="1" applyFill="1" applyBorder="1" applyAlignment="1">
      <alignment horizontal="right" vertical="top" wrapText="1"/>
    </xf>
    <xf numFmtId="0" fontId="110" fillId="42" borderId="129" xfId="0" applyFont="1" applyFill="1" applyBorder="1" applyAlignment="1">
      <alignment horizontal="right" vertical="top" wrapText="1"/>
    </xf>
    <xf numFmtId="0" fontId="110" fillId="42" borderId="10" xfId="0" applyFont="1" applyFill="1" applyBorder="1" applyAlignment="1">
      <alignment horizontal="right" vertical="top" wrapText="1"/>
    </xf>
    <xf numFmtId="0" fontId="110" fillId="42" borderId="101" xfId="0" applyFont="1" applyFill="1" applyBorder="1" applyAlignment="1">
      <alignment horizontal="right" vertical="top" wrapText="1"/>
    </xf>
    <xf numFmtId="0" fontId="101" fillId="42" borderId="129" xfId="0" applyFont="1" applyFill="1" applyBorder="1" applyAlignment="1">
      <alignment horizontal="right" vertical="top" wrapText="1"/>
    </xf>
    <xf numFmtId="0" fontId="101" fillId="42" borderId="10" xfId="0" applyFont="1" applyFill="1" applyBorder="1" applyAlignment="1">
      <alignment horizontal="right" vertical="top" wrapText="1"/>
    </xf>
    <xf numFmtId="0" fontId="101" fillId="42" borderId="101" xfId="0" applyFont="1" applyFill="1" applyBorder="1" applyAlignment="1">
      <alignment horizontal="right" vertical="top" wrapText="1"/>
    </xf>
    <xf numFmtId="0" fontId="101" fillId="42" borderId="162" xfId="0" applyFont="1" applyFill="1" applyBorder="1" applyAlignment="1">
      <alignment horizontal="right" vertical="top" wrapText="1"/>
    </xf>
    <xf numFmtId="0" fontId="101" fillId="42" borderId="163" xfId="0" applyFont="1" applyFill="1" applyBorder="1" applyAlignment="1">
      <alignment horizontal="right" vertical="top" wrapText="1"/>
    </xf>
    <xf numFmtId="0" fontId="101" fillId="42" borderId="174" xfId="0" applyFont="1" applyFill="1" applyBorder="1" applyAlignment="1">
      <alignment horizontal="right" vertical="top" wrapText="1"/>
    </xf>
    <xf numFmtId="0" fontId="37" fillId="42" borderId="0" xfId="0" applyFont="1" applyFill="1" applyAlignment="1">
      <alignment horizontal="center"/>
    </xf>
    <xf numFmtId="0" fontId="38" fillId="42" borderId="10" xfId="0" applyFont="1" applyFill="1" applyBorder="1" applyAlignment="1">
      <alignment horizontal="left" vertical="top" wrapText="1"/>
    </xf>
    <xf numFmtId="0" fontId="37" fillId="0" borderId="0" xfId="0" applyFont="1" applyBorder="1" applyAlignment="1">
      <alignment horizontal="right" vertical="top" wrapText="1"/>
    </xf>
    <xf numFmtId="0" fontId="38" fillId="42" borderId="169" xfId="0" applyFont="1" applyFill="1" applyBorder="1" applyAlignment="1">
      <alignment horizontal="left" vertical="top" wrapText="1"/>
    </xf>
    <xf numFmtId="0" fontId="38" fillId="42" borderId="146" xfId="0" applyFont="1" applyFill="1" applyBorder="1" applyAlignment="1">
      <alignment horizontal="left" vertical="top" wrapText="1"/>
    </xf>
    <xf numFmtId="0" fontId="37" fillId="44" borderId="239" xfId="0" applyFont="1" applyFill="1" applyBorder="1" applyAlignment="1">
      <alignment horizontal="center" vertical="center" wrapText="1"/>
    </xf>
    <xf numFmtId="0" fontId="37" fillId="44" borderId="10" xfId="0" applyFont="1" applyFill="1" applyBorder="1" applyAlignment="1">
      <alignment horizontal="center" vertical="center" wrapText="1"/>
    </xf>
    <xf numFmtId="0" fontId="37" fillId="0" borderId="0" xfId="0" applyFont="1" applyAlignment="1">
      <alignment horizontal="left" vertical="top" wrapText="1"/>
    </xf>
    <xf numFmtId="0" fontId="38" fillId="34" borderId="146" xfId="0" applyFont="1" applyFill="1" applyBorder="1" applyAlignment="1">
      <alignment horizontal="left" vertical="top" wrapText="1"/>
    </xf>
    <xf numFmtId="0" fontId="38" fillId="34" borderId="147" xfId="0" applyFont="1" applyFill="1" applyBorder="1" applyAlignment="1">
      <alignment horizontal="left" vertical="top" wrapText="1"/>
    </xf>
    <xf numFmtId="0" fontId="37" fillId="44" borderId="245" xfId="0" applyFont="1" applyFill="1" applyBorder="1" applyAlignment="1">
      <alignment horizontal="center" vertical="center" wrapText="1"/>
    </xf>
    <xf numFmtId="0" fontId="38" fillId="44" borderId="239" xfId="0" applyFont="1" applyFill="1" applyBorder="1" applyAlignment="1">
      <alignment vertical="center" wrapText="1"/>
    </xf>
    <xf numFmtId="0" fontId="38" fillId="44" borderId="243" xfId="0" applyFont="1" applyFill="1" applyBorder="1" applyAlignment="1">
      <alignment vertical="center" wrapText="1"/>
    </xf>
    <xf numFmtId="0" fontId="37" fillId="34" borderId="238" xfId="0" applyFont="1" applyFill="1" applyBorder="1" applyAlignment="1">
      <alignment horizontal="left" vertical="top" wrapText="1"/>
    </xf>
    <xf numFmtId="0" fontId="37" fillId="34" borderId="19" xfId="0" applyFont="1" applyFill="1" applyBorder="1" applyAlignment="1">
      <alignment horizontal="left" vertical="top" wrapText="1"/>
    </xf>
    <xf numFmtId="0" fontId="39" fillId="42" borderId="246" xfId="0" applyFont="1" applyFill="1" applyBorder="1" applyAlignment="1">
      <alignment horizontal="left" vertical="top" wrapText="1"/>
    </xf>
    <xf numFmtId="0" fontId="39" fillId="42" borderId="25" xfId="0" applyFont="1" applyFill="1" applyBorder="1" applyAlignment="1">
      <alignment horizontal="left" vertical="top" wrapText="1"/>
    </xf>
    <xf numFmtId="0" fontId="37" fillId="44" borderId="101" xfId="0" applyFont="1" applyFill="1" applyBorder="1" applyAlignment="1">
      <alignment horizontal="center" vertical="center" wrapText="1"/>
    </xf>
    <xf numFmtId="0" fontId="37" fillId="44" borderId="19" xfId="0" applyFont="1" applyFill="1" applyBorder="1" applyAlignment="1">
      <alignment horizontal="center" vertical="center" wrapText="1"/>
    </xf>
    <xf numFmtId="0" fontId="37" fillId="44" borderId="154" xfId="0" applyFont="1" applyFill="1" applyBorder="1" applyAlignment="1">
      <alignment horizontal="center" vertical="center" wrapText="1"/>
    </xf>
    <xf numFmtId="0" fontId="37" fillId="44" borderId="102" xfId="0" applyFont="1" applyFill="1" applyBorder="1" applyAlignment="1">
      <alignment horizontal="center" vertical="center" wrapText="1"/>
    </xf>
    <xf numFmtId="0" fontId="37" fillId="34" borderId="169" xfId="0" applyFont="1" applyFill="1" applyBorder="1" applyAlignment="1">
      <alignment horizontal="left" vertical="top" wrapText="1"/>
    </xf>
    <xf numFmtId="0" fontId="37" fillId="34" borderId="146" xfId="0" applyFont="1" applyFill="1" applyBorder="1" applyAlignment="1">
      <alignment horizontal="left" vertical="top" wrapText="1"/>
    </xf>
    <xf numFmtId="0" fontId="37" fillId="42" borderId="147" xfId="0" applyFont="1" applyFill="1" applyBorder="1" applyAlignment="1">
      <alignment horizontal="left" vertical="top" wrapText="1"/>
    </xf>
    <xf numFmtId="0" fontId="37" fillId="44" borderId="240" xfId="0" applyFont="1" applyFill="1" applyBorder="1" applyAlignment="1">
      <alignment horizontal="center" vertical="center" wrapText="1"/>
    </xf>
    <xf numFmtId="0" fontId="37" fillId="44" borderId="128" xfId="0" applyFont="1" applyFill="1" applyBorder="1" applyAlignment="1">
      <alignment horizontal="center" vertical="center" wrapText="1"/>
    </xf>
    <xf numFmtId="0" fontId="37" fillId="44" borderId="247" xfId="0" applyFont="1" applyFill="1" applyBorder="1" applyAlignment="1">
      <alignment horizontal="center" vertical="center" wrapText="1"/>
    </xf>
    <xf numFmtId="0" fontId="37" fillId="44" borderId="248" xfId="0" applyFont="1" applyFill="1" applyBorder="1" applyAlignment="1">
      <alignment horizontal="center" vertical="center" wrapText="1"/>
    </xf>
    <xf numFmtId="0" fontId="37" fillId="44" borderId="249" xfId="0" applyFont="1" applyFill="1" applyBorder="1" applyAlignment="1">
      <alignment horizontal="center" vertical="center" wrapText="1"/>
    </xf>
    <xf numFmtId="0" fontId="37" fillId="44" borderId="116" xfId="0" applyFont="1" applyFill="1" applyBorder="1" applyAlignment="1">
      <alignment horizontal="center" vertical="center" wrapText="1"/>
    </xf>
    <xf numFmtId="0" fontId="37" fillId="44" borderId="25" xfId="0" applyFont="1" applyFill="1" applyBorder="1" applyAlignment="1">
      <alignment horizontal="center" vertical="center" wrapText="1"/>
    </xf>
    <xf numFmtId="0" fontId="37" fillId="44" borderId="14" xfId="0" applyFont="1" applyFill="1" applyBorder="1" applyAlignment="1">
      <alignment horizontal="center" vertical="center" wrapText="1"/>
    </xf>
    <xf numFmtId="0" fontId="38" fillId="42" borderId="146" xfId="0" applyFont="1" applyFill="1" applyBorder="1" applyAlignment="1">
      <alignment horizontal="left" vertical="top" wrapText="1"/>
    </xf>
    <xf numFmtId="0" fontId="38" fillId="42" borderId="147" xfId="0" applyFont="1" applyFill="1" applyBorder="1" applyAlignment="1">
      <alignment horizontal="left" vertical="top" wrapText="1"/>
    </xf>
    <xf numFmtId="0" fontId="37" fillId="0" borderId="0" xfId="0" applyFont="1" applyBorder="1" applyAlignment="1">
      <alignment horizontal="left" vertical="top" wrapText="1"/>
    </xf>
    <xf numFmtId="0" fontId="37" fillId="42" borderId="128" xfId="0" applyFont="1" applyFill="1" applyBorder="1" applyAlignment="1">
      <alignment horizontal="right" vertical="top" wrapText="1"/>
    </xf>
    <xf numFmtId="0" fontId="37" fillId="42" borderId="10" xfId="0" applyFont="1" applyFill="1" applyBorder="1" applyAlignment="1">
      <alignment horizontal="right" vertical="top" wrapText="1"/>
    </xf>
    <xf numFmtId="0" fontId="38" fillId="42" borderId="128" xfId="0" applyFont="1" applyFill="1" applyBorder="1" applyAlignment="1">
      <alignment horizontal="right" vertical="top" wrapText="1"/>
    </xf>
    <xf numFmtId="0" fontId="38" fillId="42" borderId="10" xfId="0" applyFont="1" applyFill="1" applyBorder="1" applyAlignment="1">
      <alignment horizontal="right" vertical="top" wrapText="1"/>
    </xf>
    <xf numFmtId="0" fontId="101" fillId="42" borderId="169" xfId="0" applyFont="1" applyFill="1" applyBorder="1" applyAlignment="1">
      <alignment horizontal="right" vertical="top" wrapText="1"/>
    </xf>
    <xf numFmtId="0" fontId="101" fillId="42" borderId="11" xfId="0" applyFont="1" applyFill="1" applyBorder="1" applyAlignment="1">
      <alignment horizontal="right" vertical="top" wrapText="1"/>
    </xf>
    <xf numFmtId="0" fontId="101" fillId="43" borderId="250" xfId="0" applyFont="1" applyFill="1" applyBorder="1" applyAlignment="1">
      <alignment horizontal="right" vertical="top" wrapText="1"/>
    </xf>
    <xf numFmtId="0" fontId="101" fillId="43" borderId="180" xfId="0" applyFont="1" applyFill="1" applyBorder="1" applyAlignment="1">
      <alignment horizontal="right" vertical="top" wrapText="1"/>
    </xf>
    <xf numFmtId="0" fontId="39" fillId="42" borderId="251" xfId="0" applyFont="1" applyFill="1" applyBorder="1" applyAlignment="1">
      <alignment horizontal="left" vertical="top" wrapText="1"/>
    </xf>
    <xf numFmtId="0" fontId="39" fillId="42" borderId="181" xfId="0" applyFont="1" applyFill="1" applyBorder="1" applyAlignment="1">
      <alignment horizontal="left" vertical="top" wrapText="1"/>
    </xf>
    <xf numFmtId="0" fontId="101" fillId="42" borderId="128" xfId="0" applyFont="1" applyFill="1" applyBorder="1" applyAlignment="1">
      <alignment horizontal="right" vertical="top" wrapText="1"/>
    </xf>
    <xf numFmtId="164" fontId="37" fillId="44" borderId="252" xfId="42" applyNumberFormat="1" applyFont="1" applyFill="1" applyBorder="1" applyAlignment="1">
      <alignment horizontal="center" vertical="center" wrapText="1"/>
    </xf>
    <xf numFmtId="164" fontId="37" fillId="44" borderId="253" xfId="42" applyNumberFormat="1" applyFont="1" applyFill="1" applyBorder="1" applyAlignment="1">
      <alignment horizontal="center" vertical="center" wrapText="1"/>
    </xf>
    <xf numFmtId="164" fontId="37" fillId="44" borderId="254" xfId="42" applyNumberFormat="1" applyFont="1" applyFill="1" applyBorder="1" applyAlignment="1">
      <alignment horizontal="center" vertical="center" wrapText="1"/>
    </xf>
    <xf numFmtId="3" fontId="37" fillId="44" borderId="255" xfId="0" applyNumberFormat="1" applyFont="1" applyFill="1" applyBorder="1" applyAlignment="1">
      <alignment horizontal="center" vertical="center" wrapText="1"/>
    </xf>
    <xf numFmtId="3" fontId="37" fillId="44" borderId="253" xfId="0" applyNumberFormat="1" applyFont="1" applyFill="1" applyBorder="1" applyAlignment="1">
      <alignment horizontal="center" vertical="center" wrapText="1"/>
    </xf>
    <xf numFmtId="3" fontId="37" fillId="44" borderId="254" xfId="0" applyNumberFormat="1" applyFont="1" applyFill="1" applyBorder="1" applyAlignment="1">
      <alignment horizontal="center" vertical="center" wrapText="1"/>
    </xf>
    <xf numFmtId="164" fontId="37" fillId="44" borderId="256" xfId="42" applyNumberFormat="1" applyFont="1" applyFill="1" applyBorder="1" applyAlignment="1">
      <alignment horizontal="center" vertical="center" wrapText="1"/>
    </xf>
    <xf numFmtId="0" fontId="37" fillId="42" borderId="147" xfId="0" applyFont="1" applyFill="1" applyBorder="1" applyAlignment="1">
      <alignment horizontal="right" vertical="top" wrapText="1"/>
    </xf>
    <xf numFmtId="0" fontId="37" fillId="42" borderId="22" xfId="0" applyFont="1" applyFill="1" applyBorder="1" applyAlignment="1">
      <alignment horizontal="right" vertical="top" wrapText="1"/>
    </xf>
    <xf numFmtId="0" fontId="37" fillId="44" borderId="11" xfId="0" applyFont="1" applyFill="1" applyBorder="1" applyAlignment="1">
      <alignment horizontal="center" vertical="center" wrapText="1"/>
    </xf>
    <xf numFmtId="0" fontId="37" fillId="44" borderId="22" xfId="0" applyFont="1" applyFill="1" applyBorder="1" applyAlignment="1">
      <alignment horizontal="center" vertical="center" wrapText="1"/>
    </xf>
    <xf numFmtId="0" fontId="38" fillId="44" borderId="10" xfId="0" applyFont="1" applyFill="1" applyBorder="1" applyAlignment="1">
      <alignment horizontal="center" vertical="center" wrapText="1"/>
    </xf>
    <xf numFmtId="0" fontId="37" fillId="42" borderId="25" xfId="0" applyFont="1" applyFill="1" applyBorder="1" applyAlignment="1">
      <alignment horizontal="left"/>
    </xf>
    <xf numFmtId="0" fontId="38" fillId="42" borderId="26" xfId="0" applyFont="1" applyFill="1" applyBorder="1" applyAlignment="1">
      <alignment horizontal="center" vertical="top" wrapText="1"/>
    </xf>
    <xf numFmtId="0" fontId="37" fillId="42" borderId="10" xfId="0" applyFont="1" applyFill="1" applyBorder="1" applyAlignment="1">
      <alignment horizontal="left" vertical="top" wrapText="1"/>
    </xf>
    <xf numFmtId="0" fontId="37" fillId="0" borderId="169" xfId="0" applyFont="1" applyFill="1" applyBorder="1" applyAlignment="1">
      <alignment horizontal="left" vertical="top" wrapText="1"/>
    </xf>
    <xf numFmtId="0" fontId="37" fillId="0" borderId="146" xfId="0" applyFont="1" applyFill="1" applyBorder="1" applyAlignment="1">
      <alignment horizontal="left" vertical="top" wrapText="1"/>
    </xf>
    <xf numFmtId="0" fontId="37" fillId="0" borderId="147" xfId="0" applyFont="1" applyFill="1" applyBorder="1" applyAlignment="1">
      <alignment horizontal="left" vertical="top" wrapText="1"/>
    </xf>
    <xf numFmtId="0" fontId="38" fillId="42" borderId="147" xfId="0" applyFont="1" applyFill="1" applyBorder="1" applyAlignment="1">
      <alignment horizontal="left" vertical="top" wrapText="1"/>
    </xf>
    <xf numFmtId="3" fontId="37" fillId="44" borderId="255" xfId="0" applyNumberFormat="1" applyFont="1" applyFill="1" applyBorder="1" applyAlignment="1">
      <alignment horizontal="center" vertical="top" wrapText="1"/>
    </xf>
    <xf numFmtId="3" fontId="37" fillId="44" borderId="253" xfId="0" applyNumberFormat="1" applyFont="1" applyFill="1" applyBorder="1" applyAlignment="1">
      <alignment horizontal="center" vertical="top" wrapText="1"/>
    </xf>
    <xf numFmtId="3" fontId="37" fillId="44" borderId="245" xfId="0" applyNumberFormat="1" applyFont="1" applyFill="1" applyBorder="1" applyAlignment="1">
      <alignment horizontal="center" vertical="top" wrapText="1"/>
    </xf>
    <xf numFmtId="0" fontId="37" fillId="44" borderId="240" xfId="0" applyFont="1" applyFill="1" applyBorder="1" applyAlignment="1">
      <alignment horizontal="right" vertical="top" wrapText="1"/>
    </xf>
    <xf numFmtId="0" fontId="37" fillId="44" borderId="239" xfId="0" applyFont="1" applyFill="1" applyBorder="1" applyAlignment="1">
      <alignment horizontal="right" vertical="top" wrapText="1"/>
    </xf>
    <xf numFmtId="0" fontId="37" fillId="44" borderId="128" xfId="0" applyFont="1" applyFill="1" applyBorder="1" applyAlignment="1">
      <alignment horizontal="right" vertical="top" wrapText="1"/>
    </xf>
    <xf numFmtId="0" fontId="37" fillId="44" borderId="10" xfId="0" applyFont="1" applyFill="1" applyBorder="1" applyAlignment="1">
      <alignment horizontal="right" vertical="top" wrapText="1"/>
    </xf>
    <xf numFmtId="0" fontId="37" fillId="42" borderId="169" xfId="0" applyFont="1" applyFill="1" applyBorder="1" applyAlignment="1">
      <alignment horizontal="left" vertical="top" wrapText="1"/>
    </xf>
    <xf numFmtId="0" fontId="37" fillId="42" borderId="146" xfId="0" applyFont="1" applyFill="1" applyBorder="1" applyAlignment="1">
      <alignment horizontal="left" vertical="top" wrapText="1"/>
    </xf>
    <xf numFmtId="0" fontId="37" fillId="44" borderId="257" xfId="0" applyFont="1" applyFill="1" applyBorder="1" applyAlignment="1">
      <alignment horizontal="right" vertical="center" wrapText="1"/>
    </xf>
    <xf numFmtId="0" fontId="37" fillId="44" borderId="248" xfId="0" applyFont="1" applyFill="1" applyBorder="1" applyAlignment="1">
      <alignment horizontal="right" vertical="center" wrapText="1"/>
    </xf>
    <xf numFmtId="0" fontId="37" fillId="44" borderId="249" xfId="0" applyFont="1" applyFill="1" applyBorder="1" applyAlignment="1">
      <alignment horizontal="right" vertical="center" wrapText="1"/>
    </xf>
    <xf numFmtId="0" fontId="37" fillId="44" borderId="246" xfId="0" applyFont="1" applyFill="1" applyBorder="1" applyAlignment="1">
      <alignment horizontal="right" vertical="center" wrapText="1"/>
    </xf>
    <xf numFmtId="0" fontId="37" fillId="44" borderId="25" xfId="0" applyFont="1" applyFill="1" applyBorder="1" applyAlignment="1">
      <alignment horizontal="right" vertical="center" wrapText="1"/>
    </xf>
    <xf numFmtId="0" fontId="37" fillId="44" borderId="14" xfId="0" applyFont="1" applyFill="1" applyBorder="1" applyAlignment="1">
      <alignment horizontal="right" vertical="center" wrapText="1"/>
    </xf>
    <xf numFmtId="0" fontId="37" fillId="42" borderId="251" xfId="0" applyFont="1" applyFill="1" applyBorder="1" applyAlignment="1">
      <alignment horizontal="left" vertical="top" wrapText="1"/>
    </xf>
    <xf numFmtId="0" fontId="39" fillId="42" borderId="181" xfId="0" applyFont="1" applyFill="1" applyBorder="1" applyAlignment="1">
      <alignment horizontal="left" vertical="center" wrapText="1"/>
    </xf>
    <xf numFmtId="0" fontId="39" fillId="42" borderId="229" xfId="0" applyFont="1" applyFill="1" applyBorder="1" applyAlignment="1">
      <alignment horizontal="left" vertical="center" wrapText="1"/>
    </xf>
    <xf numFmtId="0" fontId="37" fillId="44" borderId="139" xfId="0" applyFont="1" applyFill="1" applyBorder="1" applyAlignment="1">
      <alignment horizontal="center" vertical="center" wrapText="1"/>
    </xf>
    <xf numFmtId="3" fontId="37" fillId="44" borderId="239" xfId="0" applyNumberFormat="1" applyFont="1" applyFill="1" applyBorder="1" applyAlignment="1">
      <alignment horizontal="center" vertical="center" wrapText="1"/>
    </xf>
    <xf numFmtId="0" fontId="37" fillId="44" borderId="243" xfId="0" applyFont="1" applyFill="1" applyBorder="1" applyAlignment="1">
      <alignment horizontal="center" vertical="center" wrapText="1"/>
    </xf>
    <xf numFmtId="0" fontId="37" fillId="44" borderId="237" xfId="0" applyFont="1" applyFill="1" applyBorder="1" applyAlignment="1">
      <alignment horizontal="center" vertical="center" wrapText="1"/>
    </xf>
    <xf numFmtId="0" fontId="37" fillId="44" borderId="15" xfId="0" applyFont="1" applyFill="1" applyBorder="1" applyAlignment="1">
      <alignment horizontal="center" vertical="center" wrapText="1"/>
    </xf>
    <xf numFmtId="0" fontId="38" fillId="42" borderId="238" xfId="0" applyFont="1" applyFill="1" applyBorder="1" applyAlignment="1">
      <alignment horizontal="right" vertical="top" wrapText="1"/>
    </xf>
    <xf numFmtId="0" fontId="38" fillId="42" borderId="19" xfId="0" applyFont="1" applyFill="1" applyBorder="1" applyAlignment="1">
      <alignment horizontal="right" vertical="top" wrapText="1"/>
    </xf>
    <xf numFmtId="0" fontId="38" fillId="42" borderId="102" xfId="0" applyFont="1" applyFill="1" applyBorder="1" applyAlignment="1">
      <alignment horizontal="right" vertical="top" wrapText="1"/>
    </xf>
    <xf numFmtId="0" fontId="38" fillId="42" borderId="258" xfId="0" applyFont="1" applyFill="1" applyBorder="1" applyAlignment="1">
      <alignment horizontal="right" vertical="top" wrapText="1"/>
    </xf>
    <xf numFmtId="0" fontId="38" fillId="42" borderId="259" xfId="0" applyFont="1" applyFill="1" applyBorder="1" applyAlignment="1">
      <alignment horizontal="right" vertical="top" wrapText="1"/>
    </xf>
    <xf numFmtId="0" fontId="38" fillId="42" borderId="161" xfId="0" applyFont="1" applyFill="1" applyBorder="1" applyAlignment="1">
      <alignment horizontal="right" vertical="top" wrapText="1"/>
    </xf>
    <xf numFmtId="0" fontId="37" fillId="42" borderId="238" xfId="0" applyFont="1" applyFill="1" applyBorder="1" applyAlignment="1">
      <alignment horizontal="right" vertical="top" wrapText="1"/>
    </xf>
    <xf numFmtId="0" fontId="37" fillId="42" borderId="19" xfId="0" applyFont="1" applyFill="1" applyBorder="1" applyAlignment="1">
      <alignment horizontal="right" vertical="top" wrapText="1"/>
    </xf>
    <xf numFmtId="0" fontId="37" fillId="42" borderId="102" xfId="0" applyFont="1" applyFill="1" applyBorder="1" applyAlignment="1">
      <alignment horizontal="right" vertical="top" wrapText="1"/>
    </xf>
    <xf numFmtId="0" fontId="101" fillId="42" borderId="260" xfId="0" applyFont="1" applyFill="1" applyBorder="1" applyAlignment="1">
      <alignment horizontal="right" vertical="top" wrapText="1"/>
    </xf>
    <xf numFmtId="0" fontId="101" fillId="42" borderId="261" xfId="0" applyFont="1" applyFill="1" applyBorder="1" applyAlignment="1">
      <alignment horizontal="right" vertical="top" wrapText="1"/>
    </xf>
    <xf numFmtId="0" fontId="101" fillId="42" borderId="134" xfId="0" applyFont="1" applyFill="1" applyBorder="1" applyAlignment="1">
      <alignment horizontal="right" vertical="top" wrapText="1"/>
    </xf>
    <xf numFmtId="0" fontId="101" fillId="43" borderId="262" xfId="0" applyFont="1" applyFill="1" applyBorder="1" applyAlignment="1">
      <alignment horizontal="right" vertical="top" wrapText="1"/>
    </xf>
    <xf numFmtId="0" fontId="101" fillId="43" borderId="263" xfId="0" applyFont="1" applyFill="1" applyBorder="1" applyAlignment="1">
      <alignment horizontal="right" vertical="top" wrapText="1"/>
    </xf>
    <xf numFmtId="0" fontId="101" fillId="43" borderId="264" xfId="0" applyFont="1" applyFill="1" applyBorder="1" applyAlignment="1">
      <alignment horizontal="right" vertical="top" wrapText="1"/>
    </xf>
    <xf numFmtId="164" fontId="37" fillId="44" borderId="265" xfId="42" applyNumberFormat="1" applyFont="1" applyFill="1" applyBorder="1" applyAlignment="1">
      <alignment horizontal="center" vertical="center" wrapText="1"/>
    </xf>
    <xf numFmtId="164" fontId="37" fillId="44" borderId="239" xfId="42" applyNumberFormat="1" applyFont="1" applyFill="1" applyBorder="1" applyAlignment="1">
      <alignment horizontal="center" vertical="center" wrapText="1"/>
    </xf>
    <xf numFmtId="164" fontId="37" fillId="44" borderId="266" xfId="42" applyNumberFormat="1" applyFont="1" applyFill="1" applyBorder="1" applyAlignment="1">
      <alignment horizontal="center" vertical="center" wrapText="1"/>
    </xf>
    <xf numFmtId="164" fontId="37" fillId="44" borderId="243" xfId="42" applyNumberFormat="1" applyFont="1" applyFill="1" applyBorder="1" applyAlignment="1">
      <alignment horizontal="center" vertical="center" wrapText="1"/>
    </xf>
    <xf numFmtId="0" fontId="101" fillId="42" borderId="238" xfId="0" applyFont="1" applyFill="1" applyBorder="1" applyAlignment="1">
      <alignment horizontal="right" vertical="top" wrapText="1"/>
    </xf>
    <xf numFmtId="0" fontId="101" fillId="42" borderId="19" xfId="0" applyFont="1" applyFill="1" applyBorder="1" applyAlignment="1">
      <alignment horizontal="right" vertical="top" wrapText="1"/>
    </xf>
    <xf numFmtId="0" fontId="101" fillId="42" borderId="102" xfId="0" applyFont="1" applyFill="1" applyBorder="1" applyAlignment="1">
      <alignment horizontal="right" vertical="top" wrapText="1"/>
    </xf>
    <xf numFmtId="0" fontId="37" fillId="44" borderId="87" xfId="0" applyFont="1" applyFill="1" applyBorder="1" applyAlignment="1">
      <alignment horizontal="center" vertical="center" wrapText="1"/>
    </xf>
    <xf numFmtId="0" fontId="117" fillId="42" borderId="0" xfId="0" applyFont="1" applyFill="1" applyBorder="1" applyAlignment="1">
      <alignment horizontal="center" vertical="top" wrapText="1"/>
    </xf>
    <xf numFmtId="3" fontId="37" fillId="44" borderId="10" xfId="0" applyNumberFormat="1" applyFont="1" applyFill="1" applyBorder="1" applyAlignment="1">
      <alignment horizontal="center" vertical="center" wrapText="1"/>
    </xf>
    <xf numFmtId="0" fontId="38" fillId="44" borderId="267" xfId="0" applyFont="1" applyFill="1" applyBorder="1" applyAlignment="1">
      <alignment vertical="center" wrapText="1"/>
    </xf>
    <xf numFmtId="164" fontId="37" fillId="44" borderId="267" xfId="42" applyNumberFormat="1" applyFont="1" applyFill="1" applyBorder="1" applyAlignment="1">
      <alignment horizontal="center" vertical="center" wrapText="1"/>
    </xf>
    <xf numFmtId="164" fontId="37" fillId="44" borderId="268" xfId="42" applyNumberFormat="1" applyFont="1" applyFill="1" applyBorder="1" applyAlignment="1">
      <alignment horizontal="center" vertical="center" wrapText="1"/>
    </xf>
    <xf numFmtId="0" fontId="39" fillId="42" borderId="146" xfId="0" applyFont="1" applyFill="1" applyBorder="1" applyAlignment="1">
      <alignment horizontal="left" vertical="top" wrapText="1"/>
    </xf>
    <xf numFmtId="0" fontId="39" fillId="42" borderId="146" xfId="0" applyFont="1" applyFill="1" applyBorder="1" applyAlignment="1">
      <alignment horizontal="left" vertical="top" wrapText="1"/>
    </xf>
    <xf numFmtId="0" fontId="39" fillId="42" borderId="147" xfId="0" applyFont="1" applyFill="1" applyBorder="1" applyAlignment="1">
      <alignment horizontal="left" vertical="top" wrapText="1"/>
    </xf>
    <xf numFmtId="0" fontId="37" fillId="34" borderId="0" xfId="0" applyFont="1" applyFill="1" applyBorder="1" applyAlignment="1">
      <alignment horizontal="center" vertical="center" wrapText="1"/>
    </xf>
    <xf numFmtId="0" fontId="37" fillId="42" borderId="238" xfId="0" applyFont="1" applyFill="1" applyBorder="1" applyAlignment="1">
      <alignment horizontal="left" vertical="top" wrapText="1"/>
    </xf>
    <xf numFmtId="0" fontId="37" fillId="42" borderId="19" xfId="0" applyFont="1" applyFill="1" applyBorder="1" applyAlignment="1">
      <alignment horizontal="left" vertical="top" wrapText="1"/>
    </xf>
    <xf numFmtId="0" fontId="38" fillId="42" borderId="169" xfId="0" applyFont="1" applyFill="1" applyBorder="1" applyAlignment="1">
      <alignment horizontal="left" vertical="top" wrapText="1"/>
    </xf>
    <xf numFmtId="0" fontId="112" fillId="42" borderId="128" xfId="0" applyFont="1" applyFill="1" applyBorder="1" applyAlignment="1">
      <alignment horizontal="right" vertical="top" wrapText="1"/>
    </xf>
    <xf numFmtId="0" fontId="112" fillId="42" borderId="10" xfId="0" applyFont="1" applyFill="1" applyBorder="1" applyAlignment="1">
      <alignment horizontal="right" vertical="top" wrapText="1"/>
    </xf>
    <xf numFmtId="0" fontId="37" fillId="44" borderId="1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Content.IE5\M6HYPFJD\JPGE%20AWP%202011%20(Moved%20Aya%20salary)-Thuy%20H%20CH%20-%2026%20Dec2010%20(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E)- (Th)"/>
      <sheetName val="AWP 2011 with 2010 unspent"/>
      <sheetName val="MOLISA"/>
      <sheetName val="MOCST "/>
      <sheetName val="GSO"/>
      <sheetName val="Sheet2"/>
    </sheetNames>
    <sheetDataSet>
      <sheetData sheetId="2">
        <row r="136">
          <cell r="L136">
            <v>9840</v>
          </cell>
          <cell r="M136">
            <v>3440.63</v>
          </cell>
          <cell r="N136">
            <v>4000</v>
          </cell>
          <cell r="O136">
            <v>3977.65</v>
          </cell>
          <cell r="X136">
            <v>1140</v>
          </cell>
          <cell r="Y136">
            <v>1200</v>
          </cell>
        </row>
        <row r="137">
          <cell r="L137">
            <v>124319</v>
          </cell>
          <cell r="M137">
            <v>10048.33</v>
          </cell>
          <cell r="N137">
            <v>35720</v>
          </cell>
          <cell r="O137">
            <v>20866.69</v>
          </cell>
          <cell r="X137">
            <v>49070</v>
          </cell>
          <cell r="Y137">
            <v>101000</v>
          </cell>
        </row>
        <row r="138">
          <cell r="L138">
            <v>0</v>
          </cell>
          <cell r="M138">
            <v>0</v>
          </cell>
          <cell r="N138">
            <v>0</v>
          </cell>
          <cell r="O138">
            <v>0</v>
          </cell>
          <cell r="X138">
            <v>0</v>
          </cell>
          <cell r="Y138">
            <v>0</v>
          </cell>
        </row>
        <row r="139">
          <cell r="L139">
            <v>457153</v>
          </cell>
          <cell r="M139">
            <v>59952.92</v>
          </cell>
          <cell r="N139">
            <v>210212</v>
          </cell>
          <cell r="O139">
            <v>67156.05</v>
          </cell>
          <cell r="X139">
            <v>14</v>
          </cell>
          <cell r="Y139">
            <v>11816</v>
          </cell>
        </row>
        <row r="140">
          <cell r="L140">
            <v>0</v>
          </cell>
          <cell r="N140">
            <v>0</v>
          </cell>
          <cell r="O140">
            <v>0</v>
          </cell>
          <cell r="X140">
            <v>0</v>
          </cell>
          <cell r="Y140">
            <v>0</v>
          </cell>
        </row>
        <row r="141">
          <cell r="L141">
            <v>0</v>
          </cell>
          <cell r="M141">
            <v>0</v>
          </cell>
          <cell r="N141">
            <v>0</v>
          </cell>
          <cell r="O141">
            <v>0</v>
          </cell>
          <cell r="X141">
            <v>0</v>
          </cell>
          <cell r="Y141">
            <v>0</v>
          </cell>
        </row>
        <row r="142">
          <cell r="L142">
            <v>452083</v>
          </cell>
          <cell r="M142">
            <v>45587.24</v>
          </cell>
          <cell r="N142">
            <v>320380</v>
          </cell>
          <cell r="O142">
            <v>165172.47</v>
          </cell>
          <cell r="X142">
            <v>0</v>
          </cell>
          <cell r="Y142">
            <v>32000</v>
          </cell>
        </row>
        <row r="143">
          <cell r="L143">
            <v>0</v>
          </cell>
          <cell r="M143">
            <v>0</v>
          </cell>
          <cell r="N143">
            <v>0</v>
          </cell>
          <cell r="O143">
            <v>0</v>
          </cell>
          <cell r="X143">
            <v>0</v>
          </cell>
          <cell r="Y143">
            <v>0</v>
          </cell>
        </row>
        <row r="144">
          <cell r="L144">
            <v>107500</v>
          </cell>
          <cell r="M144">
            <v>0</v>
          </cell>
          <cell r="N144">
            <v>0</v>
          </cell>
          <cell r="O144">
            <v>0</v>
          </cell>
          <cell r="X144">
            <v>0</v>
          </cell>
          <cell r="Y144">
            <v>0</v>
          </cell>
        </row>
        <row r="145">
          <cell r="L145">
            <v>5549</v>
          </cell>
          <cell r="M145">
            <v>727.77</v>
          </cell>
          <cell r="N145">
            <v>2000</v>
          </cell>
          <cell r="O145">
            <v>1521.15</v>
          </cell>
          <cell r="X145">
            <v>2171</v>
          </cell>
          <cell r="Y145">
            <v>1000</v>
          </cell>
        </row>
        <row r="146">
          <cell r="L146">
            <v>24000</v>
          </cell>
          <cell r="M146">
            <v>0</v>
          </cell>
          <cell r="N146">
            <v>0</v>
          </cell>
          <cell r="O146">
            <v>0</v>
          </cell>
          <cell r="X146">
            <v>0</v>
          </cell>
          <cell r="Y146">
            <v>1000</v>
          </cell>
        </row>
        <row r="147">
          <cell r="L147">
            <v>82631</v>
          </cell>
          <cell r="M147">
            <v>8916.8</v>
          </cell>
          <cell r="N147">
            <v>40062</v>
          </cell>
          <cell r="O147">
            <v>18108.58</v>
          </cell>
          <cell r="X147">
            <v>3627</v>
          </cell>
          <cell r="Y147">
            <v>10361</v>
          </cell>
        </row>
      </sheetData>
      <sheetData sheetId="3">
        <row r="89">
          <cell r="I89">
            <v>2160</v>
          </cell>
          <cell r="J89">
            <v>3773.59</v>
          </cell>
          <cell r="K89">
            <v>500</v>
          </cell>
          <cell r="L89">
            <v>0</v>
          </cell>
          <cell r="U89">
            <v>708</v>
          </cell>
          <cell r="V89">
            <v>500</v>
          </cell>
        </row>
        <row r="90">
          <cell r="I90">
            <v>39585</v>
          </cell>
          <cell r="J90">
            <v>7081.88</v>
          </cell>
          <cell r="K90">
            <v>25384</v>
          </cell>
          <cell r="L90">
            <v>15187.32</v>
          </cell>
          <cell r="U90">
            <v>22616</v>
          </cell>
          <cell r="V90">
            <v>27000</v>
          </cell>
        </row>
        <row r="91">
          <cell r="I91">
            <v>0</v>
          </cell>
          <cell r="J91">
            <v>0</v>
          </cell>
          <cell r="K91">
            <v>0</v>
          </cell>
          <cell r="L91">
            <v>0</v>
          </cell>
          <cell r="U91">
            <v>0</v>
          </cell>
          <cell r="V91">
            <v>1000</v>
          </cell>
        </row>
        <row r="92">
          <cell r="I92">
            <v>0</v>
          </cell>
          <cell r="J92">
            <v>8.64</v>
          </cell>
          <cell r="K92">
            <v>0</v>
          </cell>
          <cell r="L92">
            <v>0</v>
          </cell>
          <cell r="U92">
            <v>0</v>
          </cell>
          <cell r="V92">
            <v>0</v>
          </cell>
        </row>
        <row r="93">
          <cell r="I93">
            <v>65939</v>
          </cell>
          <cell r="K93">
            <v>55888</v>
          </cell>
          <cell r="L93">
            <v>25185.06</v>
          </cell>
          <cell r="U93">
            <v>5909</v>
          </cell>
          <cell r="V93">
            <v>2000</v>
          </cell>
        </row>
        <row r="94">
          <cell r="I94">
            <v>0</v>
          </cell>
          <cell r="J94">
            <v>0</v>
          </cell>
          <cell r="K94">
            <v>0</v>
          </cell>
          <cell r="L94">
            <v>0</v>
          </cell>
          <cell r="U94">
            <v>0</v>
          </cell>
          <cell r="V94">
            <v>0</v>
          </cell>
        </row>
        <row r="95">
          <cell r="I95">
            <v>0</v>
          </cell>
          <cell r="J95">
            <v>0</v>
          </cell>
          <cell r="K95">
            <v>0</v>
          </cell>
          <cell r="L95">
            <v>0</v>
          </cell>
          <cell r="U95">
            <v>0</v>
          </cell>
          <cell r="V95">
            <v>0</v>
          </cell>
        </row>
        <row r="96">
          <cell r="I96">
            <v>159986</v>
          </cell>
          <cell r="J96">
            <v>12253.28</v>
          </cell>
          <cell r="K96">
            <v>77700</v>
          </cell>
          <cell r="L96">
            <v>46089.06</v>
          </cell>
          <cell r="U96">
            <v>8830</v>
          </cell>
          <cell r="V96">
            <v>23683</v>
          </cell>
        </row>
        <row r="97">
          <cell r="I97">
            <v>0</v>
          </cell>
          <cell r="J97">
            <v>0</v>
          </cell>
          <cell r="K97">
            <v>0</v>
          </cell>
          <cell r="L97">
            <v>0</v>
          </cell>
          <cell r="U97">
            <v>0</v>
          </cell>
          <cell r="V97">
            <v>0</v>
          </cell>
        </row>
        <row r="98">
          <cell r="I98">
            <v>1741</v>
          </cell>
          <cell r="J98">
            <v>1632.48</v>
          </cell>
          <cell r="K98">
            <v>500</v>
          </cell>
          <cell r="L98">
            <v>1065.23</v>
          </cell>
          <cell r="U98">
            <v>1129</v>
          </cell>
          <cell r="V98">
            <v>500</v>
          </cell>
        </row>
        <row r="99">
          <cell r="I99">
            <v>5505</v>
          </cell>
          <cell r="J99">
            <v>0</v>
          </cell>
          <cell r="K99">
            <v>1855</v>
          </cell>
          <cell r="L99">
            <v>0</v>
          </cell>
          <cell r="U99">
            <v>0</v>
          </cell>
          <cell r="V99">
            <v>4000</v>
          </cell>
        </row>
        <row r="100">
          <cell r="I100">
            <v>19244</v>
          </cell>
          <cell r="J100">
            <v>2481.01</v>
          </cell>
          <cell r="K100">
            <v>11328</v>
          </cell>
          <cell r="L100">
            <v>6126.87</v>
          </cell>
          <cell r="U100">
            <v>2702</v>
          </cell>
          <cell r="V100">
            <v>4108</v>
          </cell>
        </row>
      </sheetData>
      <sheetData sheetId="4">
        <row r="101">
          <cell r="L101">
            <v>16500</v>
          </cell>
          <cell r="M101">
            <v>2503.43</v>
          </cell>
          <cell r="N101">
            <v>1000</v>
          </cell>
          <cell r="O101">
            <v>540.18</v>
          </cell>
          <cell r="X101">
            <v>711</v>
          </cell>
          <cell r="Y101">
            <v>500</v>
          </cell>
        </row>
        <row r="102">
          <cell r="L102">
            <v>97300</v>
          </cell>
          <cell r="M102">
            <v>6280.1</v>
          </cell>
          <cell r="N102">
            <v>27384</v>
          </cell>
          <cell r="O102">
            <v>18767.26</v>
          </cell>
          <cell r="X102">
            <v>32825</v>
          </cell>
          <cell r="Y102">
            <v>38200</v>
          </cell>
        </row>
        <row r="103">
          <cell r="L103">
            <v>0</v>
          </cell>
          <cell r="M103">
            <v>0</v>
          </cell>
          <cell r="N103">
            <v>0</v>
          </cell>
          <cell r="O103">
            <v>0</v>
          </cell>
          <cell r="X103">
            <v>0</v>
          </cell>
          <cell r="Y103">
            <v>1000</v>
          </cell>
        </row>
        <row r="104">
          <cell r="L104">
            <v>0</v>
          </cell>
          <cell r="M104">
            <v>0</v>
          </cell>
          <cell r="N104">
            <v>0</v>
          </cell>
          <cell r="O104">
            <v>0</v>
          </cell>
          <cell r="X104">
            <v>0</v>
          </cell>
          <cell r="Y104">
            <v>0</v>
          </cell>
        </row>
        <row r="105">
          <cell r="L105">
            <v>0</v>
          </cell>
          <cell r="N105">
            <v>0</v>
          </cell>
          <cell r="O105">
            <v>0</v>
          </cell>
          <cell r="X105">
            <v>0</v>
          </cell>
          <cell r="Y105">
            <v>0</v>
          </cell>
        </row>
        <row r="106">
          <cell r="L106">
            <v>103400</v>
          </cell>
          <cell r="M106">
            <v>12775.29</v>
          </cell>
          <cell r="N106">
            <v>5459</v>
          </cell>
          <cell r="O106">
            <v>3715.39</v>
          </cell>
          <cell r="X106">
            <v>7451</v>
          </cell>
          <cell r="Y106">
            <v>0</v>
          </cell>
        </row>
        <row r="107">
          <cell r="L107">
            <v>0</v>
          </cell>
          <cell r="M107">
            <v>0</v>
          </cell>
          <cell r="N107">
            <v>0</v>
          </cell>
          <cell r="O107">
            <v>0</v>
          </cell>
          <cell r="X107">
            <v>0</v>
          </cell>
          <cell r="Y107">
            <v>0</v>
          </cell>
        </row>
        <row r="108">
          <cell r="L108">
            <v>0</v>
          </cell>
          <cell r="M108">
            <v>0</v>
          </cell>
          <cell r="N108">
            <v>0</v>
          </cell>
          <cell r="O108">
            <v>0</v>
          </cell>
          <cell r="X108">
            <v>0</v>
          </cell>
          <cell r="Y108">
            <v>0</v>
          </cell>
        </row>
        <row r="109">
          <cell r="L109">
            <v>331515</v>
          </cell>
          <cell r="M109">
            <v>215861.65</v>
          </cell>
          <cell r="N109">
            <v>98530</v>
          </cell>
          <cell r="O109">
            <v>35054.64</v>
          </cell>
          <cell r="X109">
            <v>0</v>
          </cell>
          <cell r="Y109">
            <v>0</v>
          </cell>
        </row>
        <row r="110">
          <cell r="L110">
            <v>2459</v>
          </cell>
          <cell r="M110">
            <v>1758.98</v>
          </cell>
          <cell r="N110">
            <v>1500</v>
          </cell>
          <cell r="O110">
            <v>478.94</v>
          </cell>
          <cell r="X110">
            <v>1317</v>
          </cell>
          <cell r="Y110">
            <v>625</v>
          </cell>
        </row>
        <row r="111">
          <cell r="L111">
            <v>10200</v>
          </cell>
          <cell r="M111">
            <v>0</v>
          </cell>
          <cell r="N111">
            <v>1000</v>
          </cell>
          <cell r="O111">
            <v>0</v>
          </cell>
          <cell r="X111">
            <v>0</v>
          </cell>
          <cell r="Y111">
            <v>1300</v>
          </cell>
        </row>
        <row r="112">
          <cell r="L112">
            <v>39296</v>
          </cell>
          <cell r="M112">
            <v>17345.64</v>
          </cell>
          <cell r="N112">
            <v>9441</v>
          </cell>
          <cell r="O112">
            <v>4098.95</v>
          </cell>
          <cell r="X112">
            <v>2658</v>
          </cell>
          <cell r="Y112">
            <v>2914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W212"/>
  <sheetViews>
    <sheetView view="pageBreakPreview" zoomScale="70" zoomScaleNormal="59" zoomScaleSheetLayoutView="70" zoomScalePageLayoutView="0" workbookViewId="0" topLeftCell="C1">
      <pane xSplit="6" ySplit="10" topLeftCell="I11" activePane="bottomRight" state="frozen"/>
      <selection pane="topLeft" activeCell="C1" sqref="C1"/>
      <selection pane="topRight" activeCell="I1" sqref="I1"/>
      <selection pane="bottomLeft" activeCell="C11" sqref="C11"/>
      <selection pane="bottomRight" activeCell="L8" sqref="L8:O8"/>
    </sheetView>
  </sheetViews>
  <sheetFormatPr defaultColWidth="9.140625" defaultRowHeight="12.75"/>
  <cols>
    <col min="1" max="1" width="40.7109375" style="2" customWidth="1"/>
    <col min="2" max="2" width="16.8515625" style="2" hidden="1" customWidth="1"/>
    <col min="3" max="3" width="36.28125" style="2" customWidth="1"/>
    <col min="4" max="4" width="6.421875" style="18" hidden="1" customWidth="1"/>
    <col min="5" max="5" width="6.57421875" style="18" hidden="1" customWidth="1"/>
    <col min="6" max="6" width="6.8515625" style="18" hidden="1" customWidth="1"/>
    <col min="7" max="7" width="6.421875" style="18" hidden="1" customWidth="1"/>
    <col min="8" max="8" width="17.421875" style="195" hidden="1" customWidth="1"/>
    <col min="9" max="9" width="18.8515625" style="2" customWidth="1"/>
    <col min="10" max="10" width="11.421875" style="2" customWidth="1"/>
    <col min="11" max="11" width="20.57421875" style="2" hidden="1" customWidth="1"/>
    <col min="12" max="12" width="12.00390625" style="2" customWidth="1"/>
    <col min="13" max="13" width="16.140625" style="2" customWidth="1"/>
    <col min="14" max="14" width="16.28125" style="2" customWidth="1"/>
    <col min="15" max="15" width="15.421875" style="2" customWidth="1"/>
    <col min="16" max="16" width="16.8515625" style="2" customWidth="1"/>
    <col min="17" max="17" width="18.140625" style="2" customWidth="1"/>
    <col min="18" max="18" width="16.421875" style="2" customWidth="1"/>
    <col min="19" max="19" width="19.00390625" style="4" hidden="1" customWidth="1"/>
    <col min="20" max="20" width="21.28125" style="4" hidden="1" customWidth="1"/>
    <col min="21" max="21" width="19.28125" style="4" hidden="1" customWidth="1"/>
    <col min="22" max="22" width="19.421875" style="4" customWidth="1"/>
    <col min="23" max="24" width="16.8515625" style="2" customWidth="1"/>
    <col min="25" max="25" width="16.421875" style="2" customWidth="1"/>
    <col min="26" max="49" width="9.140625" style="13" customWidth="1"/>
    <col min="50" max="16384" width="9.140625" style="2" customWidth="1"/>
  </cols>
  <sheetData>
    <row r="1" ht="15"/>
    <row r="2" ht="27" customHeight="1">
      <c r="A2" s="4" t="s">
        <v>224</v>
      </c>
    </row>
    <row r="3" spans="1:49" s="1" customFormat="1" ht="21.75" customHeight="1">
      <c r="A3" s="10" t="s">
        <v>150</v>
      </c>
      <c r="B3" s="10"/>
      <c r="C3" s="10"/>
      <c r="D3" s="10"/>
      <c r="E3" s="10"/>
      <c r="F3" s="10"/>
      <c r="G3" s="10"/>
      <c r="H3" s="10"/>
      <c r="S3" s="10"/>
      <c r="T3" s="89" t="s">
        <v>149</v>
      </c>
      <c r="U3" s="89"/>
      <c r="V3" s="89"/>
      <c r="Z3" s="66"/>
      <c r="AA3" s="66"/>
      <c r="AB3" s="66"/>
      <c r="AC3" s="66"/>
      <c r="AD3" s="66"/>
      <c r="AE3" s="66"/>
      <c r="AF3" s="66"/>
      <c r="AG3" s="66"/>
      <c r="AH3" s="66"/>
      <c r="AI3" s="66"/>
      <c r="AJ3" s="66"/>
      <c r="AK3" s="66"/>
      <c r="AL3" s="66"/>
      <c r="AM3" s="66"/>
      <c r="AN3" s="66"/>
      <c r="AO3" s="66"/>
      <c r="AP3" s="66"/>
      <c r="AQ3" s="66"/>
      <c r="AR3" s="66"/>
      <c r="AS3" s="66"/>
      <c r="AT3" s="66"/>
      <c r="AU3" s="66"/>
      <c r="AV3" s="66"/>
      <c r="AW3" s="66"/>
    </row>
    <row r="4" spans="1:49" s="1" customFormat="1" ht="25.5" customHeight="1">
      <c r="A4" s="10" t="s">
        <v>326</v>
      </c>
      <c r="B4" s="10"/>
      <c r="C4" s="10"/>
      <c r="D4" s="10"/>
      <c r="E4" s="10"/>
      <c r="F4" s="10"/>
      <c r="G4" s="10"/>
      <c r="H4" s="10"/>
      <c r="I4" s="10"/>
      <c r="S4" s="10"/>
      <c r="T4" s="10"/>
      <c r="U4" s="10"/>
      <c r="V4" s="10"/>
      <c r="Z4" s="66"/>
      <c r="AA4" s="66"/>
      <c r="AB4" s="66"/>
      <c r="AC4" s="66"/>
      <c r="AD4" s="66"/>
      <c r="AE4" s="66"/>
      <c r="AF4" s="66"/>
      <c r="AG4" s="66"/>
      <c r="AH4" s="66"/>
      <c r="AI4" s="66"/>
      <c r="AJ4" s="66"/>
      <c r="AK4" s="66"/>
      <c r="AL4" s="66"/>
      <c r="AM4" s="66"/>
      <c r="AN4" s="66"/>
      <c r="AO4" s="66"/>
      <c r="AP4" s="66"/>
      <c r="AQ4" s="66"/>
      <c r="AR4" s="66"/>
      <c r="AS4" s="66"/>
      <c r="AT4" s="66"/>
      <c r="AU4" s="66"/>
      <c r="AV4" s="66"/>
      <c r="AW4" s="66"/>
    </row>
    <row r="5" spans="1:49" s="1" customFormat="1" ht="21.75" customHeight="1">
      <c r="A5" s="10" t="s">
        <v>140</v>
      </c>
      <c r="B5" s="10"/>
      <c r="C5" s="10"/>
      <c r="D5" s="10"/>
      <c r="E5" s="10"/>
      <c r="F5" s="10"/>
      <c r="G5" s="10"/>
      <c r="H5" s="10"/>
      <c r="I5" s="10"/>
      <c r="S5" s="10"/>
      <c r="T5" s="10"/>
      <c r="U5" s="10"/>
      <c r="V5" s="10"/>
      <c r="Z5" s="66"/>
      <c r="AA5" s="66"/>
      <c r="AB5" s="66"/>
      <c r="AC5" s="66"/>
      <c r="AD5" s="66"/>
      <c r="AE5" s="66"/>
      <c r="AF5" s="66"/>
      <c r="AG5" s="66"/>
      <c r="AH5" s="66"/>
      <c r="AI5" s="66"/>
      <c r="AJ5" s="66"/>
      <c r="AK5" s="66"/>
      <c r="AL5" s="66"/>
      <c r="AM5" s="66"/>
      <c r="AN5" s="66"/>
      <c r="AO5" s="66"/>
      <c r="AP5" s="66"/>
      <c r="AQ5" s="66"/>
      <c r="AR5" s="66"/>
      <c r="AS5" s="66"/>
      <c r="AT5" s="66"/>
      <c r="AU5" s="66"/>
      <c r="AV5" s="66"/>
      <c r="AW5" s="66"/>
    </row>
    <row r="6" spans="1:49" s="1" customFormat="1" ht="29.25" customHeight="1" thickBot="1">
      <c r="A6" s="375" t="s">
        <v>223</v>
      </c>
      <c r="B6" s="375"/>
      <c r="C6" s="375"/>
      <c r="D6" s="375"/>
      <c r="E6" s="375"/>
      <c r="F6" s="375"/>
      <c r="G6" s="375"/>
      <c r="H6" s="375"/>
      <c r="I6" s="376"/>
      <c r="J6" s="376"/>
      <c r="K6" s="2"/>
      <c r="L6" s="2"/>
      <c r="M6" s="2"/>
      <c r="N6" s="2"/>
      <c r="O6" s="2"/>
      <c r="P6" s="2"/>
      <c r="Q6" s="2"/>
      <c r="R6" s="2"/>
      <c r="S6" s="4"/>
      <c r="T6" s="3"/>
      <c r="U6" s="3"/>
      <c r="V6" s="3"/>
      <c r="W6" s="2"/>
      <c r="X6" s="2"/>
      <c r="Y6" s="2"/>
      <c r="Z6" s="66"/>
      <c r="AA6" s="66"/>
      <c r="AB6" s="66"/>
      <c r="AC6" s="66"/>
      <c r="AD6" s="66"/>
      <c r="AE6" s="66"/>
      <c r="AF6" s="66"/>
      <c r="AG6" s="66"/>
      <c r="AH6" s="66"/>
      <c r="AI6" s="66"/>
      <c r="AJ6" s="66"/>
      <c r="AK6" s="66"/>
      <c r="AL6" s="66"/>
      <c r="AM6" s="66"/>
      <c r="AN6" s="66"/>
      <c r="AO6" s="66"/>
      <c r="AP6" s="66"/>
      <c r="AQ6" s="66"/>
      <c r="AR6" s="66"/>
      <c r="AS6" s="66"/>
      <c r="AT6" s="66"/>
      <c r="AU6" s="66"/>
      <c r="AV6" s="66"/>
      <c r="AW6" s="66"/>
    </row>
    <row r="7" spans="1:25" ht="115.5" customHeight="1" hidden="1" thickBot="1" thickTop="1">
      <c r="A7" s="399" t="s">
        <v>321</v>
      </c>
      <c r="B7" s="400"/>
      <c r="C7" s="400"/>
      <c r="D7" s="400"/>
      <c r="E7" s="400"/>
      <c r="F7" s="400"/>
      <c r="G7" s="400"/>
      <c r="H7" s="400"/>
      <c r="I7" s="400"/>
      <c r="J7" s="400"/>
      <c r="K7" s="400"/>
      <c r="L7" s="400"/>
      <c r="M7" s="400"/>
      <c r="N7" s="400"/>
      <c r="O7" s="400"/>
      <c r="P7" s="400"/>
      <c r="Q7" s="400"/>
      <c r="R7" s="400"/>
      <c r="S7" s="400"/>
      <c r="T7" s="401"/>
      <c r="U7" s="402"/>
      <c r="V7" s="179"/>
      <c r="W7" s="400"/>
      <c r="X7" s="400"/>
      <c r="Y7" s="400"/>
    </row>
    <row r="8" spans="1:26" ht="72.75" customHeight="1" thickTop="1">
      <c r="A8" s="395" t="s">
        <v>225</v>
      </c>
      <c r="B8" s="397" t="s">
        <v>190</v>
      </c>
      <c r="C8" s="397" t="s">
        <v>175</v>
      </c>
      <c r="D8" s="392" t="s">
        <v>229</v>
      </c>
      <c r="E8" s="393"/>
      <c r="F8" s="393"/>
      <c r="G8" s="394"/>
      <c r="H8" s="397" t="s">
        <v>191</v>
      </c>
      <c r="I8" s="397"/>
      <c r="J8" s="397"/>
      <c r="K8" s="286"/>
      <c r="L8" s="2023" t="s">
        <v>151</v>
      </c>
      <c r="M8" s="2023"/>
      <c r="N8" s="2023"/>
      <c r="O8" s="2023"/>
      <c r="P8" s="422"/>
      <c r="Q8" s="422"/>
      <c r="R8" s="422"/>
      <c r="S8" s="422"/>
      <c r="T8" s="422"/>
      <c r="U8" s="422"/>
      <c r="V8" s="423"/>
      <c r="W8" s="461"/>
      <c r="X8" s="462"/>
      <c r="Y8" s="463"/>
      <c r="Z8" s="149"/>
    </row>
    <row r="9" spans="1:25" ht="62.25" customHeight="1">
      <c r="A9" s="396"/>
      <c r="B9" s="398"/>
      <c r="C9" s="398"/>
      <c r="D9" s="40" t="s">
        <v>170</v>
      </c>
      <c r="E9" s="40" t="s">
        <v>171</v>
      </c>
      <c r="F9" s="40" t="s">
        <v>172</v>
      </c>
      <c r="G9" s="40" t="s">
        <v>173</v>
      </c>
      <c r="H9" s="40" t="s">
        <v>206</v>
      </c>
      <c r="I9" s="40" t="s">
        <v>186</v>
      </c>
      <c r="J9" s="40" t="s">
        <v>169</v>
      </c>
      <c r="K9" s="40" t="s">
        <v>187</v>
      </c>
      <c r="L9" s="40" t="s">
        <v>226</v>
      </c>
      <c r="M9" s="2017" t="s">
        <v>293</v>
      </c>
      <c r="N9" s="2018"/>
      <c r="O9" s="2019"/>
      <c r="P9" s="2017" t="s">
        <v>291</v>
      </c>
      <c r="Q9" s="2018"/>
      <c r="R9" s="2019"/>
      <c r="S9" s="424" t="s">
        <v>267</v>
      </c>
      <c r="T9" s="43"/>
      <c r="U9" s="425"/>
      <c r="V9" s="287" t="s">
        <v>207</v>
      </c>
      <c r="W9" s="2020" t="s">
        <v>292</v>
      </c>
      <c r="X9" s="2021"/>
      <c r="Y9" s="2022"/>
    </row>
    <row r="10" spans="1:25" ht="48" customHeight="1">
      <c r="A10" s="288"/>
      <c r="B10" s="68"/>
      <c r="C10" s="68"/>
      <c r="D10" s="68"/>
      <c r="E10" s="68"/>
      <c r="F10" s="68"/>
      <c r="G10" s="68"/>
      <c r="H10" s="68"/>
      <c r="I10" s="68"/>
      <c r="J10" s="68"/>
      <c r="K10" s="68"/>
      <c r="L10" s="68"/>
      <c r="M10" s="41" t="s">
        <v>144</v>
      </c>
      <c r="N10" s="41" t="s">
        <v>184</v>
      </c>
      <c r="O10" s="68" t="s">
        <v>174</v>
      </c>
      <c r="P10" s="41" t="s">
        <v>144</v>
      </c>
      <c r="Q10" s="586" t="s">
        <v>184</v>
      </c>
      <c r="R10" s="68" t="s">
        <v>174</v>
      </c>
      <c r="S10" s="41" t="s">
        <v>144</v>
      </c>
      <c r="T10" s="41" t="s">
        <v>184</v>
      </c>
      <c r="U10" s="41" t="s">
        <v>174</v>
      </c>
      <c r="V10" s="289"/>
      <c r="W10" s="464" t="s">
        <v>144</v>
      </c>
      <c r="X10" s="465" t="s">
        <v>184</v>
      </c>
      <c r="Y10" s="466" t="s">
        <v>174</v>
      </c>
    </row>
    <row r="11" spans="1:25" ht="11.25" customHeight="1">
      <c r="A11" s="290"/>
      <c r="B11" s="42"/>
      <c r="C11" s="42"/>
      <c r="D11" s="42"/>
      <c r="E11" s="42"/>
      <c r="F11" s="42"/>
      <c r="G11" s="42"/>
      <c r="H11" s="186"/>
      <c r="I11" s="181"/>
      <c r="J11" s="181"/>
      <c r="K11" s="181"/>
      <c r="L11" s="181"/>
      <c r="M11" s="181"/>
      <c r="N11" s="181"/>
      <c r="O11" s="181"/>
      <c r="P11" s="181"/>
      <c r="Q11" s="181"/>
      <c r="R11" s="181"/>
      <c r="S11" s="43"/>
      <c r="T11" s="43"/>
      <c r="U11" s="43"/>
      <c r="V11" s="291"/>
      <c r="W11" s="467"/>
      <c r="X11" s="468"/>
      <c r="Y11" s="469"/>
    </row>
    <row r="12" spans="1:25" ht="127.5" customHeight="1" hidden="1">
      <c r="A12" s="409" t="s">
        <v>311</v>
      </c>
      <c r="B12" s="410"/>
      <c r="C12" s="410"/>
      <c r="D12" s="410"/>
      <c r="E12" s="410"/>
      <c r="F12" s="410"/>
      <c r="G12" s="410"/>
      <c r="H12" s="410"/>
      <c r="I12" s="410"/>
      <c r="J12" s="410"/>
      <c r="K12" s="410"/>
      <c r="L12" s="410"/>
      <c r="M12" s="410"/>
      <c r="N12" s="410"/>
      <c r="O12" s="410"/>
      <c r="P12" s="410"/>
      <c r="Q12" s="410"/>
      <c r="R12" s="410"/>
      <c r="S12" s="410"/>
      <c r="T12" s="410"/>
      <c r="U12" s="410"/>
      <c r="V12" s="411"/>
      <c r="W12" s="470"/>
      <c r="X12" s="471"/>
      <c r="Y12" s="472"/>
    </row>
    <row r="13" spans="1:25" ht="111.75" customHeight="1">
      <c r="A13" s="352" t="s">
        <v>231</v>
      </c>
      <c r="B13" s="262"/>
      <c r="C13" s="341" t="s">
        <v>236</v>
      </c>
      <c r="D13" s="342" t="s">
        <v>176</v>
      </c>
      <c r="E13" s="280"/>
      <c r="F13" s="280"/>
      <c r="G13" s="346"/>
      <c r="H13" s="274"/>
      <c r="I13" s="343" t="s">
        <v>300</v>
      </c>
      <c r="J13" s="481" t="s">
        <v>168</v>
      </c>
      <c r="K13" s="274"/>
      <c r="L13" s="263"/>
      <c r="M13" s="445">
        <f>40950</f>
        <v>40950</v>
      </c>
      <c r="N13" s="445">
        <v>72450</v>
      </c>
      <c r="O13" s="445">
        <f>M13+N13</f>
        <v>113400</v>
      </c>
      <c r="P13" s="431">
        <f>(63353236+226356000)/17877</f>
        <v>16205.696481512558</v>
      </c>
      <c r="Q13" s="585">
        <v>28861</v>
      </c>
      <c r="R13" s="431">
        <f>P13+Q13</f>
        <v>45066.696481512554</v>
      </c>
      <c r="S13" s="264"/>
      <c r="T13" s="264"/>
      <c r="U13" s="265"/>
      <c r="V13" s="292"/>
      <c r="W13" s="583">
        <f>M13-P13</f>
        <v>24744.303518487442</v>
      </c>
      <c r="X13" s="477">
        <f>N13-Q13</f>
        <v>43589</v>
      </c>
      <c r="Y13" s="478">
        <f>W13+X13</f>
        <v>68333.30351848745</v>
      </c>
    </row>
    <row r="14" spans="1:25" ht="27.75" customHeight="1">
      <c r="A14" s="352"/>
      <c r="B14" s="262"/>
      <c r="C14" s="426"/>
      <c r="D14" s="427"/>
      <c r="E14" s="280"/>
      <c r="F14" s="280"/>
      <c r="G14" s="346"/>
      <c r="H14" s="274"/>
      <c r="I14" s="427"/>
      <c r="J14" s="428" t="s">
        <v>183</v>
      </c>
      <c r="K14" s="274"/>
      <c r="L14" s="263"/>
      <c r="M14" s="445">
        <v>6000</v>
      </c>
      <c r="N14" s="445"/>
      <c r="O14" s="445">
        <f aca="true" t="shared" si="0" ref="O14:O77">M14+N14</f>
        <v>6000</v>
      </c>
      <c r="P14" s="431">
        <f>(42918059/17792)</f>
        <v>2412.211049910072</v>
      </c>
      <c r="Q14" s="431"/>
      <c r="R14" s="431">
        <f aca="true" t="shared" si="1" ref="R14:R77">P14+Q14</f>
        <v>2412.211049910072</v>
      </c>
      <c r="S14" s="264"/>
      <c r="T14" s="264"/>
      <c r="U14" s="265"/>
      <c r="V14" s="292"/>
      <c r="W14" s="583">
        <f aca="true" t="shared" si="2" ref="W14:W77">M14-P14</f>
        <v>3587.788950089928</v>
      </c>
      <c r="X14" s="477">
        <f aca="true" t="shared" si="3" ref="X14:X77">N14-Q14</f>
        <v>0</v>
      </c>
      <c r="Y14" s="478">
        <f aca="true" t="shared" si="4" ref="Y14:Y77">W14+X14</f>
        <v>3587.788950089928</v>
      </c>
    </row>
    <row r="15" spans="1:49" s="7" customFormat="1" ht="36" customHeight="1">
      <c r="A15" s="352"/>
      <c r="B15" s="16" t="s">
        <v>168</v>
      </c>
      <c r="C15" s="266" t="s">
        <v>228</v>
      </c>
      <c r="D15" s="270"/>
      <c r="E15" s="270"/>
      <c r="F15" s="270"/>
      <c r="G15" s="268"/>
      <c r="H15" s="268" t="s">
        <v>167</v>
      </c>
      <c r="I15" s="270"/>
      <c r="J15" s="270"/>
      <c r="K15" s="268" t="s">
        <v>350</v>
      </c>
      <c r="L15" s="270"/>
      <c r="M15" s="429">
        <f>M13+M14</f>
        <v>46950</v>
      </c>
      <c r="N15" s="429">
        <f>N13+N14</f>
        <v>72450</v>
      </c>
      <c r="O15" s="445">
        <f t="shared" si="0"/>
        <v>119400</v>
      </c>
      <c r="P15" s="429">
        <f>P13+P14</f>
        <v>18617.90753142263</v>
      </c>
      <c r="Q15" s="429">
        <f>Q13+Q14</f>
        <v>28861</v>
      </c>
      <c r="R15" s="431">
        <f t="shared" si="1"/>
        <v>47478.90753142263</v>
      </c>
      <c r="S15" s="271" t="e">
        <f>#REF!</f>
        <v>#REF!</v>
      </c>
      <c r="T15" s="272" t="e">
        <f>#REF!</f>
        <v>#REF!</v>
      </c>
      <c r="U15" s="273" t="e">
        <f>SUM(S15:T15)</f>
        <v>#REF!</v>
      </c>
      <c r="V15" s="293" t="s">
        <v>313</v>
      </c>
      <c r="W15" s="583">
        <f t="shared" si="2"/>
        <v>28332.09246857737</v>
      </c>
      <c r="X15" s="477">
        <f t="shared" si="3"/>
        <v>43589</v>
      </c>
      <c r="Y15" s="478">
        <f t="shared" si="4"/>
        <v>71921.09246857738</v>
      </c>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row>
    <row r="16" spans="1:49" s="7" customFormat="1" ht="30.75" customHeight="1">
      <c r="A16" s="352"/>
      <c r="B16" s="97"/>
      <c r="C16" s="96" t="s">
        <v>333</v>
      </c>
      <c r="D16" s="112"/>
      <c r="E16" s="112"/>
      <c r="F16" s="113"/>
      <c r="G16" s="113"/>
      <c r="H16" s="78"/>
      <c r="I16" s="94"/>
      <c r="J16" s="94"/>
      <c r="K16" s="94"/>
      <c r="L16" s="94"/>
      <c r="M16" s="174">
        <f aca="true" t="shared" si="5" ref="M16:R16">M15</f>
        <v>46950</v>
      </c>
      <c r="N16" s="174">
        <f t="shared" si="5"/>
        <v>72450</v>
      </c>
      <c r="O16" s="174">
        <f t="shared" si="5"/>
        <v>119400</v>
      </c>
      <c r="P16" s="174">
        <f t="shared" si="5"/>
        <v>18617.90753142263</v>
      </c>
      <c r="Q16" s="174">
        <f t="shared" si="5"/>
        <v>28861</v>
      </c>
      <c r="R16" s="174">
        <f t="shared" si="5"/>
        <v>47478.90753142263</v>
      </c>
      <c r="S16" s="79" t="e">
        <f>SUM(S15)</f>
        <v>#REF!</v>
      </c>
      <c r="T16" s="79" t="e">
        <f>SUM(T15)</f>
        <v>#REF!</v>
      </c>
      <c r="U16" s="79" t="e">
        <f>S16+T16</f>
        <v>#REF!</v>
      </c>
      <c r="V16" s="295"/>
      <c r="W16" s="569">
        <f t="shared" si="2"/>
        <v>28332.09246857737</v>
      </c>
      <c r="X16" s="570">
        <f t="shared" si="3"/>
        <v>43589</v>
      </c>
      <c r="Y16" s="571">
        <f t="shared" si="4"/>
        <v>71921.09246857738</v>
      </c>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row>
    <row r="17" spans="1:25" ht="19.5" customHeight="1">
      <c r="A17" s="352"/>
      <c r="B17" s="275"/>
      <c r="C17" s="362" t="s">
        <v>319</v>
      </c>
      <c r="D17" s="350" t="s">
        <v>176</v>
      </c>
      <c r="E17" s="350" t="s">
        <v>176</v>
      </c>
      <c r="F17" s="350"/>
      <c r="G17" s="350"/>
      <c r="H17" s="275"/>
      <c r="I17" s="350" t="s">
        <v>301</v>
      </c>
      <c r="J17" s="480" t="s">
        <v>168</v>
      </c>
      <c r="K17" s="275"/>
      <c r="L17" s="263"/>
      <c r="M17" s="445"/>
      <c r="N17" s="445"/>
      <c r="O17" s="445">
        <f t="shared" si="0"/>
        <v>0</v>
      </c>
      <c r="P17" s="431"/>
      <c r="Q17" s="431"/>
      <c r="R17" s="431">
        <f t="shared" si="1"/>
        <v>0</v>
      </c>
      <c r="S17" s="264"/>
      <c r="T17" s="264"/>
      <c r="U17" s="265"/>
      <c r="V17" s="387"/>
      <c r="W17" s="583">
        <f t="shared" si="2"/>
        <v>0</v>
      </c>
      <c r="X17" s="477">
        <f t="shared" si="3"/>
        <v>0</v>
      </c>
      <c r="Y17" s="478">
        <f t="shared" si="4"/>
        <v>0</v>
      </c>
    </row>
    <row r="18" spans="1:25" ht="21.75" customHeight="1">
      <c r="A18" s="352"/>
      <c r="B18" s="275"/>
      <c r="C18" s="363"/>
      <c r="D18" s="351"/>
      <c r="E18" s="351"/>
      <c r="F18" s="351"/>
      <c r="G18" s="351"/>
      <c r="H18" s="344"/>
      <c r="I18" s="351"/>
      <c r="J18" s="351"/>
      <c r="K18" s="344"/>
      <c r="L18" s="263"/>
      <c r="M18" s="445"/>
      <c r="N18" s="445"/>
      <c r="O18" s="445">
        <f t="shared" si="0"/>
        <v>0</v>
      </c>
      <c r="P18" s="549"/>
      <c r="Q18" s="549"/>
      <c r="R18" s="431">
        <f t="shared" si="1"/>
        <v>0</v>
      </c>
      <c r="S18" s="264"/>
      <c r="T18" s="264"/>
      <c r="U18" s="345"/>
      <c r="V18" s="387"/>
      <c r="W18" s="583">
        <f t="shared" si="2"/>
        <v>0</v>
      </c>
      <c r="X18" s="477">
        <f t="shared" si="3"/>
        <v>0</v>
      </c>
      <c r="Y18" s="478">
        <f t="shared" si="4"/>
        <v>0</v>
      </c>
    </row>
    <row r="19" spans="1:49" s="7" customFormat="1" ht="31.5" customHeight="1">
      <c r="A19" s="352"/>
      <c r="B19" s="229" t="s">
        <v>168</v>
      </c>
      <c r="C19" s="276" t="s">
        <v>230</v>
      </c>
      <c r="D19" s="267"/>
      <c r="E19" s="267"/>
      <c r="F19" s="267"/>
      <c r="G19" s="267"/>
      <c r="H19" s="268" t="s">
        <v>167</v>
      </c>
      <c r="I19" s="269"/>
      <c r="J19" s="269"/>
      <c r="K19" s="268" t="s">
        <v>350</v>
      </c>
      <c r="L19" s="270"/>
      <c r="M19" s="574">
        <v>75600</v>
      </c>
      <c r="N19" s="574">
        <v>47985</v>
      </c>
      <c r="O19" s="574">
        <f t="shared" si="0"/>
        <v>123585</v>
      </c>
      <c r="P19" s="572">
        <f>P17+P18</f>
        <v>0</v>
      </c>
      <c r="Q19" s="573">
        <v>0</v>
      </c>
      <c r="R19" s="573">
        <f t="shared" si="1"/>
        <v>0</v>
      </c>
      <c r="S19" s="271" t="e">
        <f>#REF!</f>
        <v>#REF!</v>
      </c>
      <c r="T19" s="271" t="e">
        <f>#REF!</f>
        <v>#REF!</v>
      </c>
      <c r="U19" s="278" t="e">
        <f>SUM(S19:T19)</f>
        <v>#REF!</v>
      </c>
      <c r="V19" s="296" t="s">
        <v>313</v>
      </c>
      <c r="W19" s="569">
        <f t="shared" si="2"/>
        <v>75600</v>
      </c>
      <c r="X19" s="570">
        <f t="shared" si="3"/>
        <v>47985</v>
      </c>
      <c r="Y19" s="571">
        <f t="shared" si="4"/>
        <v>123585</v>
      </c>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row>
    <row r="20" spans="1:49" s="7" customFormat="1" ht="69.75" customHeight="1">
      <c r="A20" s="352"/>
      <c r="B20" s="229"/>
      <c r="C20" s="283" t="s">
        <v>232</v>
      </c>
      <c r="D20" s="283" t="s">
        <v>176</v>
      </c>
      <c r="E20" s="283"/>
      <c r="F20" s="283"/>
      <c r="G20" s="283"/>
      <c r="H20" s="283"/>
      <c r="I20" s="283" t="s">
        <v>310</v>
      </c>
      <c r="J20" s="283" t="s">
        <v>183</v>
      </c>
      <c r="K20" s="86"/>
      <c r="L20" s="263"/>
      <c r="M20" s="445"/>
      <c r="N20" s="445"/>
      <c r="O20" s="445">
        <f t="shared" si="0"/>
        <v>0</v>
      </c>
      <c r="P20" s="474"/>
      <c r="Q20" s="431"/>
      <c r="R20" s="431">
        <f t="shared" si="1"/>
        <v>0</v>
      </c>
      <c r="S20" s="264"/>
      <c r="T20" s="264"/>
      <c r="U20" s="265"/>
      <c r="V20" s="296"/>
      <c r="W20" s="583">
        <f t="shared" si="2"/>
        <v>0</v>
      </c>
      <c r="X20" s="477">
        <f t="shared" si="3"/>
        <v>0</v>
      </c>
      <c r="Y20" s="478">
        <f t="shared" si="4"/>
        <v>0</v>
      </c>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row>
    <row r="21" spans="1:49" s="7" customFormat="1" ht="33" customHeight="1">
      <c r="A21" s="352"/>
      <c r="B21" s="229" t="s">
        <v>183</v>
      </c>
      <c r="C21" s="276" t="s">
        <v>230</v>
      </c>
      <c r="D21" s="267"/>
      <c r="E21" s="267"/>
      <c r="F21" s="267"/>
      <c r="G21" s="267"/>
      <c r="H21" s="268" t="s">
        <v>167</v>
      </c>
      <c r="I21" s="269"/>
      <c r="J21" s="269"/>
      <c r="K21" s="268" t="s">
        <v>350</v>
      </c>
      <c r="L21" s="270"/>
      <c r="M21" s="445">
        <v>17060</v>
      </c>
      <c r="N21" s="445">
        <v>1525</v>
      </c>
      <c r="O21" s="445">
        <f>M21+N21</f>
        <v>18585</v>
      </c>
      <c r="P21" s="483">
        <f>289115727/17877</f>
        <v>16172.496895452257</v>
      </c>
      <c r="Q21" s="431"/>
      <c r="R21" s="431">
        <f>P21+Q21</f>
        <v>16172.496895452257</v>
      </c>
      <c r="S21" s="264"/>
      <c r="T21" s="264"/>
      <c r="U21" s="265"/>
      <c r="V21" s="296"/>
      <c r="W21" s="583">
        <f>M21-P21</f>
        <v>887.5031045477426</v>
      </c>
      <c r="X21" s="477">
        <f>N21-Q21</f>
        <v>1525</v>
      </c>
      <c r="Y21" s="478">
        <f>W21+X21</f>
        <v>2412.5031045477426</v>
      </c>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1:49" s="7" customFormat="1" ht="78.75" customHeight="1">
      <c r="A22" s="352"/>
      <c r="B22" s="229"/>
      <c r="C22" s="347" t="s">
        <v>375</v>
      </c>
      <c r="D22" s="347" t="s">
        <v>176</v>
      </c>
      <c r="E22" s="347"/>
      <c r="F22" s="347"/>
      <c r="G22" s="347"/>
      <c r="H22" s="347"/>
      <c r="I22" s="347" t="s">
        <v>157</v>
      </c>
      <c r="J22" s="565" t="s">
        <v>183</v>
      </c>
      <c r="K22" s="279"/>
      <c r="L22" s="263"/>
      <c r="M22" s="445"/>
      <c r="N22" s="445"/>
      <c r="O22" s="445"/>
      <c r="P22" s="431"/>
      <c r="Q22" s="431"/>
      <c r="R22" s="431">
        <f t="shared" si="1"/>
        <v>0</v>
      </c>
      <c r="S22" s="264"/>
      <c r="T22" s="264"/>
      <c r="U22" s="265"/>
      <c r="V22" s="296"/>
      <c r="W22" s="583">
        <f t="shared" si="2"/>
        <v>0</v>
      </c>
      <c r="X22" s="477">
        <f t="shared" si="3"/>
        <v>0</v>
      </c>
      <c r="Y22" s="478">
        <f t="shared" si="4"/>
        <v>0</v>
      </c>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row>
    <row r="23" spans="1:49" s="7" customFormat="1" ht="31.5" customHeight="1">
      <c r="A23" s="352"/>
      <c r="B23" s="28" t="s">
        <v>183</v>
      </c>
      <c r="C23" s="266" t="s">
        <v>233</v>
      </c>
      <c r="D23" s="267"/>
      <c r="E23" s="267"/>
      <c r="F23" s="267"/>
      <c r="G23" s="267"/>
      <c r="H23" s="268" t="s">
        <v>157</v>
      </c>
      <c r="I23" s="269"/>
      <c r="J23" s="269"/>
      <c r="K23" s="268" t="s">
        <v>185</v>
      </c>
      <c r="L23" s="270"/>
      <c r="M23" s="429">
        <v>12810</v>
      </c>
      <c r="N23" s="429">
        <v>7185</v>
      </c>
      <c r="O23" s="429">
        <f t="shared" si="0"/>
        <v>19995</v>
      </c>
      <c r="P23" s="495">
        <f>5212900/17877</f>
        <v>291.598142865134</v>
      </c>
      <c r="Q23" s="479"/>
      <c r="R23" s="431">
        <f t="shared" si="1"/>
        <v>291.598142865134</v>
      </c>
      <c r="S23" s="271" t="e">
        <f>#REF!</f>
        <v>#REF!</v>
      </c>
      <c r="T23" s="271" t="e">
        <f>#REF!</f>
        <v>#REF!</v>
      </c>
      <c r="U23" s="278" t="e">
        <f>SUM(S23:T23)</f>
        <v>#REF!</v>
      </c>
      <c r="V23" s="297" t="s">
        <v>345</v>
      </c>
      <c r="W23" s="583">
        <f t="shared" si="2"/>
        <v>12518.401857134866</v>
      </c>
      <c r="X23" s="477">
        <f t="shared" si="3"/>
        <v>7185</v>
      </c>
      <c r="Y23" s="478">
        <f t="shared" si="4"/>
        <v>19703.401857134864</v>
      </c>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row>
    <row r="24" spans="1:49" s="7" customFormat="1" ht="96.75" customHeight="1">
      <c r="A24" s="352"/>
      <c r="B24" s="28"/>
      <c r="C24" s="283" t="s">
        <v>234</v>
      </c>
      <c r="D24" s="283" t="s">
        <v>176</v>
      </c>
      <c r="E24" s="283" t="s">
        <v>176</v>
      </c>
      <c r="F24" s="283" t="s">
        <v>176</v>
      </c>
      <c r="G24" s="283" t="s">
        <v>176</v>
      </c>
      <c r="H24" s="283"/>
      <c r="I24" s="283" t="s">
        <v>218</v>
      </c>
      <c r="J24" s="432" t="s">
        <v>179</v>
      </c>
      <c r="K24" s="86"/>
      <c r="L24" s="263"/>
      <c r="M24" s="445"/>
      <c r="N24" s="445"/>
      <c r="O24" s="445">
        <f t="shared" si="0"/>
        <v>0</v>
      </c>
      <c r="P24" s="431"/>
      <c r="Q24" s="431"/>
      <c r="R24" s="431">
        <f t="shared" si="1"/>
        <v>0</v>
      </c>
      <c r="S24" s="264"/>
      <c r="T24" s="264"/>
      <c r="U24" s="265"/>
      <c r="V24" s="297"/>
      <c r="W24" s="583">
        <f t="shared" si="2"/>
        <v>0</v>
      </c>
      <c r="X24" s="477">
        <f t="shared" si="3"/>
        <v>0</v>
      </c>
      <c r="Y24" s="478">
        <f t="shared" si="4"/>
        <v>0</v>
      </c>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row>
    <row r="25" spans="1:49" s="7" customFormat="1" ht="33.75" customHeight="1">
      <c r="A25" s="353"/>
      <c r="B25" s="28" t="s">
        <v>179</v>
      </c>
      <c r="C25" s="266" t="s">
        <v>235</v>
      </c>
      <c r="D25" s="267"/>
      <c r="E25" s="267"/>
      <c r="F25" s="267"/>
      <c r="G25" s="267"/>
      <c r="H25" s="268" t="s">
        <v>167</v>
      </c>
      <c r="I25" s="269"/>
      <c r="J25" s="269"/>
      <c r="K25" s="268" t="s">
        <v>185</v>
      </c>
      <c r="L25" s="270"/>
      <c r="M25" s="445">
        <v>20000</v>
      </c>
      <c r="N25" s="445">
        <v>40000</v>
      </c>
      <c r="O25" s="445">
        <f>M25+N25</f>
        <v>60000</v>
      </c>
      <c r="P25" s="431">
        <f>11065455/17877</f>
        <v>618.9771773787548</v>
      </c>
      <c r="Q25" s="431">
        <v>38500</v>
      </c>
      <c r="R25" s="431">
        <f>P25+Q25</f>
        <v>39118.97717737876</v>
      </c>
      <c r="S25" s="271" t="e">
        <f>#REF!</f>
        <v>#REF!</v>
      </c>
      <c r="T25" s="271" t="e">
        <f>#REF!</f>
        <v>#REF!</v>
      </c>
      <c r="U25" s="278" t="e">
        <f>SUM(S25:T25)</f>
        <v>#REF!</v>
      </c>
      <c r="V25" s="296" t="s">
        <v>335</v>
      </c>
      <c r="W25" s="583">
        <f t="shared" si="2"/>
        <v>19381.022822621246</v>
      </c>
      <c r="X25" s="477">
        <f t="shared" si="3"/>
        <v>1500</v>
      </c>
      <c r="Y25" s="478">
        <f t="shared" si="4"/>
        <v>20881.022822621246</v>
      </c>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row>
    <row r="26" spans="1:49" s="7" customFormat="1" ht="99" customHeight="1">
      <c r="A26" s="354" t="s">
        <v>239</v>
      </c>
      <c r="B26" s="16"/>
      <c r="C26" s="283" t="s">
        <v>237</v>
      </c>
      <c r="D26" s="283" t="s">
        <v>176</v>
      </c>
      <c r="E26" s="283" t="s">
        <v>176</v>
      </c>
      <c r="F26" s="283" t="s">
        <v>176</v>
      </c>
      <c r="G26" s="283" t="s">
        <v>176</v>
      </c>
      <c r="H26" s="283" t="s">
        <v>157</v>
      </c>
      <c r="I26" s="283" t="s">
        <v>346</v>
      </c>
      <c r="J26" s="440" t="s">
        <v>179</v>
      </c>
      <c r="K26" s="110"/>
      <c r="L26" s="263" t="s">
        <v>227</v>
      </c>
      <c r="M26" s="445"/>
      <c r="N26" s="445"/>
      <c r="O26" s="445">
        <f t="shared" si="0"/>
        <v>0</v>
      </c>
      <c r="P26" s="431"/>
      <c r="Q26" s="431"/>
      <c r="R26" s="431">
        <f t="shared" si="1"/>
        <v>0</v>
      </c>
      <c r="S26" s="264"/>
      <c r="T26" s="264"/>
      <c r="U26" s="265"/>
      <c r="V26" s="296"/>
      <c r="W26" s="583">
        <f t="shared" si="2"/>
        <v>0</v>
      </c>
      <c r="X26" s="477">
        <f t="shared" si="3"/>
        <v>0</v>
      </c>
      <c r="Y26" s="478">
        <f t="shared" si="4"/>
        <v>0</v>
      </c>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row>
    <row r="27" spans="1:49" s="7" customFormat="1" ht="28.5" customHeight="1">
      <c r="A27" s="355"/>
      <c r="B27" s="16" t="s">
        <v>179</v>
      </c>
      <c r="C27" s="266" t="s">
        <v>240</v>
      </c>
      <c r="D27" s="267"/>
      <c r="E27" s="267"/>
      <c r="F27" s="267"/>
      <c r="G27" s="267"/>
      <c r="H27" s="268"/>
      <c r="I27" s="269"/>
      <c r="J27" s="269"/>
      <c r="K27" s="268" t="s">
        <v>185</v>
      </c>
      <c r="L27" s="270"/>
      <c r="M27" s="429">
        <v>37000</v>
      </c>
      <c r="N27" s="445">
        <v>40000</v>
      </c>
      <c r="O27" s="445">
        <f>M27+N27</f>
        <v>77000</v>
      </c>
      <c r="P27" s="435">
        <f>7654546/17877</f>
        <v>428.1784415729709</v>
      </c>
      <c r="Q27" s="435">
        <v>35000</v>
      </c>
      <c r="R27" s="431">
        <f>P27+Q27</f>
        <v>35428.17844157297</v>
      </c>
      <c r="S27" s="264"/>
      <c r="T27" s="264"/>
      <c r="U27" s="265"/>
      <c r="V27" s="296"/>
      <c r="W27" s="583">
        <f>M27-P27</f>
        <v>36571.82155842703</v>
      </c>
      <c r="X27" s="477">
        <f>N27-Q27</f>
        <v>5000</v>
      </c>
      <c r="Y27" s="478">
        <f>W27+X27</f>
        <v>41571.82155842703</v>
      </c>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row>
    <row r="28" spans="1:49" s="7" customFormat="1" ht="30.75" customHeight="1">
      <c r="A28" s="355"/>
      <c r="B28" s="97"/>
      <c r="C28" s="96" t="s">
        <v>336</v>
      </c>
      <c r="D28" s="113"/>
      <c r="E28" s="113"/>
      <c r="F28" s="113"/>
      <c r="G28" s="113"/>
      <c r="H28" s="78"/>
      <c r="I28" s="94"/>
      <c r="J28" s="94"/>
      <c r="K28" s="94"/>
      <c r="L28" s="94"/>
      <c r="M28" s="174">
        <f>M19+M21+M23+M25+M27</f>
        <v>162470</v>
      </c>
      <c r="N28" s="444">
        <f>N19+N21+N23+N25+N27</f>
        <v>136695</v>
      </c>
      <c r="O28" s="174">
        <f t="shared" si="0"/>
        <v>299165</v>
      </c>
      <c r="P28" s="79">
        <f>P21+P23+P25+P27</f>
        <v>17511.250657269116</v>
      </c>
      <c r="Q28" s="79">
        <f>Q21+Q23+Q25+Q27</f>
        <v>73500</v>
      </c>
      <c r="R28" s="575">
        <f t="shared" si="1"/>
        <v>91011.25065726912</v>
      </c>
      <c r="S28" s="77" t="e">
        <f>SUM(S19:S27)</f>
        <v>#REF!</v>
      </c>
      <c r="T28" s="77" t="e">
        <f>SUM(T19:T27)</f>
        <v>#REF!</v>
      </c>
      <c r="U28" s="77" t="e">
        <f>SUM(U19:U27)</f>
        <v>#REF!</v>
      </c>
      <c r="V28" s="295"/>
      <c r="W28" s="569">
        <f t="shared" si="2"/>
        <v>144958.74934273088</v>
      </c>
      <c r="X28" s="570">
        <f t="shared" si="3"/>
        <v>63195</v>
      </c>
      <c r="Y28" s="571">
        <f t="shared" si="4"/>
        <v>208153.74934273088</v>
      </c>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row>
    <row r="29" spans="1:25" ht="48" customHeight="1">
      <c r="A29" s="355"/>
      <c r="B29" s="275"/>
      <c r="C29" s="283" t="s">
        <v>238</v>
      </c>
      <c r="D29" s="283" t="s">
        <v>176</v>
      </c>
      <c r="E29" s="283" t="s">
        <v>176</v>
      </c>
      <c r="F29" s="283" t="s">
        <v>176</v>
      </c>
      <c r="G29" s="283"/>
      <c r="H29" s="283" t="s">
        <v>167</v>
      </c>
      <c r="I29" s="283" t="s">
        <v>316</v>
      </c>
      <c r="J29" s="432" t="s">
        <v>183</v>
      </c>
      <c r="K29" s="275"/>
      <c r="L29" s="263"/>
      <c r="M29" s="445"/>
      <c r="N29" s="445"/>
      <c r="O29" s="445">
        <f t="shared" si="0"/>
        <v>0</v>
      </c>
      <c r="P29" s="431"/>
      <c r="Q29" s="431"/>
      <c r="R29" s="431">
        <f t="shared" si="1"/>
        <v>0</v>
      </c>
      <c r="S29" s="264"/>
      <c r="T29" s="264"/>
      <c r="U29" s="265"/>
      <c r="V29" s="298"/>
      <c r="W29" s="583">
        <f t="shared" si="2"/>
        <v>0</v>
      </c>
      <c r="X29" s="477">
        <f t="shared" si="3"/>
        <v>0</v>
      </c>
      <c r="Y29" s="478">
        <f t="shared" si="4"/>
        <v>0</v>
      </c>
    </row>
    <row r="30" spans="1:25" s="61" customFormat="1" ht="27.75" customHeight="1">
      <c r="A30" s="355"/>
      <c r="B30" s="50" t="s">
        <v>183</v>
      </c>
      <c r="C30" s="266" t="s">
        <v>243</v>
      </c>
      <c r="D30" s="267"/>
      <c r="E30" s="267"/>
      <c r="F30" s="267"/>
      <c r="G30" s="267"/>
      <c r="H30" s="268"/>
      <c r="I30" s="269"/>
      <c r="J30" s="269"/>
      <c r="K30" s="268" t="s">
        <v>185</v>
      </c>
      <c r="L30" s="270"/>
      <c r="M30" s="429">
        <v>0</v>
      </c>
      <c r="N30" s="429">
        <v>0</v>
      </c>
      <c r="O30" s="429">
        <f t="shared" si="0"/>
        <v>0</v>
      </c>
      <c r="P30" s="479">
        <v>0</v>
      </c>
      <c r="Q30" s="479">
        <v>0</v>
      </c>
      <c r="R30" s="431">
        <f t="shared" si="1"/>
        <v>0</v>
      </c>
      <c r="S30" s="271" t="e">
        <f>#REF!</f>
        <v>#REF!</v>
      </c>
      <c r="T30" s="271" t="e">
        <f>#REF!</f>
        <v>#REF!</v>
      </c>
      <c r="U30" s="278" t="e">
        <f>SUM(S30:T30)</f>
        <v>#REF!</v>
      </c>
      <c r="V30" s="296" t="s">
        <v>335</v>
      </c>
      <c r="W30" s="583">
        <f t="shared" si="2"/>
        <v>0</v>
      </c>
      <c r="X30" s="477">
        <f t="shared" si="3"/>
        <v>0</v>
      </c>
      <c r="Y30" s="478">
        <f t="shared" si="4"/>
        <v>0</v>
      </c>
    </row>
    <row r="31" spans="1:25" s="61" customFormat="1" ht="144.75" customHeight="1">
      <c r="A31" s="355"/>
      <c r="B31" s="50"/>
      <c r="C31" s="283" t="s">
        <v>242</v>
      </c>
      <c r="D31" s="283"/>
      <c r="E31" s="283" t="s">
        <v>176</v>
      </c>
      <c r="F31" s="283" t="s">
        <v>176</v>
      </c>
      <c r="G31" s="283" t="s">
        <v>176</v>
      </c>
      <c r="H31" s="283" t="s">
        <v>157</v>
      </c>
      <c r="I31" s="283" t="s">
        <v>317</v>
      </c>
      <c r="J31" s="432" t="s">
        <v>183</v>
      </c>
      <c r="K31" s="86"/>
      <c r="L31" s="263"/>
      <c r="M31" s="445"/>
      <c r="N31" s="445"/>
      <c r="O31" s="445">
        <f t="shared" si="0"/>
        <v>0</v>
      </c>
      <c r="P31" s="431"/>
      <c r="Q31" s="431"/>
      <c r="R31" s="431">
        <f t="shared" si="1"/>
        <v>0</v>
      </c>
      <c r="S31" s="264"/>
      <c r="T31" s="264"/>
      <c r="U31" s="265"/>
      <c r="V31" s="296"/>
      <c r="W31" s="583">
        <f t="shared" si="2"/>
        <v>0</v>
      </c>
      <c r="X31" s="477">
        <f t="shared" si="3"/>
        <v>0</v>
      </c>
      <c r="Y31" s="478">
        <f t="shared" si="4"/>
        <v>0</v>
      </c>
    </row>
    <row r="32" spans="1:25" s="61" customFormat="1" ht="18.75" customHeight="1">
      <c r="A32" s="355"/>
      <c r="B32" s="50" t="s">
        <v>183</v>
      </c>
      <c r="C32" s="266" t="s">
        <v>241</v>
      </c>
      <c r="D32" s="267"/>
      <c r="E32" s="267"/>
      <c r="F32" s="267"/>
      <c r="G32" s="267"/>
      <c r="H32" s="268"/>
      <c r="I32" s="269"/>
      <c r="J32" s="269"/>
      <c r="K32" s="268" t="s">
        <v>185</v>
      </c>
      <c r="L32" s="270"/>
      <c r="M32" s="429">
        <v>0</v>
      </c>
      <c r="N32" s="429">
        <v>0</v>
      </c>
      <c r="O32" s="429">
        <f t="shared" si="0"/>
        <v>0</v>
      </c>
      <c r="P32" s="479">
        <v>0</v>
      </c>
      <c r="Q32" s="479">
        <v>0</v>
      </c>
      <c r="R32" s="431">
        <f t="shared" si="1"/>
        <v>0</v>
      </c>
      <c r="S32" s="271" t="e">
        <f>#REF!</f>
        <v>#REF!</v>
      </c>
      <c r="T32" s="271" t="e">
        <f>#REF!</f>
        <v>#REF!</v>
      </c>
      <c r="U32" s="278" t="e">
        <f>SUM(S32:T32)</f>
        <v>#REF!</v>
      </c>
      <c r="V32" s="297" t="s">
        <v>345</v>
      </c>
      <c r="W32" s="583">
        <f t="shared" si="2"/>
        <v>0</v>
      </c>
      <c r="X32" s="477">
        <f t="shared" si="3"/>
        <v>0</v>
      </c>
      <c r="Y32" s="478">
        <f t="shared" si="4"/>
        <v>0</v>
      </c>
    </row>
    <row r="33" spans="1:25" s="61" customFormat="1" ht="93.75" customHeight="1">
      <c r="A33" s="355"/>
      <c r="B33" s="50"/>
      <c r="C33" s="283" t="s">
        <v>244</v>
      </c>
      <c r="D33" s="283" t="s">
        <v>176</v>
      </c>
      <c r="E33" s="283"/>
      <c r="F33" s="283"/>
      <c r="G33" s="283"/>
      <c r="H33" s="283"/>
      <c r="I33" s="283"/>
      <c r="J33" s="432" t="s">
        <v>183</v>
      </c>
      <c r="K33" s="86"/>
      <c r="L33" s="263"/>
      <c r="M33" s="445"/>
      <c r="N33" s="445"/>
      <c r="O33" s="445">
        <f t="shared" si="0"/>
        <v>0</v>
      </c>
      <c r="P33" s="431"/>
      <c r="Q33" s="431"/>
      <c r="R33" s="431">
        <f t="shared" si="1"/>
        <v>0</v>
      </c>
      <c r="S33" s="264"/>
      <c r="T33" s="264"/>
      <c r="U33" s="265"/>
      <c r="V33" s="297"/>
      <c r="W33" s="583">
        <f t="shared" si="2"/>
        <v>0</v>
      </c>
      <c r="X33" s="477">
        <f t="shared" si="3"/>
        <v>0</v>
      </c>
      <c r="Y33" s="478">
        <f t="shared" si="4"/>
        <v>0</v>
      </c>
    </row>
    <row r="34" spans="1:49" s="7" customFormat="1" ht="27" customHeight="1">
      <c r="A34" s="355"/>
      <c r="B34" s="28" t="s">
        <v>183</v>
      </c>
      <c r="C34" s="266" t="s">
        <v>245</v>
      </c>
      <c r="D34" s="267"/>
      <c r="E34" s="267"/>
      <c r="F34" s="267"/>
      <c r="G34" s="267"/>
      <c r="H34" s="268"/>
      <c r="I34" s="269"/>
      <c r="J34" s="269"/>
      <c r="K34" s="268" t="s">
        <v>185</v>
      </c>
      <c r="L34" s="270"/>
      <c r="M34" s="484">
        <v>6000</v>
      </c>
      <c r="N34" s="484">
        <v>4000</v>
      </c>
      <c r="O34" s="484">
        <f>M34+N34</f>
        <v>10000</v>
      </c>
      <c r="P34" s="485">
        <f>80194500/17877</f>
        <v>4485.903675113274</v>
      </c>
      <c r="Q34" s="485"/>
      <c r="R34" s="485">
        <f>P34+Q34</f>
        <v>4485.903675113274</v>
      </c>
      <c r="S34" s="264"/>
      <c r="T34" s="264"/>
      <c r="U34" s="265"/>
      <c r="V34" s="297"/>
      <c r="W34" s="584">
        <f>M34-P34</f>
        <v>1514.0963248867256</v>
      </c>
      <c r="X34" s="486">
        <f>N34-Q34</f>
        <v>4000</v>
      </c>
      <c r="Y34" s="487">
        <f>W34+X34</f>
        <v>5514.096324886726</v>
      </c>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1:49" s="7" customFormat="1" ht="96" customHeight="1">
      <c r="A35" s="355"/>
      <c r="B35" s="257"/>
      <c r="C35" s="283" t="s">
        <v>376</v>
      </c>
      <c r="D35" s="283" t="s">
        <v>176</v>
      </c>
      <c r="E35" s="283"/>
      <c r="F35" s="283"/>
      <c r="G35" s="283"/>
      <c r="H35" s="283" t="s">
        <v>157</v>
      </c>
      <c r="I35" s="283"/>
      <c r="J35" s="432" t="s">
        <v>183</v>
      </c>
      <c r="K35" s="86"/>
      <c r="L35" s="263"/>
      <c r="M35" s="445"/>
      <c r="N35" s="445"/>
      <c r="O35" s="445"/>
      <c r="P35" s="431"/>
      <c r="Q35" s="431"/>
      <c r="R35" s="431"/>
      <c r="S35" s="264"/>
      <c r="T35" s="264"/>
      <c r="U35" s="265"/>
      <c r="V35" s="296"/>
      <c r="W35" s="583"/>
      <c r="X35" s="477"/>
      <c r="Y35" s="478"/>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1:49" s="7" customFormat="1" ht="32.25" customHeight="1">
      <c r="A36" s="355"/>
      <c r="B36" s="248" t="s">
        <v>183</v>
      </c>
      <c r="C36" s="266" t="s">
        <v>246</v>
      </c>
      <c r="D36" s="267"/>
      <c r="E36" s="267"/>
      <c r="F36" s="267"/>
      <c r="G36" s="267"/>
      <c r="H36" s="268"/>
      <c r="I36" s="269"/>
      <c r="J36" s="269"/>
      <c r="K36" s="268" t="s">
        <v>185</v>
      </c>
      <c r="L36" s="270"/>
      <c r="M36" s="484">
        <v>9400</v>
      </c>
      <c r="N36" s="484">
        <v>4000</v>
      </c>
      <c r="O36" s="484">
        <f>M36+N36</f>
        <v>13400</v>
      </c>
      <c r="P36" s="566">
        <f>144077160/17877</f>
        <v>8059.358952844437</v>
      </c>
      <c r="Q36" s="490"/>
      <c r="R36" s="485">
        <f t="shared" si="1"/>
        <v>8059.358952844437</v>
      </c>
      <c r="S36" s="271" t="e">
        <f>#REF!</f>
        <v>#REF!</v>
      </c>
      <c r="T36" s="271" t="e">
        <f>#REF!</f>
        <v>#REF!</v>
      </c>
      <c r="U36" s="278" t="e">
        <f>SUM(S36:T36)</f>
        <v>#REF!</v>
      </c>
      <c r="V36" s="297" t="s">
        <v>345</v>
      </c>
      <c r="W36" s="583">
        <f t="shared" si="2"/>
        <v>1340.6410471555628</v>
      </c>
      <c r="X36" s="477">
        <f t="shared" si="3"/>
        <v>4000</v>
      </c>
      <c r="Y36" s="478">
        <f t="shared" si="4"/>
        <v>5340.641047155563</v>
      </c>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row>
    <row r="37" spans="1:49" s="7" customFormat="1" ht="81" customHeight="1">
      <c r="A37" s="355"/>
      <c r="B37" s="248"/>
      <c r="C37" s="283" t="s">
        <v>377</v>
      </c>
      <c r="D37" s="283"/>
      <c r="E37" s="283" t="s">
        <v>176</v>
      </c>
      <c r="F37" s="283" t="s">
        <v>176</v>
      </c>
      <c r="G37" s="283"/>
      <c r="H37" s="283" t="s">
        <v>167</v>
      </c>
      <c r="I37" s="283" t="s">
        <v>414</v>
      </c>
      <c r="J37" s="283" t="s">
        <v>183</v>
      </c>
      <c r="K37" s="86"/>
      <c r="L37" s="263"/>
      <c r="M37" s="445"/>
      <c r="N37" s="445"/>
      <c r="O37" s="445">
        <f>M37+N37</f>
        <v>0</v>
      </c>
      <c r="P37" s="431"/>
      <c r="Q37" s="431"/>
      <c r="R37" s="431">
        <f>P37+Q37</f>
        <v>0</v>
      </c>
      <c r="S37" s="264"/>
      <c r="T37" s="264"/>
      <c r="U37" s="265"/>
      <c r="V37" s="297"/>
      <c r="W37" s="583">
        <f>M37-P37</f>
        <v>0</v>
      </c>
      <c r="X37" s="477">
        <f>N37-Q37</f>
        <v>0</v>
      </c>
      <c r="Y37" s="478">
        <f>W37+X37</f>
        <v>0</v>
      </c>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row>
    <row r="38" spans="1:49" s="7" customFormat="1" ht="23.25" customHeight="1">
      <c r="A38" s="355"/>
      <c r="B38" s="28" t="s">
        <v>183</v>
      </c>
      <c r="C38" s="266" t="s">
        <v>247</v>
      </c>
      <c r="D38" s="267"/>
      <c r="E38" s="267"/>
      <c r="F38" s="267"/>
      <c r="G38" s="267"/>
      <c r="H38" s="268"/>
      <c r="I38" s="269"/>
      <c r="J38" s="269"/>
      <c r="K38" s="268" t="s">
        <v>350</v>
      </c>
      <c r="L38" s="270"/>
      <c r="M38" s="484">
        <v>20000</v>
      </c>
      <c r="N38" s="484">
        <v>4774</v>
      </c>
      <c r="O38" s="484">
        <f>M38+N38</f>
        <v>24774</v>
      </c>
      <c r="P38" s="566">
        <v>0</v>
      </c>
      <c r="Q38" s="485">
        <v>0</v>
      </c>
      <c r="R38" s="485">
        <f>P38+Q38</f>
        <v>0</v>
      </c>
      <c r="S38" s="264"/>
      <c r="T38" s="264"/>
      <c r="U38" s="265"/>
      <c r="V38" s="297"/>
      <c r="W38" s="584">
        <f>M38-P38</f>
        <v>20000</v>
      </c>
      <c r="X38" s="486">
        <f>N38-Q38</f>
        <v>4774</v>
      </c>
      <c r="Y38" s="487">
        <f>W38+X38</f>
        <v>24774</v>
      </c>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row>
    <row r="39" spans="1:49" s="7" customFormat="1" ht="58.5" customHeight="1">
      <c r="A39" s="364"/>
      <c r="B39" s="28"/>
      <c r="C39" s="283" t="s">
        <v>348</v>
      </c>
      <c r="D39" s="283"/>
      <c r="E39" s="283" t="s">
        <v>176</v>
      </c>
      <c r="F39" s="283" t="s">
        <v>176</v>
      </c>
      <c r="G39" s="283" t="s">
        <v>176</v>
      </c>
      <c r="H39" s="283" t="s">
        <v>157</v>
      </c>
      <c r="I39" s="283" t="s">
        <v>349</v>
      </c>
      <c r="J39" s="432" t="s">
        <v>183</v>
      </c>
      <c r="K39" s="86"/>
      <c r="L39" s="263"/>
      <c r="M39" s="445"/>
      <c r="N39" s="445"/>
      <c r="O39" s="445">
        <f t="shared" si="0"/>
        <v>0</v>
      </c>
      <c r="P39" s="431"/>
      <c r="Q39" s="431"/>
      <c r="R39" s="431">
        <f t="shared" si="1"/>
        <v>0</v>
      </c>
      <c r="S39" s="264"/>
      <c r="T39" s="264"/>
      <c r="U39" s="265"/>
      <c r="V39" s="296"/>
      <c r="W39" s="583">
        <f t="shared" si="2"/>
        <v>0</v>
      </c>
      <c r="X39" s="477">
        <f t="shared" si="3"/>
        <v>0</v>
      </c>
      <c r="Y39" s="478">
        <f t="shared" si="4"/>
        <v>0</v>
      </c>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row>
    <row r="40" spans="1:49" s="7" customFormat="1" ht="27" customHeight="1">
      <c r="A40" s="364"/>
      <c r="B40" s="11" t="s">
        <v>183</v>
      </c>
      <c r="C40" s="266" t="s">
        <v>248</v>
      </c>
      <c r="D40" s="267"/>
      <c r="E40" s="267"/>
      <c r="F40" s="267"/>
      <c r="G40" s="267"/>
      <c r="H40" s="268"/>
      <c r="I40" s="269"/>
      <c r="J40" s="269"/>
      <c r="K40" s="268" t="s">
        <v>350</v>
      </c>
      <c r="L40" s="270"/>
      <c r="M40" s="430">
        <v>46330</v>
      </c>
      <c r="N40" s="430">
        <v>4774</v>
      </c>
      <c r="O40" s="430">
        <v>51101</v>
      </c>
      <c r="P40" s="439">
        <v>0</v>
      </c>
      <c r="Q40" s="430">
        <v>0</v>
      </c>
      <c r="R40" s="485">
        <f t="shared" si="1"/>
        <v>0</v>
      </c>
      <c r="S40" s="271" t="e">
        <f>#REF!</f>
        <v>#REF!</v>
      </c>
      <c r="T40" s="271" t="e">
        <f>#REF!</f>
        <v>#REF!</v>
      </c>
      <c r="U40" s="278" t="e">
        <f>SUM(S40:T40)</f>
        <v>#REF!</v>
      </c>
      <c r="V40" s="296" t="s">
        <v>347</v>
      </c>
      <c r="W40" s="584">
        <f t="shared" si="2"/>
        <v>46330</v>
      </c>
      <c r="X40" s="486">
        <f t="shared" si="3"/>
        <v>4774</v>
      </c>
      <c r="Y40" s="487">
        <f t="shared" si="4"/>
        <v>51104</v>
      </c>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row>
    <row r="41" spans="1:49" s="7" customFormat="1" ht="117" customHeight="1">
      <c r="A41" s="364"/>
      <c r="B41" s="11"/>
      <c r="C41" s="283" t="s">
        <v>378</v>
      </c>
      <c r="D41" s="283"/>
      <c r="E41" s="283" t="s">
        <v>176</v>
      </c>
      <c r="F41" s="283" t="s">
        <v>176</v>
      </c>
      <c r="G41" s="283"/>
      <c r="H41" s="283" t="s">
        <v>167</v>
      </c>
      <c r="I41" s="283" t="s">
        <v>302</v>
      </c>
      <c r="J41" s="440" t="s">
        <v>183</v>
      </c>
      <c r="K41" s="86"/>
      <c r="L41" s="263"/>
      <c r="M41" s="446"/>
      <c r="N41" s="446"/>
      <c r="O41" s="445"/>
      <c r="P41" s="475"/>
      <c r="Q41" s="475"/>
      <c r="R41" s="431"/>
      <c r="S41" s="260"/>
      <c r="T41" s="260"/>
      <c r="U41" s="261"/>
      <c r="V41" s="296"/>
      <c r="W41" s="583"/>
      <c r="X41" s="477"/>
      <c r="Y41" s="478"/>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1:25" s="8" customFormat="1" ht="35.25" customHeight="1">
      <c r="A42" s="364"/>
      <c r="B42" s="28" t="s">
        <v>183</v>
      </c>
      <c r="C42" s="266" t="s">
        <v>249</v>
      </c>
      <c r="D42" s="267"/>
      <c r="E42" s="267"/>
      <c r="F42" s="267"/>
      <c r="G42" s="267"/>
      <c r="H42" s="268"/>
      <c r="I42" s="269"/>
      <c r="J42" s="269"/>
      <c r="K42" s="268" t="s">
        <v>350</v>
      </c>
      <c r="L42" s="270"/>
      <c r="M42" s="429">
        <v>0</v>
      </c>
      <c r="N42" s="429">
        <v>0</v>
      </c>
      <c r="O42" s="429">
        <f>SUM(M42:N42)</f>
        <v>0</v>
      </c>
      <c r="P42" s="479">
        <v>0</v>
      </c>
      <c r="Q42" s="479">
        <v>0</v>
      </c>
      <c r="R42" s="488">
        <f t="shared" si="1"/>
        <v>0</v>
      </c>
      <c r="S42" s="271" t="e">
        <f>#REF!</f>
        <v>#REF!</v>
      </c>
      <c r="T42" s="271" t="e">
        <f>#REF!</f>
        <v>#REF!</v>
      </c>
      <c r="U42" s="278" t="e">
        <f>SUM(S42:T42)</f>
        <v>#REF!</v>
      </c>
      <c r="V42" s="299" t="s">
        <v>334</v>
      </c>
      <c r="W42" s="583">
        <f t="shared" si="2"/>
        <v>0</v>
      </c>
      <c r="X42" s="477">
        <f t="shared" si="3"/>
        <v>0</v>
      </c>
      <c r="Y42" s="478">
        <f t="shared" si="4"/>
        <v>0</v>
      </c>
    </row>
    <row r="43" spans="1:25" s="8" customFormat="1" ht="78" customHeight="1">
      <c r="A43" s="364"/>
      <c r="B43" s="28"/>
      <c r="C43" s="283" t="s">
        <v>379</v>
      </c>
      <c r="D43" s="283" t="s">
        <v>176</v>
      </c>
      <c r="E43" s="283" t="s">
        <v>176</v>
      </c>
      <c r="F43" s="283"/>
      <c r="G43" s="283"/>
      <c r="H43" s="283" t="s">
        <v>167</v>
      </c>
      <c r="I43" s="283" t="s">
        <v>189</v>
      </c>
      <c r="J43" s="432" t="s">
        <v>153</v>
      </c>
      <c r="K43" s="86"/>
      <c r="L43" s="263"/>
      <c r="M43" s="445"/>
      <c r="N43" s="445"/>
      <c r="O43" s="445">
        <f t="shared" si="0"/>
        <v>0</v>
      </c>
      <c r="P43" s="431"/>
      <c r="Q43" s="431"/>
      <c r="R43" s="550">
        <f t="shared" si="1"/>
        <v>0</v>
      </c>
      <c r="S43" s="264"/>
      <c r="T43" s="264"/>
      <c r="U43" s="265"/>
      <c r="V43" s="299"/>
      <c r="W43" s="583">
        <f t="shared" si="2"/>
        <v>0</v>
      </c>
      <c r="X43" s="477">
        <f t="shared" si="3"/>
        <v>0</v>
      </c>
      <c r="Y43" s="478">
        <f t="shared" si="4"/>
        <v>0</v>
      </c>
    </row>
    <row r="44" spans="1:25" s="8" customFormat="1" ht="44.25" customHeight="1">
      <c r="A44" s="364"/>
      <c r="B44" s="28" t="s">
        <v>153</v>
      </c>
      <c r="C44" s="266" t="s">
        <v>249</v>
      </c>
      <c r="D44" s="267"/>
      <c r="E44" s="267"/>
      <c r="F44" s="267"/>
      <c r="G44" s="267"/>
      <c r="H44" s="268"/>
      <c r="I44" s="269"/>
      <c r="J44" s="269"/>
      <c r="K44" s="268" t="s">
        <v>372</v>
      </c>
      <c r="L44" s="270"/>
      <c r="M44" s="429">
        <v>11250</v>
      </c>
      <c r="N44" s="429">
        <v>2799</v>
      </c>
      <c r="O44" s="429">
        <f t="shared" si="0"/>
        <v>14049</v>
      </c>
      <c r="P44" s="488">
        <f>(99000000/17826)+(10686455/17877)</f>
        <v>6151.462379986266</v>
      </c>
      <c r="Q44" s="479">
        <v>0</v>
      </c>
      <c r="R44" s="488">
        <f t="shared" si="1"/>
        <v>6151.462379986266</v>
      </c>
      <c r="S44" s="271" t="e">
        <f>#REF!</f>
        <v>#REF!</v>
      </c>
      <c r="T44" s="271" t="e">
        <f>#REF!</f>
        <v>#REF!</v>
      </c>
      <c r="U44" s="278" t="e">
        <f>SUM(S44:T44)</f>
        <v>#REF!</v>
      </c>
      <c r="V44" s="296" t="s">
        <v>367</v>
      </c>
      <c r="W44" s="583">
        <f t="shared" si="2"/>
        <v>5098.537620013734</v>
      </c>
      <c r="X44" s="477">
        <f t="shared" si="3"/>
        <v>2799</v>
      </c>
      <c r="Y44" s="478">
        <f t="shared" si="4"/>
        <v>7897.537620013734</v>
      </c>
    </row>
    <row r="45" spans="1:25" s="8" customFormat="1" ht="81.75" customHeight="1">
      <c r="A45" s="364"/>
      <c r="B45" s="28"/>
      <c r="C45" s="283" t="s">
        <v>380</v>
      </c>
      <c r="D45" s="283"/>
      <c r="E45" s="283" t="s">
        <v>176</v>
      </c>
      <c r="F45" s="283"/>
      <c r="G45" s="283"/>
      <c r="H45" s="283" t="s">
        <v>167</v>
      </c>
      <c r="I45" s="283" t="s">
        <v>303</v>
      </c>
      <c r="J45" s="432" t="s">
        <v>168</v>
      </c>
      <c r="K45" s="86"/>
      <c r="L45" s="263"/>
      <c r="M45" s="445"/>
      <c r="N45" s="445"/>
      <c r="O45" s="445">
        <f t="shared" si="0"/>
        <v>0</v>
      </c>
      <c r="P45" s="550"/>
      <c r="Q45" s="431"/>
      <c r="R45" s="550">
        <f t="shared" si="1"/>
        <v>0</v>
      </c>
      <c r="S45" s="264"/>
      <c r="T45" s="264"/>
      <c r="U45" s="265"/>
      <c r="V45" s="296"/>
      <c r="W45" s="583">
        <f t="shared" si="2"/>
        <v>0</v>
      </c>
      <c r="X45" s="477">
        <f t="shared" si="3"/>
        <v>0</v>
      </c>
      <c r="Y45" s="478">
        <f t="shared" si="4"/>
        <v>0</v>
      </c>
    </row>
    <row r="46" spans="1:49" s="7" customFormat="1" ht="36" customHeight="1">
      <c r="A46" s="364"/>
      <c r="B46" s="28" t="s">
        <v>168</v>
      </c>
      <c r="C46" s="266" t="s">
        <v>250</v>
      </c>
      <c r="D46" s="267"/>
      <c r="E46" s="267"/>
      <c r="F46" s="267"/>
      <c r="G46" s="267"/>
      <c r="H46" s="268"/>
      <c r="I46" s="269"/>
      <c r="J46" s="269"/>
      <c r="K46" s="268" t="s">
        <v>350</v>
      </c>
      <c r="L46" s="270"/>
      <c r="M46" s="429">
        <v>7350</v>
      </c>
      <c r="N46" s="429">
        <v>5568</v>
      </c>
      <c r="O46" s="445">
        <f t="shared" si="0"/>
        <v>12918</v>
      </c>
      <c r="P46" s="479">
        <f>119487773/17877</f>
        <v>6683.88281031493</v>
      </c>
      <c r="Q46" s="479">
        <v>16641</v>
      </c>
      <c r="R46" s="431">
        <f t="shared" si="1"/>
        <v>23324.882810314928</v>
      </c>
      <c r="S46" s="271" t="e">
        <f>#REF!</f>
        <v>#REF!</v>
      </c>
      <c r="T46" s="271" t="e">
        <f>#REF!</f>
        <v>#REF!</v>
      </c>
      <c r="U46" s="278" t="e">
        <f>SUM(S46:T46)</f>
        <v>#REF!</v>
      </c>
      <c r="V46" s="296" t="s">
        <v>334</v>
      </c>
      <c r="W46" s="583">
        <f t="shared" si="2"/>
        <v>666.1171896850701</v>
      </c>
      <c r="X46" s="477">
        <f t="shared" si="3"/>
        <v>-11073</v>
      </c>
      <c r="Y46" s="478">
        <f t="shared" si="4"/>
        <v>-10406.88281031493</v>
      </c>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row>
    <row r="47" spans="1:49" s="7" customFormat="1" ht="77.25" customHeight="1">
      <c r="A47" s="364"/>
      <c r="B47" s="11" t="s">
        <v>142</v>
      </c>
      <c r="C47" s="127" t="s">
        <v>381</v>
      </c>
      <c r="D47" s="57" t="s">
        <v>176</v>
      </c>
      <c r="E47" s="57" t="s">
        <v>176</v>
      </c>
      <c r="F47" s="111"/>
      <c r="G47" s="111"/>
      <c r="H47" s="187"/>
      <c r="I47" s="51" t="s">
        <v>364</v>
      </c>
      <c r="J47" s="489" t="s">
        <v>142</v>
      </c>
      <c r="K47" s="15" t="s">
        <v>350</v>
      </c>
      <c r="L47" s="15"/>
      <c r="M47" s="447">
        <v>0</v>
      </c>
      <c r="N47" s="447">
        <v>14019</v>
      </c>
      <c r="O47" s="447">
        <f t="shared" si="0"/>
        <v>14019</v>
      </c>
      <c r="P47" s="178">
        <v>0</v>
      </c>
      <c r="Q47" s="178"/>
      <c r="R47" s="447">
        <f t="shared" si="1"/>
        <v>0</v>
      </c>
      <c r="S47" s="128">
        <v>0</v>
      </c>
      <c r="T47" s="128">
        <v>0</v>
      </c>
      <c r="U47" s="62">
        <f>SUM(S47:T47)</f>
        <v>0</v>
      </c>
      <c r="V47" s="293" t="s">
        <v>413</v>
      </c>
      <c r="W47" s="583">
        <f t="shared" si="2"/>
        <v>0</v>
      </c>
      <c r="X47" s="477">
        <f t="shared" si="3"/>
        <v>14019</v>
      </c>
      <c r="Y47" s="478">
        <f t="shared" si="4"/>
        <v>14019</v>
      </c>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row>
    <row r="48" spans="1:49" s="7" customFormat="1" ht="84" customHeight="1">
      <c r="A48" s="364"/>
      <c r="B48" s="249" t="s">
        <v>183</v>
      </c>
      <c r="C48" s="230" t="s">
        <v>382</v>
      </c>
      <c r="D48" s="157" t="s">
        <v>176</v>
      </c>
      <c r="E48" s="157" t="s">
        <v>176</v>
      </c>
      <c r="F48" s="250"/>
      <c r="G48" s="250"/>
      <c r="H48" s="251"/>
      <c r="I48" s="252" t="s">
        <v>364</v>
      </c>
      <c r="J48" s="567" t="s">
        <v>183</v>
      </c>
      <c r="K48" s="86" t="s">
        <v>350</v>
      </c>
      <c r="L48" s="86"/>
      <c r="M48" s="448">
        <v>8900</v>
      </c>
      <c r="N48" s="448">
        <v>6988</v>
      </c>
      <c r="O48" s="447">
        <f t="shared" si="0"/>
        <v>15888</v>
      </c>
      <c r="P48" s="568">
        <f>151086566/17877</f>
        <v>8451.449683951447</v>
      </c>
      <c r="Q48" s="551"/>
      <c r="R48" s="447">
        <f t="shared" si="1"/>
        <v>8451.449683951447</v>
      </c>
      <c r="S48" s="253" t="e">
        <f>#REF!</f>
        <v>#REF!</v>
      </c>
      <c r="T48" s="253" t="e">
        <f>0-I48</f>
        <v>#VALUE!</v>
      </c>
      <c r="U48" s="254" t="e">
        <f>SUM(S48:T48)</f>
        <v>#REF!</v>
      </c>
      <c r="V48" s="302" t="s">
        <v>413</v>
      </c>
      <c r="W48" s="583">
        <f t="shared" si="2"/>
        <v>448.5503160485532</v>
      </c>
      <c r="X48" s="477">
        <f t="shared" si="3"/>
        <v>6988</v>
      </c>
      <c r="Y48" s="478">
        <f t="shared" si="4"/>
        <v>7436.550316048553</v>
      </c>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row>
    <row r="49" spans="1:49" s="7" customFormat="1" ht="108" customHeight="1">
      <c r="A49" s="364"/>
      <c r="B49" s="249"/>
      <c r="C49" s="283" t="s">
        <v>383</v>
      </c>
      <c r="D49" s="283" t="s">
        <v>176</v>
      </c>
      <c r="E49" s="283" t="s">
        <v>176</v>
      </c>
      <c r="F49" s="283" t="s">
        <v>176</v>
      </c>
      <c r="G49" s="283" t="s">
        <v>176</v>
      </c>
      <c r="H49" s="283" t="s">
        <v>167</v>
      </c>
      <c r="I49" s="283" t="s">
        <v>167</v>
      </c>
      <c r="J49" s="283" t="s">
        <v>181</v>
      </c>
      <c r="K49" s="86"/>
      <c r="L49" s="263"/>
      <c r="M49" s="445"/>
      <c r="N49" s="445"/>
      <c r="O49" s="445">
        <f t="shared" si="0"/>
        <v>0</v>
      </c>
      <c r="P49" s="431"/>
      <c r="Q49" s="431"/>
      <c r="R49" s="431">
        <f t="shared" si="1"/>
        <v>0</v>
      </c>
      <c r="S49" s="264"/>
      <c r="T49" s="264"/>
      <c r="U49" s="265"/>
      <c r="V49" s="302"/>
      <c r="W49" s="583">
        <f t="shared" si="2"/>
        <v>0</v>
      </c>
      <c r="X49" s="477">
        <f t="shared" si="3"/>
        <v>0</v>
      </c>
      <c r="Y49" s="478">
        <f t="shared" si="4"/>
        <v>0</v>
      </c>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row>
    <row r="50" spans="1:49" s="7" customFormat="1" ht="29.25" customHeight="1">
      <c r="A50" s="364"/>
      <c r="B50" s="28" t="s">
        <v>181</v>
      </c>
      <c r="C50" s="266" t="s">
        <v>251</v>
      </c>
      <c r="D50" s="267"/>
      <c r="E50" s="267"/>
      <c r="F50" s="267"/>
      <c r="G50" s="267"/>
      <c r="H50" s="268"/>
      <c r="I50" s="269"/>
      <c r="J50" s="269"/>
      <c r="K50" s="268" t="s">
        <v>369</v>
      </c>
      <c r="L50" s="270"/>
      <c r="M50" s="484">
        <v>23100</v>
      </c>
      <c r="N50" s="484">
        <v>30450</v>
      </c>
      <c r="O50" s="484">
        <f>M50+N50</f>
        <v>53550</v>
      </c>
      <c r="P50" s="490">
        <f>(17250178/17826)+(116559290+47644095)/17877</f>
        <v>10152.873277354493</v>
      </c>
      <c r="Q50" s="490"/>
      <c r="R50" s="485">
        <f t="shared" si="1"/>
        <v>10152.873277354493</v>
      </c>
      <c r="S50" s="271" t="e">
        <f>#REF!</f>
        <v>#REF!</v>
      </c>
      <c r="T50" s="271" t="e">
        <f>#REF!</f>
        <v>#REF!</v>
      </c>
      <c r="U50" s="278" t="e">
        <f>SUM(S50:T50)</f>
        <v>#REF!</v>
      </c>
      <c r="V50" s="296" t="s">
        <v>368</v>
      </c>
      <c r="W50" s="583">
        <f t="shared" si="2"/>
        <v>12947.126722645507</v>
      </c>
      <c r="X50" s="477">
        <f t="shared" si="3"/>
        <v>30450</v>
      </c>
      <c r="Y50" s="478">
        <f t="shared" si="4"/>
        <v>43397.12672264551</v>
      </c>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1:49" s="7" customFormat="1" ht="132" customHeight="1">
      <c r="A51" s="300"/>
      <c r="B51" s="28"/>
      <c r="C51" s="283" t="s">
        <v>384</v>
      </c>
      <c r="D51" s="283" t="s">
        <v>176</v>
      </c>
      <c r="E51" s="283" t="s">
        <v>176</v>
      </c>
      <c r="F51" s="283"/>
      <c r="G51" s="283"/>
      <c r="H51" s="283"/>
      <c r="I51" s="283" t="s">
        <v>167</v>
      </c>
      <c r="J51" s="283" t="s">
        <v>156</v>
      </c>
      <c r="K51" s="86"/>
      <c r="L51" s="263"/>
      <c r="M51" s="445"/>
      <c r="N51" s="445"/>
      <c r="O51" s="445">
        <f t="shared" si="0"/>
        <v>0</v>
      </c>
      <c r="P51" s="431"/>
      <c r="Q51" s="431"/>
      <c r="R51" s="431">
        <f t="shared" si="1"/>
        <v>0</v>
      </c>
      <c r="S51" s="264"/>
      <c r="T51" s="264"/>
      <c r="U51" s="265"/>
      <c r="V51" s="296"/>
      <c r="W51" s="583">
        <f t="shared" si="2"/>
        <v>0</v>
      </c>
      <c r="X51" s="477">
        <f t="shared" si="3"/>
        <v>0</v>
      </c>
      <c r="Y51" s="478">
        <f t="shared" si="4"/>
        <v>0</v>
      </c>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row r="52" spans="1:49" s="7" customFormat="1" ht="27" customHeight="1">
      <c r="A52" s="300"/>
      <c r="B52" s="28" t="s">
        <v>181</v>
      </c>
      <c r="C52" s="266" t="s">
        <v>252</v>
      </c>
      <c r="D52" s="267"/>
      <c r="E52" s="267"/>
      <c r="F52" s="267"/>
      <c r="G52" s="267"/>
      <c r="H52" s="268"/>
      <c r="I52" s="269"/>
      <c r="J52" s="269"/>
      <c r="K52" s="268" t="s">
        <v>369</v>
      </c>
      <c r="L52" s="270"/>
      <c r="M52" s="429">
        <v>0</v>
      </c>
      <c r="N52" s="429">
        <v>0</v>
      </c>
      <c r="O52" s="492">
        <f t="shared" si="0"/>
        <v>0</v>
      </c>
      <c r="P52" s="429">
        <v>0</v>
      </c>
      <c r="Q52" s="429">
        <v>0</v>
      </c>
      <c r="R52" s="431">
        <f t="shared" si="1"/>
        <v>0</v>
      </c>
      <c r="S52" s="271" t="e">
        <f>#REF!</f>
        <v>#REF!</v>
      </c>
      <c r="T52" s="271" t="e">
        <f>#REF!</f>
        <v>#REF!</v>
      </c>
      <c r="U52" s="278" t="e">
        <f>SUM(S52:T52)</f>
        <v>#REF!</v>
      </c>
      <c r="V52" s="296" t="s">
        <v>370</v>
      </c>
      <c r="W52" s="583">
        <f t="shared" si="2"/>
        <v>0</v>
      </c>
      <c r="X52" s="477">
        <f t="shared" si="3"/>
        <v>0</v>
      </c>
      <c r="Y52" s="478">
        <f t="shared" si="4"/>
        <v>0</v>
      </c>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row>
    <row r="53" spans="1:49" s="7" customFormat="1" ht="48.75" customHeight="1">
      <c r="A53" s="300"/>
      <c r="B53" s="28"/>
      <c r="C53" s="283" t="s">
        <v>385</v>
      </c>
      <c r="D53" s="283" t="s">
        <v>176</v>
      </c>
      <c r="E53" s="283" t="s">
        <v>176</v>
      </c>
      <c r="F53" s="283" t="s">
        <v>176</v>
      </c>
      <c r="G53" s="283" t="s">
        <v>176</v>
      </c>
      <c r="H53" s="283" t="s">
        <v>167</v>
      </c>
      <c r="I53" s="283" t="s">
        <v>188</v>
      </c>
      <c r="J53" s="440" t="s">
        <v>156</v>
      </c>
      <c r="K53" s="86"/>
      <c r="L53" s="263"/>
      <c r="M53" s="445"/>
      <c r="N53" s="445"/>
      <c r="O53" s="491">
        <f t="shared" si="0"/>
        <v>0</v>
      </c>
      <c r="P53" s="431"/>
      <c r="Q53" s="431"/>
      <c r="R53" s="431">
        <f t="shared" si="1"/>
        <v>0</v>
      </c>
      <c r="S53" s="264"/>
      <c r="T53" s="264"/>
      <c r="U53" s="265"/>
      <c r="V53" s="296"/>
      <c r="W53" s="583">
        <f t="shared" si="2"/>
        <v>0</v>
      </c>
      <c r="X53" s="477">
        <f t="shared" si="3"/>
        <v>0</v>
      </c>
      <c r="Y53" s="478">
        <f t="shared" si="4"/>
        <v>0</v>
      </c>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row>
    <row r="54" spans="1:49" s="7" customFormat="1" ht="33" customHeight="1">
      <c r="A54" s="300"/>
      <c r="B54" s="28" t="s">
        <v>181</v>
      </c>
      <c r="C54" s="266" t="s">
        <v>253</v>
      </c>
      <c r="D54" s="267"/>
      <c r="E54" s="267"/>
      <c r="F54" s="267"/>
      <c r="G54" s="267"/>
      <c r="H54" s="268"/>
      <c r="I54" s="269"/>
      <c r="J54" s="269"/>
      <c r="K54" s="268" t="s">
        <v>369</v>
      </c>
      <c r="L54" s="270"/>
      <c r="M54" s="430">
        <v>17850</v>
      </c>
      <c r="N54" s="430">
        <v>23100</v>
      </c>
      <c r="O54" s="493">
        <f t="shared" si="0"/>
        <v>40950</v>
      </c>
      <c r="P54" s="479">
        <v>0</v>
      </c>
      <c r="Q54" s="479">
        <v>0</v>
      </c>
      <c r="R54" s="431">
        <f t="shared" si="1"/>
        <v>0</v>
      </c>
      <c r="S54" s="271" t="e">
        <f>#REF!</f>
        <v>#REF!</v>
      </c>
      <c r="T54" s="271" t="e">
        <f>#REF!</f>
        <v>#REF!</v>
      </c>
      <c r="U54" s="278" t="e">
        <f>SUM(S54:T54)</f>
        <v>#REF!</v>
      </c>
      <c r="V54" s="296" t="s">
        <v>371</v>
      </c>
      <c r="W54" s="583">
        <f t="shared" si="2"/>
        <v>17850</v>
      </c>
      <c r="X54" s="477">
        <f t="shared" si="3"/>
        <v>23100</v>
      </c>
      <c r="Y54" s="478">
        <f t="shared" si="4"/>
        <v>40950</v>
      </c>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row>
    <row r="55" spans="1:49" s="7" customFormat="1" ht="66.75" customHeight="1">
      <c r="A55" s="300"/>
      <c r="B55" s="28"/>
      <c r="C55" s="283" t="s">
        <v>352</v>
      </c>
      <c r="D55" s="283" t="s">
        <v>176</v>
      </c>
      <c r="E55" s="283" t="s">
        <v>176</v>
      </c>
      <c r="F55" s="283" t="s">
        <v>176</v>
      </c>
      <c r="G55" s="283" t="s">
        <v>176</v>
      </c>
      <c r="H55" s="283"/>
      <c r="I55" s="283" t="s">
        <v>353</v>
      </c>
      <c r="J55" s="432" t="s">
        <v>351</v>
      </c>
      <c r="K55" s="433"/>
      <c r="L55" s="434"/>
      <c r="M55" s="441"/>
      <c r="N55" s="441"/>
      <c r="O55" s="445">
        <f t="shared" si="0"/>
        <v>0</v>
      </c>
      <c r="P55" s="435"/>
      <c r="Q55" s="435"/>
      <c r="R55" s="431">
        <f t="shared" si="1"/>
        <v>0</v>
      </c>
      <c r="S55" s="264"/>
      <c r="T55" s="264"/>
      <c r="U55" s="265"/>
      <c r="V55" s="296"/>
      <c r="W55" s="583">
        <f t="shared" si="2"/>
        <v>0</v>
      </c>
      <c r="X55" s="477">
        <f t="shared" si="3"/>
        <v>0</v>
      </c>
      <c r="Y55" s="478">
        <f t="shared" si="4"/>
        <v>0</v>
      </c>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row>
    <row r="56" spans="1:49" s="7" customFormat="1" ht="28.5" customHeight="1">
      <c r="A56" s="300"/>
      <c r="B56" s="9" t="s">
        <v>351</v>
      </c>
      <c r="C56" s="266" t="s">
        <v>254</v>
      </c>
      <c r="D56" s="267"/>
      <c r="E56" s="267"/>
      <c r="F56" s="267"/>
      <c r="G56" s="267"/>
      <c r="H56" s="268"/>
      <c r="I56" s="269"/>
      <c r="J56" s="436"/>
      <c r="K56" s="437"/>
      <c r="L56" s="438"/>
      <c r="M56" s="449"/>
      <c r="N56" s="439">
        <v>40000</v>
      </c>
      <c r="O56" s="439">
        <f t="shared" si="0"/>
        <v>40000</v>
      </c>
      <c r="P56" s="552"/>
      <c r="Q56" s="552"/>
      <c r="R56" s="431">
        <f t="shared" si="1"/>
        <v>0</v>
      </c>
      <c r="S56" s="271">
        <v>0</v>
      </c>
      <c r="T56" s="271" t="e">
        <f>#REF!</f>
        <v>#REF!</v>
      </c>
      <c r="U56" s="278" t="e">
        <f>SUM(S56:T56)</f>
        <v>#REF!</v>
      </c>
      <c r="V56" s="296"/>
      <c r="W56" s="583">
        <f t="shared" si="2"/>
        <v>0</v>
      </c>
      <c r="X56" s="477">
        <f t="shared" si="3"/>
        <v>40000</v>
      </c>
      <c r="Y56" s="478">
        <f t="shared" si="4"/>
        <v>40000</v>
      </c>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1:49" s="7" customFormat="1" ht="52.5" customHeight="1">
      <c r="A57" s="300"/>
      <c r="B57" s="9"/>
      <c r="C57" s="283" t="s">
        <v>424</v>
      </c>
      <c r="D57" s="283" t="s">
        <v>176</v>
      </c>
      <c r="E57" s="283" t="s">
        <v>176</v>
      </c>
      <c r="F57" s="283" t="s">
        <v>176</v>
      </c>
      <c r="G57" s="283" t="s">
        <v>176</v>
      </c>
      <c r="H57" s="283"/>
      <c r="I57" s="283" t="s">
        <v>353</v>
      </c>
      <c r="J57" s="440" t="s">
        <v>183</v>
      </c>
      <c r="K57" s="86"/>
      <c r="L57" s="263"/>
      <c r="M57" s="445"/>
      <c r="N57" s="445"/>
      <c r="O57" s="445">
        <f t="shared" si="0"/>
        <v>0</v>
      </c>
      <c r="P57" s="431"/>
      <c r="Q57" s="431"/>
      <c r="R57" s="431">
        <f t="shared" si="1"/>
        <v>0</v>
      </c>
      <c r="S57" s="264"/>
      <c r="T57" s="264"/>
      <c r="U57" s="265"/>
      <c r="V57" s="303"/>
      <c r="W57" s="583">
        <f t="shared" si="2"/>
        <v>0</v>
      </c>
      <c r="X57" s="477">
        <f t="shared" si="3"/>
        <v>0</v>
      </c>
      <c r="Y57" s="478">
        <f t="shared" si="4"/>
        <v>0</v>
      </c>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1:49" s="7" customFormat="1" ht="29.25" customHeight="1">
      <c r="A58" s="300"/>
      <c r="B58" s="9" t="s">
        <v>183</v>
      </c>
      <c r="C58" s="266" t="s">
        <v>255</v>
      </c>
      <c r="D58" s="267"/>
      <c r="E58" s="267"/>
      <c r="F58" s="267"/>
      <c r="G58" s="267"/>
      <c r="H58" s="268"/>
      <c r="I58" s="269"/>
      <c r="J58" s="269"/>
      <c r="K58" s="268" t="s">
        <v>185</v>
      </c>
      <c r="L58" s="270"/>
      <c r="M58" s="429">
        <v>0</v>
      </c>
      <c r="N58" s="430">
        <v>6000</v>
      </c>
      <c r="O58" s="493">
        <f t="shared" si="0"/>
        <v>6000</v>
      </c>
      <c r="P58" s="479">
        <v>0</v>
      </c>
      <c r="Q58" s="479">
        <v>0</v>
      </c>
      <c r="R58" s="431">
        <f t="shared" si="1"/>
        <v>0</v>
      </c>
      <c r="S58" s="271">
        <v>0</v>
      </c>
      <c r="T58" s="271" t="e">
        <f>#REF!</f>
        <v>#REF!</v>
      </c>
      <c r="U58" s="278" t="e">
        <f>SUM(S58:T58)</f>
        <v>#REF!</v>
      </c>
      <c r="V58" s="303" t="s">
        <v>345</v>
      </c>
      <c r="W58" s="583">
        <f t="shared" si="2"/>
        <v>0</v>
      </c>
      <c r="X58" s="477">
        <f t="shared" si="3"/>
        <v>6000</v>
      </c>
      <c r="Y58" s="478">
        <f t="shared" si="4"/>
        <v>6000</v>
      </c>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row>
    <row r="59" spans="1:49" s="7" customFormat="1" ht="84" customHeight="1">
      <c r="A59" s="300"/>
      <c r="B59" s="9"/>
      <c r="C59" s="283" t="s">
        <v>386</v>
      </c>
      <c r="D59" s="283"/>
      <c r="E59" s="283"/>
      <c r="F59" s="283" t="s">
        <v>176</v>
      </c>
      <c r="G59" s="283" t="s">
        <v>176</v>
      </c>
      <c r="H59" s="283"/>
      <c r="I59" s="283" t="s">
        <v>355</v>
      </c>
      <c r="J59" s="440" t="s">
        <v>354</v>
      </c>
      <c r="K59" s="86"/>
      <c r="L59" s="263"/>
      <c r="M59" s="445"/>
      <c r="N59" s="445"/>
      <c r="O59" s="445">
        <f t="shared" si="0"/>
        <v>0</v>
      </c>
      <c r="P59" s="431"/>
      <c r="Q59" s="431"/>
      <c r="R59" s="431">
        <f t="shared" si="1"/>
        <v>0</v>
      </c>
      <c r="S59" s="264"/>
      <c r="T59" s="264"/>
      <c r="U59" s="265"/>
      <c r="V59" s="303"/>
      <c r="W59" s="583">
        <f t="shared" si="2"/>
        <v>0</v>
      </c>
      <c r="X59" s="477">
        <f t="shared" si="3"/>
        <v>0</v>
      </c>
      <c r="Y59" s="478">
        <f t="shared" si="4"/>
        <v>0</v>
      </c>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row>
    <row r="60" spans="1:49" s="7" customFormat="1" ht="34.5" customHeight="1">
      <c r="A60" s="301"/>
      <c r="B60" s="9" t="s">
        <v>354</v>
      </c>
      <c r="C60" s="266" t="s">
        <v>256</v>
      </c>
      <c r="D60" s="267"/>
      <c r="E60" s="267"/>
      <c r="F60" s="267"/>
      <c r="G60" s="267"/>
      <c r="H60" s="268"/>
      <c r="I60" s="269"/>
      <c r="J60" s="494"/>
      <c r="K60" s="268"/>
      <c r="L60" s="270"/>
      <c r="M60" s="429"/>
      <c r="N60" s="429">
        <v>24570</v>
      </c>
      <c r="O60" s="445">
        <f t="shared" si="0"/>
        <v>24570</v>
      </c>
      <c r="P60" s="479">
        <v>0</v>
      </c>
      <c r="Q60" s="479">
        <v>13257</v>
      </c>
      <c r="R60" s="431">
        <f t="shared" si="1"/>
        <v>13257</v>
      </c>
      <c r="S60" s="271">
        <v>0</v>
      </c>
      <c r="T60" s="271" t="e">
        <f>#REF!</f>
        <v>#REF!</v>
      </c>
      <c r="U60" s="278" t="e">
        <f>SUM(S60:T60)</f>
        <v>#REF!</v>
      </c>
      <c r="V60" s="296"/>
      <c r="W60" s="583">
        <f t="shared" si="2"/>
        <v>0</v>
      </c>
      <c r="X60" s="477">
        <f t="shared" si="3"/>
        <v>11313</v>
      </c>
      <c r="Y60" s="478">
        <f t="shared" si="4"/>
        <v>11313</v>
      </c>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row>
    <row r="61" spans="1:49" s="7" customFormat="1" ht="82.5" customHeight="1">
      <c r="A61" s="300"/>
      <c r="B61" s="255"/>
      <c r="C61" s="283" t="s">
        <v>387</v>
      </c>
      <c r="D61" s="283" t="s">
        <v>176</v>
      </c>
      <c r="E61" s="283" t="s">
        <v>176</v>
      </c>
      <c r="F61" s="283" t="s">
        <v>176</v>
      </c>
      <c r="G61" s="283" t="s">
        <v>176</v>
      </c>
      <c r="H61" s="283"/>
      <c r="I61" s="283" t="s">
        <v>355</v>
      </c>
      <c r="J61" s="440" t="s">
        <v>354</v>
      </c>
      <c r="K61" s="86"/>
      <c r="L61" s="263"/>
      <c r="M61" s="445"/>
      <c r="N61" s="445"/>
      <c r="O61" s="445">
        <f t="shared" si="0"/>
        <v>0</v>
      </c>
      <c r="P61" s="431"/>
      <c r="Q61" s="431"/>
      <c r="R61" s="431">
        <f t="shared" si="1"/>
        <v>0</v>
      </c>
      <c r="S61" s="264"/>
      <c r="T61" s="264"/>
      <c r="U61" s="265"/>
      <c r="V61" s="303"/>
      <c r="W61" s="583">
        <f t="shared" si="2"/>
        <v>0</v>
      </c>
      <c r="X61" s="477">
        <f t="shared" si="3"/>
        <v>0</v>
      </c>
      <c r="Y61" s="478">
        <f t="shared" si="4"/>
        <v>0</v>
      </c>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row>
    <row r="62" spans="1:49" s="7" customFormat="1" ht="33" customHeight="1">
      <c r="A62" s="300"/>
      <c r="B62" s="255" t="s">
        <v>354</v>
      </c>
      <c r="C62" s="266" t="s">
        <v>257</v>
      </c>
      <c r="D62" s="267"/>
      <c r="E62" s="267"/>
      <c r="F62" s="267"/>
      <c r="G62" s="267"/>
      <c r="H62" s="268"/>
      <c r="I62" s="269"/>
      <c r="J62" s="269"/>
      <c r="K62" s="268"/>
      <c r="L62" s="270"/>
      <c r="M62" s="429"/>
      <c r="N62" s="429">
        <v>134835</v>
      </c>
      <c r="O62" s="445">
        <f t="shared" si="0"/>
        <v>134835</v>
      </c>
      <c r="P62" s="479"/>
      <c r="Q62" s="479"/>
      <c r="R62" s="431">
        <f t="shared" si="1"/>
        <v>0</v>
      </c>
      <c r="S62" s="271">
        <v>0</v>
      </c>
      <c r="T62" s="271" t="e">
        <f>#REF!</f>
        <v>#REF!</v>
      </c>
      <c r="U62" s="278" t="e">
        <f>SUM(S62:T62)</f>
        <v>#REF!</v>
      </c>
      <c r="V62" s="303"/>
      <c r="W62" s="583">
        <f t="shared" si="2"/>
        <v>0</v>
      </c>
      <c r="X62" s="477">
        <f t="shared" si="3"/>
        <v>134835</v>
      </c>
      <c r="Y62" s="478">
        <f t="shared" si="4"/>
        <v>134835</v>
      </c>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row>
    <row r="63" spans="1:49" s="7" customFormat="1" ht="66.75" customHeight="1">
      <c r="A63" s="300"/>
      <c r="B63" s="255"/>
      <c r="C63" s="283" t="s">
        <v>388</v>
      </c>
      <c r="D63" s="283" t="s">
        <v>176</v>
      </c>
      <c r="E63" s="283" t="s">
        <v>176</v>
      </c>
      <c r="F63" s="283" t="s">
        <v>176</v>
      </c>
      <c r="G63" s="283" t="s">
        <v>176</v>
      </c>
      <c r="H63" s="283" t="s">
        <v>167</v>
      </c>
      <c r="I63" s="432" t="s">
        <v>330</v>
      </c>
      <c r="J63" s="432" t="s">
        <v>178</v>
      </c>
      <c r="K63" s="134"/>
      <c r="L63" s="263"/>
      <c r="M63" s="445"/>
      <c r="N63" s="445"/>
      <c r="O63" s="445">
        <f t="shared" si="0"/>
        <v>0</v>
      </c>
      <c r="P63" s="431"/>
      <c r="Q63" s="431"/>
      <c r="R63" s="431">
        <f t="shared" si="1"/>
        <v>0</v>
      </c>
      <c r="S63" s="264"/>
      <c r="T63" s="264"/>
      <c r="U63" s="265"/>
      <c r="V63" s="303"/>
      <c r="W63" s="583">
        <f t="shared" si="2"/>
        <v>0</v>
      </c>
      <c r="X63" s="477">
        <f t="shared" si="3"/>
        <v>0</v>
      </c>
      <c r="Y63" s="478">
        <f t="shared" si="4"/>
        <v>0</v>
      </c>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row>
    <row r="64" spans="1:49" s="7" customFormat="1" ht="42.75" customHeight="1">
      <c r="A64" s="300"/>
      <c r="B64" s="5" t="s">
        <v>178</v>
      </c>
      <c r="C64" s="266" t="s">
        <v>258</v>
      </c>
      <c r="D64" s="267"/>
      <c r="E64" s="267"/>
      <c r="F64" s="267"/>
      <c r="G64" s="267"/>
      <c r="H64" s="268"/>
      <c r="I64" s="269"/>
      <c r="J64" s="269"/>
      <c r="K64" s="268" t="s">
        <v>185</v>
      </c>
      <c r="L64" s="270"/>
      <c r="M64" s="492">
        <v>10000</v>
      </c>
      <c r="N64" s="429">
        <v>13500</v>
      </c>
      <c r="O64" s="445">
        <f t="shared" si="0"/>
        <v>23500</v>
      </c>
      <c r="P64" s="449">
        <v>0</v>
      </c>
      <c r="Q64" s="495">
        <f>N64-984</f>
        <v>12516</v>
      </c>
      <c r="R64" s="431">
        <f t="shared" si="1"/>
        <v>12516</v>
      </c>
      <c r="S64" s="271" t="e">
        <f>#REF!</f>
        <v>#REF!</v>
      </c>
      <c r="T64" s="271" t="e">
        <f>#REF!</f>
        <v>#REF!</v>
      </c>
      <c r="U64" s="278" t="e">
        <f>SUM(S64:T64)</f>
        <v>#REF!</v>
      </c>
      <c r="V64" s="296" t="s">
        <v>335</v>
      </c>
      <c r="W64" s="583">
        <f t="shared" si="2"/>
        <v>10000</v>
      </c>
      <c r="X64" s="477">
        <f t="shared" si="3"/>
        <v>984</v>
      </c>
      <c r="Y64" s="478">
        <f t="shared" si="4"/>
        <v>10984</v>
      </c>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row>
    <row r="65" spans="1:49" s="7" customFormat="1" ht="67.5" customHeight="1">
      <c r="A65" s="300"/>
      <c r="B65" s="5"/>
      <c r="C65" s="283" t="s">
        <v>389</v>
      </c>
      <c r="D65" s="283"/>
      <c r="E65" s="283" t="s">
        <v>176</v>
      </c>
      <c r="F65" s="283" t="s">
        <v>176</v>
      </c>
      <c r="G65" s="283" t="s">
        <v>176</v>
      </c>
      <c r="H65" s="283" t="s">
        <v>167</v>
      </c>
      <c r="I65" s="432" t="s">
        <v>331</v>
      </c>
      <c r="J65" s="432" t="s">
        <v>178</v>
      </c>
      <c r="K65" s="86"/>
      <c r="L65" s="263"/>
      <c r="M65" s="445"/>
      <c r="N65" s="445"/>
      <c r="O65" s="445">
        <f t="shared" si="0"/>
        <v>0</v>
      </c>
      <c r="P65" s="431"/>
      <c r="Q65" s="431"/>
      <c r="R65" s="431">
        <f t="shared" si="1"/>
        <v>0</v>
      </c>
      <c r="S65" s="264"/>
      <c r="T65" s="264"/>
      <c r="U65" s="265"/>
      <c r="V65" s="296"/>
      <c r="W65" s="583">
        <f t="shared" si="2"/>
        <v>0</v>
      </c>
      <c r="X65" s="477">
        <f t="shared" si="3"/>
        <v>0</v>
      </c>
      <c r="Y65" s="478">
        <f t="shared" si="4"/>
        <v>0</v>
      </c>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row>
    <row r="66" spans="1:49" s="7" customFormat="1" ht="29.25" customHeight="1">
      <c r="A66" s="300"/>
      <c r="B66" s="5" t="s">
        <v>178</v>
      </c>
      <c r="C66" s="266" t="s">
        <v>259</v>
      </c>
      <c r="D66" s="267"/>
      <c r="E66" s="267"/>
      <c r="F66" s="267"/>
      <c r="G66" s="267"/>
      <c r="H66" s="268"/>
      <c r="I66" s="269"/>
      <c r="J66" s="269"/>
      <c r="K66" s="268" t="s">
        <v>185</v>
      </c>
      <c r="L66" s="270"/>
      <c r="M66" s="492">
        <v>10000</v>
      </c>
      <c r="N66" s="429">
        <v>12020</v>
      </c>
      <c r="O66" s="445">
        <f t="shared" si="0"/>
        <v>22020</v>
      </c>
      <c r="P66" s="449">
        <f>251840273/17877</f>
        <v>14087.39011019746</v>
      </c>
      <c r="Q66" s="495">
        <f>N66-876</f>
        <v>11144</v>
      </c>
      <c r="R66" s="431">
        <f t="shared" si="1"/>
        <v>25231.390110197462</v>
      </c>
      <c r="S66" s="271" t="e">
        <f>#REF!</f>
        <v>#REF!</v>
      </c>
      <c r="T66" s="271" t="e">
        <f>#REF!</f>
        <v>#REF!</v>
      </c>
      <c r="U66" s="278" t="e">
        <f>SUM(S66:T66)</f>
        <v>#REF!</v>
      </c>
      <c r="V66" s="296" t="s">
        <v>335</v>
      </c>
      <c r="W66" s="583">
        <f t="shared" si="2"/>
        <v>-4087.3901101974607</v>
      </c>
      <c r="X66" s="477">
        <f t="shared" si="3"/>
        <v>876</v>
      </c>
      <c r="Y66" s="478">
        <f t="shared" si="4"/>
        <v>-3211.3901101974607</v>
      </c>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row>
    <row r="67" spans="1:49" s="7" customFormat="1" ht="97.5" customHeight="1">
      <c r="A67" s="300"/>
      <c r="B67" s="60"/>
      <c r="C67" s="283" t="s">
        <v>332</v>
      </c>
      <c r="D67" s="283"/>
      <c r="E67" s="283" t="s">
        <v>176</v>
      </c>
      <c r="F67" s="283" t="s">
        <v>176</v>
      </c>
      <c r="G67" s="283" t="s">
        <v>176</v>
      </c>
      <c r="H67" s="283" t="s">
        <v>167</v>
      </c>
      <c r="I67" s="432" t="s">
        <v>331</v>
      </c>
      <c r="J67" s="432" t="s">
        <v>178</v>
      </c>
      <c r="K67" s="134"/>
      <c r="L67" s="263"/>
      <c r="M67" s="445"/>
      <c r="N67" s="445"/>
      <c r="O67" s="445">
        <f t="shared" si="0"/>
        <v>0</v>
      </c>
      <c r="P67" s="431"/>
      <c r="Q67" s="431"/>
      <c r="R67" s="431">
        <f t="shared" si="1"/>
        <v>0</v>
      </c>
      <c r="S67" s="264"/>
      <c r="T67" s="264"/>
      <c r="U67" s="265"/>
      <c r="V67" s="296"/>
      <c r="W67" s="583">
        <f t="shared" si="2"/>
        <v>0</v>
      </c>
      <c r="X67" s="477">
        <f t="shared" si="3"/>
        <v>0</v>
      </c>
      <c r="Y67" s="478">
        <f t="shared" si="4"/>
        <v>0</v>
      </c>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row>
    <row r="68" spans="1:49" s="7" customFormat="1" ht="38.25" customHeight="1">
      <c r="A68" s="301"/>
      <c r="B68" s="60" t="s">
        <v>178</v>
      </c>
      <c r="C68" s="266" t="s">
        <v>260</v>
      </c>
      <c r="D68" s="267"/>
      <c r="E68" s="267"/>
      <c r="F68" s="267"/>
      <c r="G68" s="267"/>
      <c r="H68" s="268"/>
      <c r="I68" s="269"/>
      <c r="J68" s="269"/>
      <c r="K68" s="268" t="s">
        <v>185</v>
      </c>
      <c r="L68" s="270"/>
      <c r="M68" s="492">
        <v>15000</v>
      </c>
      <c r="N68" s="429">
        <v>42620</v>
      </c>
      <c r="O68" s="445">
        <f t="shared" si="0"/>
        <v>57620</v>
      </c>
      <c r="P68" s="449">
        <f>149888090/17877</f>
        <v>8384.409576550875</v>
      </c>
      <c r="Q68" s="495">
        <f>N68-3106</f>
        <v>39514</v>
      </c>
      <c r="R68" s="431">
        <f t="shared" si="1"/>
        <v>47898.409576550875</v>
      </c>
      <c r="S68" s="271" t="e">
        <f>#REF!</f>
        <v>#REF!</v>
      </c>
      <c r="T68" s="271" t="e">
        <f>#REF!</f>
        <v>#REF!</v>
      </c>
      <c r="U68" s="278" t="e">
        <f>SUM(S68:T68)</f>
        <v>#REF!</v>
      </c>
      <c r="V68" s="296" t="s">
        <v>335</v>
      </c>
      <c r="W68" s="583">
        <f t="shared" si="2"/>
        <v>6615.5904234491245</v>
      </c>
      <c r="X68" s="477">
        <f t="shared" si="3"/>
        <v>3106</v>
      </c>
      <c r="Y68" s="478">
        <f t="shared" si="4"/>
        <v>9721.590423449125</v>
      </c>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row>
    <row r="69" spans="1:49" s="7" customFormat="1" ht="31.5" customHeight="1" thickBot="1">
      <c r="A69" s="304"/>
      <c r="B69" s="161"/>
      <c r="C69" s="162" t="s">
        <v>338</v>
      </c>
      <c r="D69" s="163"/>
      <c r="E69" s="163"/>
      <c r="F69" s="163"/>
      <c r="G69" s="163"/>
      <c r="H69" s="164"/>
      <c r="I69" s="165"/>
      <c r="J69" s="165"/>
      <c r="K69" s="165"/>
      <c r="L69" s="165"/>
      <c r="M69" s="576">
        <f>M30+M32+M34+M36+M38+M40+M42+M44+M46+M47+M48+M50+M52+M54+M56+M58+M60+M62+M64+M66+M68</f>
        <v>185180</v>
      </c>
      <c r="N69" s="450">
        <f>N30+N32+N34+N36+N38+N40+N42+N44+N46+N47+N48+N50+N52+N54+N56+N58+N60+N62+N64+N66+N68</f>
        <v>374017</v>
      </c>
      <c r="O69" s="576">
        <f t="shared" si="0"/>
        <v>559197</v>
      </c>
      <c r="P69" s="576">
        <f>P30+P32+P34+P36+P38+P40+P42+P44+P46+P47+P48+P50+P52+P54+P56+P58+P60+P62+P64+P66+P68</f>
        <v>66456.73046631318</v>
      </c>
      <c r="Q69" s="553"/>
      <c r="R69" s="576">
        <f t="shared" si="1"/>
        <v>66456.73046631318</v>
      </c>
      <c r="S69" s="450" t="e">
        <f>SUM(S30:S68)</f>
        <v>#REF!</v>
      </c>
      <c r="T69" s="450" t="e">
        <f>SUM(T30:T68)</f>
        <v>#REF!</v>
      </c>
      <c r="U69" s="450" t="e">
        <f>SUM(S69:T69)</f>
        <v>#REF!</v>
      </c>
      <c r="V69" s="450"/>
      <c r="W69" s="576">
        <f t="shared" si="2"/>
        <v>118723.26953368682</v>
      </c>
      <c r="X69" s="576">
        <f t="shared" si="3"/>
        <v>374017</v>
      </c>
      <c r="Y69" s="576">
        <f t="shared" si="4"/>
        <v>492740.2695336868</v>
      </c>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row>
    <row r="70" spans="1:49" s="7" customFormat="1" ht="82.5" customHeight="1" hidden="1">
      <c r="A70" s="389" t="s">
        <v>322</v>
      </c>
      <c r="B70" s="390"/>
      <c r="C70" s="390"/>
      <c r="D70" s="390"/>
      <c r="E70" s="390"/>
      <c r="F70" s="390"/>
      <c r="G70" s="390"/>
      <c r="H70" s="390"/>
      <c r="I70" s="390"/>
      <c r="J70" s="390"/>
      <c r="K70" s="390"/>
      <c r="L70" s="390"/>
      <c r="M70" s="451"/>
      <c r="N70" s="451"/>
      <c r="O70" s="445">
        <f t="shared" si="0"/>
        <v>0</v>
      </c>
      <c r="P70" s="554"/>
      <c r="Q70" s="554"/>
      <c r="R70" s="431">
        <f t="shared" si="1"/>
        <v>0</v>
      </c>
      <c r="S70" s="390"/>
      <c r="T70" s="391"/>
      <c r="U70" s="213"/>
      <c r="V70" s="305"/>
      <c r="W70" s="473">
        <f t="shared" si="2"/>
        <v>0</v>
      </c>
      <c r="X70" s="477">
        <f t="shared" si="3"/>
        <v>0</v>
      </c>
      <c r="Y70" s="478">
        <f t="shared" si="4"/>
        <v>0</v>
      </c>
      <c r="Z70" s="137"/>
      <c r="AA70" s="61"/>
      <c r="AB70" s="61"/>
      <c r="AC70" s="61"/>
      <c r="AD70" s="61"/>
      <c r="AE70" s="61"/>
      <c r="AF70" s="61"/>
      <c r="AG70" s="61"/>
      <c r="AH70" s="61"/>
      <c r="AI70" s="61"/>
      <c r="AJ70" s="61"/>
      <c r="AK70" s="61"/>
      <c r="AL70" s="61"/>
      <c r="AM70" s="61"/>
      <c r="AN70" s="61"/>
      <c r="AO70" s="61"/>
      <c r="AP70" s="61"/>
      <c r="AQ70" s="61"/>
      <c r="AR70" s="61"/>
      <c r="AS70" s="61"/>
      <c r="AT70" s="61"/>
      <c r="AU70" s="61"/>
      <c r="AV70" s="61"/>
      <c r="AW70" s="61"/>
    </row>
    <row r="71" spans="1:25" ht="117" customHeight="1" hidden="1">
      <c r="A71" s="382" t="s">
        <v>220</v>
      </c>
      <c r="B71" s="383"/>
      <c r="C71" s="383"/>
      <c r="D71" s="383"/>
      <c r="E71" s="383"/>
      <c r="F71" s="383"/>
      <c r="G71" s="383"/>
      <c r="H71" s="383"/>
      <c r="I71" s="383"/>
      <c r="J71" s="383"/>
      <c r="K71" s="383"/>
      <c r="L71" s="383"/>
      <c r="M71" s="452"/>
      <c r="N71" s="452"/>
      <c r="O71" s="445">
        <f t="shared" si="0"/>
        <v>0</v>
      </c>
      <c r="P71" s="555"/>
      <c r="Q71" s="555"/>
      <c r="R71" s="431">
        <f t="shared" si="1"/>
        <v>0</v>
      </c>
      <c r="S71" s="383"/>
      <c r="T71" s="383"/>
      <c r="U71" s="383"/>
      <c r="V71" s="384"/>
      <c r="W71" s="473">
        <f t="shared" si="2"/>
        <v>0</v>
      </c>
      <c r="X71" s="477">
        <f t="shared" si="3"/>
        <v>0</v>
      </c>
      <c r="Y71" s="478">
        <f t="shared" si="4"/>
        <v>0</v>
      </c>
    </row>
    <row r="72" spans="1:25" ht="64.5" customHeight="1">
      <c r="A72" s="365" t="s">
        <v>263</v>
      </c>
      <c r="B72" s="275"/>
      <c r="C72" s="283" t="s">
        <v>390</v>
      </c>
      <c r="D72" s="283"/>
      <c r="E72" s="283" t="s">
        <v>176</v>
      </c>
      <c r="F72" s="283"/>
      <c r="G72" s="283" t="s">
        <v>176</v>
      </c>
      <c r="H72" s="283" t="s">
        <v>167</v>
      </c>
      <c r="I72" s="283" t="s">
        <v>304</v>
      </c>
      <c r="J72" s="283" t="s">
        <v>168</v>
      </c>
      <c r="K72" s="275"/>
      <c r="L72" s="263"/>
      <c r="M72" s="445"/>
      <c r="N72" s="445"/>
      <c r="O72" s="445">
        <f t="shared" si="0"/>
        <v>0</v>
      </c>
      <c r="P72" s="431"/>
      <c r="Q72" s="431"/>
      <c r="R72" s="431">
        <f t="shared" si="1"/>
        <v>0</v>
      </c>
      <c r="S72" s="264"/>
      <c r="T72" s="264"/>
      <c r="U72" s="265"/>
      <c r="V72" s="384"/>
      <c r="W72" s="583">
        <f t="shared" si="2"/>
        <v>0</v>
      </c>
      <c r="X72" s="477">
        <f t="shared" si="3"/>
        <v>0</v>
      </c>
      <c r="Y72" s="478">
        <f t="shared" si="4"/>
        <v>0</v>
      </c>
    </row>
    <row r="73" spans="1:49" s="139" customFormat="1" ht="38.25" customHeight="1">
      <c r="A73" s="366"/>
      <c r="B73" s="138" t="s">
        <v>168</v>
      </c>
      <c r="C73" s="266" t="s">
        <v>261</v>
      </c>
      <c r="D73" s="267"/>
      <c r="E73" s="267"/>
      <c r="F73" s="267"/>
      <c r="G73" s="267"/>
      <c r="H73" s="268"/>
      <c r="I73" s="269"/>
      <c r="J73" s="269"/>
      <c r="K73" s="268" t="s">
        <v>154</v>
      </c>
      <c r="L73" s="270"/>
      <c r="M73" s="429">
        <v>21000</v>
      </c>
      <c r="N73" s="429">
        <v>10151</v>
      </c>
      <c r="O73" s="429">
        <f t="shared" si="0"/>
        <v>31151</v>
      </c>
      <c r="P73" s="495">
        <f>331489071/17877</f>
        <v>18542.768417519717</v>
      </c>
      <c r="Q73" s="479">
        <v>6133</v>
      </c>
      <c r="R73" s="479">
        <f t="shared" si="1"/>
        <v>24675.768417519717</v>
      </c>
      <c r="S73" s="271" t="e">
        <f>#REF!</f>
        <v>#REF!</v>
      </c>
      <c r="T73" s="271" t="e">
        <f>#REF!</f>
        <v>#REF!</v>
      </c>
      <c r="U73" s="278" t="e">
        <f>SUM(S73:T73)</f>
        <v>#REF!</v>
      </c>
      <c r="V73" s="306" t="s">
        <v>334</v>
      </c>
      <c r="W73" s="583">
        <f t="shared" si="2"/>
        <v>2457.2315824802827</v>
      </c>
      <c r="X73" s="477">
        <f t="shared" si="3"/>
        <v>4018</v>
      </c>
      <c r="Y73" s="478">
        <f t="shared" si="4"/>
        <v>6475.231582480283</v>
      </c>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row>
    <row r="74" spans="1:49" s="139" customFormat="1" ht="129.75" customHeight="1">
      <c r="A74" s="366"/>
      <c r="B74" s="138"/>
      <c r="C74" s="283" t="s">
        <v>215</v>
      </c>
      <c r="D74" s="283" t="s">
        <v>176</v>
      </c>
      <c r="E74" s="283" t="s">
        <v>176</v>
      </c>
      <c r="F74" s="283" t="s">
        <v>176</v>
      </c>
      <c r="G74" s="283" t="s">
        <v>176</v>
      </c>
      <c r="H74" s="283" t="s">
        <v>167</v>
      </c>
      <c r="I74" s="283" t="s">
        <v>216</v>
      </c>
      <c r="J74" s="432" t="s">
        <v>168</v>
      </c>
      <c r="K74" s="268"/>
      <c r="L74" s="270"/>
      <c r="M74" s="429"/>
      <c r="N74" s="429"/>
      <c r="O74" s="445">
        <f t="shared" si="0"/>
        <v>0</v>
      </c>
      <c r="P74" s="479"/>
      <c r="Q74" s="479"/>
      <c r="R74" s="431">
        <f t="shared" si="1"/>
        <v>0</v>
      </c>
      <c r="S74" s="271"/>
      <c r="T74" s="271"/>
      <c r="U74" s="278"/>
      <c r="V74" s="306"/>
      <c r="W74" s="583">
        <f t="shared" si="2"/>
        <v>0</v>
      </c>
      <c r="X74" s="477">
        <f t="shared" si="3"/>
        <v>0</v>
      </c>
      <c r="Y74" s="478">
        <f t="shared" si="4"/>
        <v>0</v>
      </c>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row>
    <row r="75" spans="1:49" s="139" customFormat="1" ht="41.25" customHeight="1">
      <c r="A75" s="366"/>
      <c r="B75" s="138" t="s">
        <v>168</v>
      </c>
      <c r="C75" s="266" t="s">
        <v>262</v>
      </c>
      <c r="D75" s="267"/>
      <c r="E75" s="267"/>
      <c r="F75" s="267"/>
      <c r="G75" s="267"/>
      <c r="H75" s="268"/>
      <c r="I75" s="269"/>
      <c r="J75" s="269"/>
      <c r="K75" s="268" t="s">
        <v>154</v>
      </c>
      <c r="L75" s="270"/>
      <c r="M75" s="497">
        <v>0</v>
      </c>
      <c r="N75" s="496">
        <v>18900</v>
      </c>
      <c r="O75" s="482">
        <f t="shared" si="0"/>
        <v>18900</v>
      </c>
      <c r="P75" s="476">
        <v>0</v>
      </c>
      <c r="Q75" s="429">
        <v>15506</v>
      </c>
      <c r="R75" s="429">
        <f t="shared" si="1"/>
        <v>15506</v>
      </c>
      <c r="S75" s="429" t="e">
        <f>#REF!</f>
        <v>#REF!</v>
      </c>
      <c r="T75" s="277" t="e">
        <f>#REF!</f>
        <v>#REF!</v>
      </c>
      <c r="U75" s="277" t="e">
        <f>SUM(S75:T75)</f>
        <v>#REF!</v>
      </c>
      <c r="V75" s="277" t="s">
        <v>334</v>
      </c>
      <c r="W75" s="583">
        <f t="shared" si="2"/>
        <v>0</v>
      </c>
      <c r="X75" s="271">
        <f t="shared" si="3"/>
        <v>3394</v>
      </c>
      <c r="Y75" s="278">
        <f t="shared" si="4"/>
        <v>3394</v>
      </c>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row>
    <row r="76" spans="1:49" s="139" customFormat="1" ht="52.5" customHeight="1">
      <c r="A76" s="366"/>
      <c r="B76" s="138"/>
      <c r="C76" s="283" t="s">
        <v>391</v>
      </c>
      <c r="D76" s="283"/>
      <c r="E76" s="283" t="s">
        <v>176</v>
      </c>
      <c r="F76" s="283" t="s">
        <v>176</v>
      </c>
      <c r="G76" s="283" t="s">
        <v>176</v>
      </c>
      <c r="H76" s="283" t="s">
        <v>167</v>
      </c>
      <c r="I76" s="283" t="s">
        <v>155</v>
      </c>
      <c r="J76" s="432" t="s">
        <v>168</v>
      </c>
      <c r="K76" s="86"/>
      <c r="L76" s="280"/>
      <c r="M76" s="453"/>
      <c r="N76" s="453"/>
      <c r="O76" s="445">
        <f t="shared" si="0"/>
        <v>0</v>
      </c>
      <c r="P76" s="556"/>
      <c r="Q76" s="556"/>
      <c r="R76" s="431">
        <f t="shared" si="1"/>
        <v>0</v>
      </c>
      <c r="S76" s="281"/>
      <c r="T76" s="281"/>
      <c r="U76" s="282"/>
      <c r="V76" s="306"/>
      <c r="W76" s="583">
        <f t="shared" si="2"/>
        <v>0</v>
      </c>
      <c r="X76" s="477">
        <f t="shared" si="3"/>
        <v>0</v>
      </c>
      <c r="Y76" s="478">
        <f t="shared" si="4"/>
        <v>0</v>
      </c>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row>
    <row r="77" spans="1:49" s="139" customFormat="1" ht="36.75" customHeight="1">
      <c r="A77" s="366"/>
      <c r="B77" s="138" t="s">
        <v>168</v>
      </c>
      <c r="C77" s="266" t="s">
        <v>264</v>
      </c>
      <c r="D77" s="267"/>
      <c r="E77" s="267"/>
      <c r="F77" s="267"/>
      <c r="G77" s="267"/>
      <c r="H77" s="268"/>
      <c r="I77" s="269"/>
      <c r="J77" s="269"/>
      <c r="K77" s="268" t="s">
        <v>154</v>
      </c>
      <c r="L77" s="270"/>
      <c r="M77" s="429">
        <v>7184</v>
      </c>
      <c r="N77" s="429">
        <v>840</v>
      </c>
      <c r="O77" s="429">
        <f t="shared" si="0"/>
        <v>8024</v>
      </c>
      <c r="P77" s="495">
        <f>(25734693/17826)+(28831300/17877)</f>
        <v>3056.4199635370665</v>
      </c>
      <c r="Q77" s="479">
        <v>1400</v>
      </c>
      <c r="R77" s="431">
        <f t="shared" si="1"/>
        <v>4456.419963537066</v>
      </c>
      <c r="S77" s="271" t="e">
        <f>#REF!</f>
        <v>#REF!</v>
      </c>
      <c r="T77" s="271" t="e">
        <f>#REF!</f>
        <v>#REF!</v>
      </c>
      <c r="U77" s="278" t="e">
        <f>SUM(S77:T77)</f>
        <v>#REF!</v>
      </c>
      <c r="V77" s="306" t="s">
        <v>334</v>
      </c>
      <c r="W77" s="583">
        <f t="shared" si="2"/>
        <v>4127.580036462934</v>
      </c>
      <c r="X77" s="477">
        <f t="shared" si="3"/>
        <v>-560</v>
      </c>
      <c r="Y77" s="478">
        <f t="shared" si="4"/>
        <v>3567.580036462934</v>
      </c>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row>
    <row r="78" spans="1:49" s="139" customFormat="1" ht="112.5" customHeight="1">
      <c r="A78" s="366"/>
      <c r="B78" s="256"/>
      <c r="C78" s="283" t="s">
        <v>392</v>
      </c>
      <c r="D78" s="283" t="s">
        <v>176</v>
      </c>
      <c r="E78" s="283" t="s">
        <v>176</v>
      </c>
      <c r="F78" s="283"/>
      <c r="G78" s="283"/>
      <c r="H78" s="283" t="s">
        <v>157</v>
      </c>
      <c r="I78" s="283" t="s">
        <v>356</v>
      </c>
      <c r="J78" s="440" t="s">
        <v>182</v>
      </c>
      <c r="K78" s="86"/>
      <c r="L78" s="280" t="s">
        <v>227</v>
      </c>
      <c r="M78" s="453"/>
      <c r="N78" s="453"/>
      <c r="O78" s="445">
        <f aca="true" t="shared" si="6" ref="O78:O141">M78+N78</f>
        <v>0</v>
      </c>
      <c r="P78" s="556"/>
      <c r="Q78" s="556"/>
      <c r="R78" s="431">
        <f aca="true" t="shared" si="7" ref="R78:R141">P78+Q78</f>
        <v>0</v>
      </c>
      <c r="S78" s="281"/>
      <c r="T78" s="281"/>
      <c r="U78" s="282"/>
      <c r="V78" s="307"/>
      <c r="W78" s="583">
        <f aca="true" t="shared" si="8" ref="W78:W141">M78-P78</f>
        <v>0</v>
      </c>
      <c r="X78" s="477">
        <f aca="true" t="shared" si="9" ref="X78:X141">N78-Q78</f>
        <v>0</v>
      </c>
      <c r="Y78" s="478">
        <f aca="true" t="shared" si="10" ref="Y78:Y141">W78+X78</f>
        <v>0</v>
      </c>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row>
    <row r="79" spans="1:49" s="139" customFormat="1" ht="35.25" customHeight="1">
      <c r="A79" s="367"/>
      <c r="B79" s="256" t="s">
        <v>182</v>
      </c>
      <c r="C79" s="266" t="s">
        <v>265</v>
      </c>
      <c r="D79" s="267"/>
      <c r="E79" s="267"/>
      <c r="F79" s="267"/>
      <c r="G79" s="267"/>
      <c r="H79" s="268"/>
      <c r="I79" s="269"/>
      <c r="J79" s="269"/>
      <c r="K79" s="268" t="s">
        <v>154</v>
      </c>
      <c r="L79" s="270"/>
      <c r="M79" s="429">
        <v>8411</v>
      </c>
      <c r="N79" s="429">
        <v>935</v>
      </c>
      <c r="O79" s="445">
        <f t="shared" si="6"/>
        <v>9346</v>
      </c>
      <c r="P79" s="495">
        <f>143180896/17877</f>
        <v>8009.22391900207</v>
      </c>
      <c r="Q79" s="479"/>
      <c r="R79" s="431">
        <f t="shared" si="7"/>
        <v>8009.22391900207</v>
      </c>
      <c r="S79" s="271" t="e">
        <f>#REF!</f>
        <v>#REF!</v>
      </c>
      <c r="T79" s="271" t="e">
        <f>#REF!</f>
        <v>#REF!</v>
      </c>
      <c r="U79" s="278" t="e">
        <f>SUM(S79:T79)</f>
        <v>#REF!</v>
      </c>
      <c r="V79" s="307" t="s">
        <v>429</v>
      </c>
      <c r="W79" s="583">
        <f t="shared" si="8"/>
        <v>401.77608099792997</v>
      </c>
      <c r="X79" s="477">
        <f t="shared" si="9"/>
        <v>935</v>
      </c>
      <c r="Y79" s="478">
        <f t="shared" si="10"/>
        <v>1336.77608099793</v>
      </c>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row>
    <row r="80" spans="1:49" s="139" customFormat="1" ht="30" customHeight="1">
      <c r="A80" s="308"/>
      <c r="B80" s="148"/>
      <c r="C80" s="102" t="s">
        <v>337</v>
      </c>
      <c r="D80" s="141"/>
      <c r="E80" s="141"/>
      <c r="F80" s="141"/>
      <c r="G80" s="141"/>
      <c r="H80" s="142"/>
      <c r="I80" s="105"/>
      <c r="J80" s="105"/>
      <c r="K80" s="148"/>
      <c r="L80" s="148"/>
      <c r="M80" s="577">
        <f>M73+M75+M77+M79</f>
        <v>36595</v>
      </c>
      <c r="N80" s="454"/>
      <c r="O80" s="577">
        <f t="shared" si="6"/>
        <v>36595</v>
      </c>
      <c r="P80" s="577">
        <f>P73+P75+P77+P79</f>
        <v>29608.412300058855</v>
      </c>
      <c r="Q80" s="557"/>
      <c r="R80" s="578">
        <f t="shared" si="7"/>
        <v>29608.412300058855</v>
      </c>
      <c r="S80" s="103" t="e">
        <f>SUM(S73:S79)</f>
        <v>#REF!</v>
      </c>
      <c r="T80" s="103" t="e">
        <f>SUM(T73:T79)</f>
        <v>#REF!</v>
      </c>
      <c r="U80" s="103" t="e">
        <f>SUM(S80:T80)</f>
        <v>#REF!</v>
      </c>
      <c r="V80" s="309"/>
      <c r="W80" s="569">
        <f t="shared" si="8"/>
        <v>6986.587699941145</v>
      </c>
      <c r="X80" s="570">
        <f t="shared" si="9"/>
        <v>0</v>
      </c>
      <c r="Y80" s="571">
        <f t="shared" si="10"/>
        <v>6986.587699941145</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row>
    <row r="81" spans="1:25" ht="80.25" customHeight="1" hidden="1">
      <c r="A81" s="385" t="s">
        <v>312</v>
      </c>
      <c r="B81" s="386"/>
      <c r="C81" s="386"/>
      <c r="D81" s="386"/>
      <c r="E81" s="386"/>
      <c r="F81" s="386"/>
      <c r="G81" s="386"/>
      <c r="H81" s="386"/>
      <c r="I81" s="386"/>
      <c r="J81" s="386"/>
      <c r="K81" s="386"/>
      <c r="L81" s="386"/>
      <c r="M81" s="455"/>
      <c r="N81" s="455"/>
      <c r="O81" s="445">
        <f t="shared" si="6"/>
        <v>0</v>
      </c>
      <c r="P81" s="558"/>
      <c r="Q81" s="558"/>
      <c r="R81" s="431">
        <f t="shared" si="7"/>
        <v>0</v>
      </c>
      <c r="S81" s="386"/>
      <c r="T81" s="386"/>
      <c r="U81" s="386"/>
      <c r="V81" s="387"/>
      <c r="W81" s="473">
        <f t="shared" si="8"/>
        <v>0</v>
      </c>
      <c r="X81" s="477">
        <f t="shared" si="9"/>
        <v>0</v>
      </c>
      <c r="Y81" s="478">
        <f t="shared" si="10"/>
        <v>0</v>
      </c>
    </row>
    <row r="82" spans="1:25" ht="110.25" customHeight="1">
      <c r="A82" s="368" t="s">
        <v>266</v>
      </c>
      <c r="B82" s="275"/>
      <c r="C82" s="283" t="s">
        <v>393</v>
      </c>
      <c r="D82" s="283" t="s">
        <v>176</v>
      </c>
      <c r="E82" s="283"/>
      <c r="F82" s="283"/>
      <c r="G82" s="283"/>
      <c r="H82" s="283" t="s">
        <v>167</v>
      </c>
      <c r="I82" s="283" t="s">
        <v>305</v>
      </c>
      <c r="J82" s="440" t="s">
        <v>177</v>
      </c>
      <c r="K82" s="275"/>
      <c r="L82" s="280"/>
      <c r="M82" s="453"/>
      <c r="N82" s="453"/>
      <c r="O82" s="445">
        <f t="shared" si="6"/>
        <v>0</v>
      </c>
      <c r="P82" s="556"/>
      <c r="Q82" s="556"/>
      <c r="R82" s="431">
        <f t="shared" si="7"/>
        <v>0</v>
      </c>
      <c r="S82" s="281"/>
      <c r="T82" s="281"/>
      <c r="U82" s="282"/>
      <c r="V82" s="387"/>
      <c r="W82" s="583">
        <f t="shared" si="8"/>
        <v>0</v>
      </c>
      <c r="X82" s="477">
        <f t="shared" si="9"/>
        <v>0</v>
      </c>
      <c r="Y82" s="478">
        <f t="shared" si="10"/>
        <v>0</v>
      </c>
    </row>
    <row r="83" spans="1:49" s="7" customFormat="1" ht="31.5" customHeight="1">
      <c r="A83" s="369"/>
      <c r="B83" s="5" t="s">
        <v>177</v>
      </c>
      <c r="C83" s="266" t="s">
        <v>268</v>
      </c>
      <c r="D83" s="267"/>
      <c r="E83" s="267"/>
      <c r="F83" s="267"/>
      <c r="G83" s="267"/>
      <c r="H83" s="268"/>
      <c r="I83" s="269"/>
      <c r="J83" s="269"/>
      <c r="K83" s="268" t="s">
        <v>328</v>
      </c>
      <c r="L83" s="270"/>
      <c r="M83" s="430">
        <v>0</v>
      </c>
      <c r="N83" s="430">
        <v>77280</v>
      </c>
      <c r="O83" s="430">
        <f t="shared" si="6"/>
        <v>77280</v>
      </c>
      <c r="P83" s="479"/>
      <c r="Q83" s="479"/>
      <c r="R83" s="431">
        <f t="shared" si="7"/>
        <v>0</v>
      </c>
      <c r="S83" s="271" t="e">
        <f>#REF!</f>
        <v>#REF!</v>
      </c>
      <c r="T83" s="271" t="e">
        <f>#REF!</f>
        <v>#REF!</v>
      </c>
      <c r="U83" s="278" t="e">
        <f>SUM(S83:T83)</f>
        <v>#REF!</v>
      </c>
      <c r="V83" s="296"/>
      <c r="W83" s="583">
        <f t="shared" si="8"/>
        <v>0</v>
      </c>
      <c r="X83" s="477">
        <f t="shared" si="9"/>
        <v>77280</v>
      </c>
      <c r="Y83" s="478">
        <f t="shared" si="10"/>
        <v>77280</v>
      </c>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row>
    <row r="84" spans="1:49" s="7" customFormat="1" ht="129.75" customHeight="1">
      <c r="A84" s="369"/>
      <c r="B84" s="5"/>
      <c r="C84" s="283" t="s">
        <v>420</v>
      </c>
      <c r="D84" s="283" t="s">
        <v>176</v>
      </c>
      <c r="E84" s="283" t="s">
        <v>176</v>
      </c>
      <c r="F84" s="283"/>
      <c r="G84" s="283"/>
      <c r="H84" s="283" t="s">
        <v>167</v>
      </c>
      <c r="I84" s="283" t="s">
        <v>306</v>
      </c>
      <c r="J84" s="440" t="s">
        <v>156</v>
      </c>
      <c r="K84" s="86"/>
      <c r="L84" s="280"/>
      <c r="M84" s="453"/>
      <c r="N84" s="453"/>
      <c r="O84" s="445">
        <f t="shared" si="6"/>
        <v>0</v>
      </c>
      <c r="P84" s="556"/>
      <c r="Q84" s="556"/>
      <c r="R84" s="431">
        <f t="shared" si="7"/>
        <v>0</v>
      </c>
      <c r="S84" s="281"/>
      <c r="T84" s="281"/>
      <c r="U84" s="282"/>
      <c r="V84" s="296"/>
      <c r="W84" s="583">
        <f t="shared" si="8"/>
        <v>0</v>
      </c>
      <c r="X84" s="477">
        <f t="shared" si="9"/>
        <v>0</v>
      </c>
      <c r="Y84" s="478">
        <f t="shared" si="10"/>
        <v>0</v>
      </c>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row>
    <row r="85" spans="1:49" s="7" customFormat="1" ht="34.5" customHeight="1">
      <c r="A85" s="369"/>
      <c r="B85" s="28" t="s">
        <v>181</v>
      </c>
      <c r="C85" s="266" t="s">
        <v>268</v>
      </c>
      <c r="D85" s="267"/>
      <c r="E85" s="267"/>
      <c r="F85" s="267"/>
      <c r="G85" s="267"/>
      <c r="H85" s="268"/>
      <c r="I85" s="269"/>
      <c r="J85" s="494"/>
      <c r="K85" s="268" t="s">
        <v>217</v>
      </c>
      <c r="L85" s="270"/>
      <c r="M85" s="430">
        <v>0</v>
      </c>
      <c r="N85" s="430">
        <v>26460</v>
      </c>
      <c r="O85" s="484">
        <f t="shared" si="6"/>
        <v>26460</v>
      </c>
      <c r="P85" s="479"/>
      <c r="Q85" s="479"/>
      <c r="R85" s="431">
        <f t="shared" si="7"/>
        <v>0</v>
      </c>
      <c r="S85" s="271" t="e">
        <f>#REF!</f>
        <v>#REF!</v>
      </c>
      <c r="T85" s="271" t="e">
        <f>#REF!</f>
        <v>#REF!</v>
      </c>
      <c r="U85" s="278" t="e">
        <f>SUM(S85:T85)</f>
        <v>#REF!</v>
      </c>
      <c r="V85" s="310"/>
      <c r="W85" s="583">
        <f t="shared" si="8"/>
        <v>0</v>
      </c>
      <c r="X85" s="477">
        <f t="shared" si="9"/>
        <v>26460</v>
      </c>
      <c r="Y85" s="478">
        <f t="shared" si="10"/>
        <v>26460</v>
      </c>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row>
    <row r="86" spans="1:49" s="7" customFormat="1" ht="45" customHeight="1">
      <c r="A86" s="369"/>
      <c r="B86" s="28"/>
      <c r="C86" s="283" t="s">
        <v>394</v>
      </c>
      <c r="D86" s="283" t="s">
        <v>176</v>
      </c>
      <c r="E86" s="283" t="s">
        <v>176</v>
      </c>
      <c r="F86" s="283"/>
      <c r="G86" s="283"/>
      <c r="H86" s="283" t="s">
        <v>167</v>
      </c>
      <c r="I86" s="283" t="s">
        <v>305</v>
      </c>
      <c r="J86" s="440" t="s">
        <v>177</v>
      </c>
      <c r="K86" s="86"/>
      <c r="L86" s="280"/>
      <c r="M86" s="453"/>
      <c r="N86" s="453"/>
      <c r="O86" s="445">
        <f t="shared" si="6"/>
        <v>0</v>
      </c>
      <c r="P86" s="556"/>
      <c r="Q86" s="556"/>
      <c r="R86" s="431">
        <f t="shared" si="7"/>
        <v>0</v>
      </c>
      <c r="S86" s="281"/>
      <c r="T86" s="281"/>
      <c r="U86" s="282"/>
      <c r="V86" s="310"/>
      <c r="W86" s="583">
        <f t="shared" si="8"/>
        <v>0</v>
      </c>
      <c r="X86" s="477">
        <f t="shared" si="9"/>
        <v>0</v>
      </c>
      <c r="Y86" s="478">
        <f t="shared" si="10"/>
        <v>0</v>
      </c>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row>
    <row r="87" spans="1:49" s="7" customFormat="1" ht="37.5" customHeight="1">
      <c r="A87" s="369"/>
      <c r="B87" s="5" t="s">
        <v>177</v>
      </c>
      <c r="C87" s="266" t="s">
        <v>269</v>
      </c>
      <c r="D87" s="267"/>
      <c r="E87" s="267"/>
      <c r="F87" s="267"/>
      <c r="G87" s="267"/>
      <c r="H87" s="268"/>
      <c r="I87" s="269"/>
      <c r="J87" s="494"/>
      <c r="K87" s="268" t="s">
        <v>329</v>
      </c>
      <c r="L87" s="270"/>
      <c r="M87" s="429">
        <v>0</v>
      </c>
      <c r="N87" s="430">
        <v>26033</v>
      </c>
      <c r="O87" s="484">
        <f t="shared" si="6"/>
        <v>26033</v>
      </c>
      <c r="P87" s="479"/>
      <c r="Q87" s="479"/>
      <c r="R87" s="431">
        <f t="shared" si="7"/>
        <v>0</v>
      </c>
      <c r="S87" s="271" t="e">
        <f>#REF!</f>
        <v>#REF!</v>
      </c>
      <c r="T87" s="271" t="e">
        <f>#REF!</f>
        <v>#REF!</v>
      </c>
      <c r="U87" s="278" t="e">
        <f>SUM(S87:T87)</f>
        <v>#REF!</v>
      </c>
      <c r="V87" s="311"/>
      <c r="W87" s="583">
        <f t="shared" si="8"/>
        <v>0</v>
      </c>
      <c r="X87" s="477">
        <f t="shared" si="9"/>
        <v>26033</v>
      </c>
      <c r="Y87" s="478">
        <f t="shared" si="10"/>
        <v>26033</v>
      </c>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row>
    <row r="88" spans="1:49" s="7" customFormat="1" ht="114.75" customHeight="1">
      <c r="A88" s="369"/>
      <c r="B88" s="283"/>
      <c r="C88" s="283" t="s">
        <v>409</v>
      </c>
      <c r="D88" s="283" t="s">
        <v>176</v>
      </c>
      <c r="E88" s="283" t="s">
        <v>176</v>
      </c>
      <c r="F88" s="283" t="s">
        <v>176</v>
      </c>
      <c r="G88" s="283" t="s">
        <v>176</v>
      </c>
      <c r="H88" s="283" t="s">
        <v>167</v>
      </c>
      <c r="I88" s="283" t="s">
        <v>306</v>
      </c>
      <c r="J88" s="440" t="s">
        <v>156</v>
      </c>
      <c r="K88" s="86"/>
      <c r="L88" s="280" t="s">
        <v>227</v>
      </c>
      <c r="M88" s="453"/>
      <c r="N88" s="453"/>
      <c r="O88" s="445">
        <f t="shared" si="6"/>
        <v>0</v>
      </c>
      <c r="P88" s="556"/>
      <c r="Q88" s="556"/>
      <c r="R88" s="431">
        <f t="shared" si="7"/>
        <v>0</v>
      </c>
      <c r="S88" s="281"/>
      <c r="T88" s="281"/>
      <c r="U88" s="282"/>
      <c r="V88" s="311"/>
      <c r="W88" s="583">
        <f t="shared" si="8"/>
        <v>0</v>
      </c>
      <c r="X88" s="477">
        <f t="shared" si="9"/>
        <v>0</v>
      </c>
      <c r="Y88" s="478">
        <f t="shared" si="10"/>
        <v>0</v>
      </c>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row>
    <row r="89" spans="1:49" s="7" customFormat="1" ht="43.5" customHeight="1">
      <c r="A89" s="370"/>
      <c r="B89" s="16" t="s">
        <v>181</v>
      </c>
      <c r="C89" s="266" t="s">
        <v>269</v>
      </c>
      <c r="D89" s="284"/>
      <c r="E89" s="284"/>
      <c r="F89" s="284"/>
      <c r="G89" s="284"/>
      <c r="H89" s="284"/>
      <c r="I89" s="284"/>
      <c r="J89" s="284"/>
      <c r="K89" s="268" t="s">
        <v>185</v>
      </c>
      <c r="L89" s="270"/>
      <c r="M89" s="430">
        <v>0</v>
      </c>
      <c r="N89" s="430">
        <v>18953</v>
      </c>
      <c r="O89" s="484">
        <f t="shared" si="6"/>
        <v>18953</v>
      </c>
      <c r="P89" s="479"/>
      <c r="Q89" s="479"/>
      <c r="R89" s="431">
        <f t="shared" si="7"/>
        <v>0</v>
      </c>
      <c r="S89" s="271" t="e">
        <f>#REF!</f>
        <v>#REF!</v>
      </c>
      <c r="T89" s="271" t="e">
        <f>#REF!</f>
        <v>#REF!</v>
      </c>
      <c r="U89" s="278" t="e">
        <f>SUM(S89:T89)</f>
        <v>#REF!</v>
      </c>
      <c r="V89" s="310"/>
      <c r="W89" s="583">
        <f t="shared" si="8"/>
        <v>0</v>
      </c>
      <c r="X89" s="477">
        <f t="shared" si="9"/>
        <v>18953</v>
      </c>
      <c r="Y89" s="478">
        <f t="shared" si="10"/>
        <v>18953</v>
      </c>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row>
    <row r="90" spans="1:49" s="7" customFormat="1" ht="29.25" customHeight="1">
      <c r="A90" s="294"/>
      <c r="B90" s="98"/>
      <c r="C90" s="96" t="s">
        <v>339</v>
      </c>
      <c r="D90" s="71"/>
      <c r="E90" s="71"/>
      <c r="F90" s="71"/>
      <c r="G90" s="71"/>
      <c r="H90" s="78"/>
      <c r="I90" s="73"/>
      <c r="J90" s="73"/>
      <c r="K90" s="74"/>
      <c r="L90" s="74"/>
      <c r="M90" s="456">
        <f>M83+M85+M87+M89</f>
        <v>0</v>
      </c>
      <c r="N90" s="579">
        <f>N83+N85+N87+N89</f>
        <v>148726</v>
      </c>
      <c r="O90" s="579">
        <f t="shared" si="6"/>
        <v>148726</v>
      </c>
      <c r="P90" s="456">
        <f>P83+P85+P87+P89</f>
        <v>0</v>
      </c>
      <c r="Q90" s="456">
        <f>Q83+Q85+Q87+Q89</f>
        <v>0</v>
      </c>
      <c r="R90" s="559">
        <f t="shared" si="7"/>
        <v>0</v>
      </c>
      <c r="S90" s="79" t="e">
        <f>SUM(S83:S89)</f>
        <v>#REF!</v>
      </c>
      <c r="T90" s="79" t="e">
        <f>SUM(T83:T89)</f>
        <v>#REF!</v>
      </c>
      <c r="U90" s="79" t="e">
        <f>SUM(T90:T90)</f>
        <v>#REF!</v>
      </c>
      <c r="V90" s="312"/>
      <c r="W90" s="569">
        <f t="shared" si="8"/>
        <v>0</v>
      </c>
      <c r="X90" s="570">
        <f t="shared" si="9"/>
        <v>148726</v>
      </c>
      <c r="Y90" s="571">
        <f t="shared" si="10"/>
        <v>148726</v>
      </c>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row>
    <row r="91" spans="1:25" ht="12" customHeight="1" hidden="1">
      <c r="A91" s="388" t="s">
        <v>299</v>
      </c>
      <c r="B91" s="386"/>
      <c r="C91" s="386"/>
      <c r="D91" s="386"/>
      <c r="E91" s="386"/>
      <c r="F91" s="386"/>
      <c r="G91" s="386"/>
      <c r="H91" s="386"/>
      <c r="I91" s="386"/>
      <c r="J91" s="386"/>
      <c r="K91" s="386"/>
      <c r="L91" s="386"/>
      <c r="M91" s="455"/>
      <c r="N91" s="455"/>
      <c r="O91" s="445">
        <f t="shared" si="6"/>
        <v>0</v>
      </c>
      <c r="P91" s="558"/>
      <c r="Q91" s="558"/>
      <c r="R91" s="431">
        <f t="shared" si="7"/>
        <v>0</v>
      </c>
      <c r="S91" s="386"/>
      <c r="T91" s="386"/>
      <c r="U91" s="386"/>
      <c r="V91" s="387"/>
      <c r="W91" s="473">
        <f t="shared" si="8"/>
        <v>0</v>
      </c>
      <c r="X91" s="477">
        <f t="shared" si="9"/>
        <v>0</v>
      </c>
      <c r="Y91" s="478">
        <f t="shared" si="10"/>
        <v>0</v>
      </c>
    </row>
    <row r="92" spans="1:25" ht="47.25" customHeight="1">
      <c r="A92" s="356" t="s">
        <v>289</v>
      </c>
      <c r="B92" s="275"/>
      <c r="C92" s="283" t="s">
        <v>209</v>
      </c>
      <c r="D92" s="283"/>
      <c r="E92" s="283"/>
      <c r="F92" s="283" t="s">
        <v>176</v>
      </c>
      <c r="G92" s="283"/>
      <c r="H92" s="283" t="s">
        <v>167</v>
      </c>
      <c r="I92" s="283" t="s">
        <v>167</v>
      </c>
      <c r="J92" s="432" t="s">
        <v>183</v>
      </c>
      <c r="K92" s="275"/>
      <c r="L92" s="280"/>
      <c r="M92" s="453"/>
      <c r="N92" s="453"/>
      <c r="O92" s="445">
        <f t="shared" si="6"/>
        <v>0</v>
      </c>
      <c r="P92" s="556"/>
      <c r="Q92" s="556"/>
      <c r="R92" s="431">
        <f t="shared" si="7"/>
        <v>0</v>
      </c>
      <c r="S92" s="281"/>
      <c r="T92" s="281"/>
      <c r="U92" s="282"/>
      <c r="V92" s="387"/>
      <c r="W92" s="583">
        <f t="shared" si="8"/>
        <v>0</v>
      </c>
      <c r="X92" s="477">
        <f t="shared" si="9"/>
        <v>0</v>
      </c>
      <c r="Y92" s="478">
        <f t="shared" si="10"/>
        <v>0</v>
      </c>
    </row>
    <row r="93" spans="1:49" s="131" customFormat="1" ht="36.75" customHeight="1">
      <c r="A93" s="357"/>
      <c r="B93" s="28" t="s">
        <v>183</v>
      </c>
      <c r="C93" s="266" t="s">
        <v>270</v>
      </c>
      <c r="D93" s="284"/>
      <c r="E93" s="284"/>
      <c r="F93" s="284"/>
      <c r="G93" s="284"/>
      <c r="H93" s="284"/>
      <c r="I93" s="284"/>
      <c r="J93" s="284"/>
      <c r="K93" s="268" t="s">
        <v>154</v>
      </c>
      <c r="L93" s="270"/>
      <c r="M93" s="476">
        <v>1000</v>
      </c>
      <c r="N93" s="476">
        <v>544</v>
      </c>
      <c r="O93" s="476">
        <f>M93+N93</f>
        <v>1544</v>
      </c>
      <c r="P93" s="495">
        <f>33395381/17877</f>
        <v>1868.0640487777591</v>
      </c>
      <c r="Q93" s="479"/>
      <c r="R93" s="431">
        <f t="shared" si="7"/>
        <v>1868.0640487777591</v>
      </c>
      <c r="S93" s="271" t="e">
        <f>#REF!</f>
        <v>#REF!</v>
      </c>
      <c r="T93" s="271" t="e">
        <f>#REF!</f>
        <v>#REF!</v>
      </c>
      <c r="U93" s="278" t="e">
        <f>SUM(S93:T93)</f>
        <v>#REF!</v>
      </c>
      <c r="V93" s="313" t="s">
        <v>334</v>
      </c>
      <c r="W93" s="583">
        <f t="shared" si="8"/>
        <v>-868.0640487777591</v>
      </c>
      <c r="X93" s="477">
        <f t="shared" si="9"/>
        <v>544</v>
      </c>
      <c r="Y93" s="478">
        <f t="shared" si="10"/>
        <v>-324.0640487777591</v>
      </c>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row>
    <row r="94" spans="1:49" s="131" customFormat="1" ht="87" customHeight="1">
      <c r="A94" s="357"/>
      <c r="B94" s="257"/>
      <c r="C94" s="283" t="s">
        <v>395</v>
      </c>
      <c r="D94" s="283" t="s">
        <v>176</v>
      </c>
      <c r="E94" s="283" t="s">
        <v>176</v>
      </c>
      <c r="F94" s="283" t="s">
        <v>176</v>
      </c>
      <c r="G94" s="283" t="s">
        <v>176</v>
      </c>
      <c r="H94" s="283" t="s">
        <v>157</v>
      </c>
      <c r="I94" s="283" t="s">
        <v>415</v>
      </c>
      <c r="J94" s="440" t="s">
        <v>183</v>
      </c>
      <c r="K94" s="86"/>
      <c r="L94" s="280"/>
      <c r="M94" s="453"/>
      <c r="N94" s="453"/>
      <c r="O94" s="445">
        <f t="shared" si="6"/>
        <v>0</v>
      </c>
      <c r="P94" s="556"/>
      <c r="Q94" s="556"/>
      <c r="R94" s="431">
        <f t="shared" si="7"/>
        <v>0</v>
      </c>
      <c r="S94" s="281"/>
      <c r="T94" s="281"/>
      <c r="U94" s="282"/>
      <c r="V94" s="314"/>
      <c r="W94" s="583">
        <f t="shared" si="8"/>
        <v>0</v>
      </c>
      <c r="X94" s="477">
        <f t="shared" si="9"/>
        <v>0</v>
      </c>
      <c r="Y94" s="478">
        <f t="shared" si="10"/>
        <v>0</v>
      </c>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row>
    <row r="95" spans="1:49" s="132" customFormat="1" ht="37.5" customHeight="1">
      <c r="A95" s="358"/>
      <c r="B95" s="249" t="s">
        <v>183</v>
      </c>
      <c r="C95" s="266" t="s">
        <v>271</v>
      </c>
      <c r="D95" s="284"/>
      <c r="E95" s="284"/>
      <c r="F95" s="284"/>
      <c r="G95" s="284"/>
      <c r="H95" s="284"/>
      <c r="I95" s="284"/>
      <c r="J95" s="284"/>
      <c r="K95" s="268" t="s">
        <v>185</v>
      </c>
      <c r="L95" s="270"/>
      <c r="M95" s="429"/>
      <c r="N95" s="429">
        <v>7904</v>
      </c>
      <c r="O95" s="492">
        <f t="shared" si="6"/>
        <v>7904</v>
      </c>
      <c r="P95" s="479"/>
      <c r="Q95" s="479"/>
      <c r="R95" s="431">
        <f t="shared" si="7"/>
        <v>0</v>
      </c>
      <c r="S95" s="271" t="e">
        <f>#REF!</f>
        <v>#REF!</v>
      </c>
      <c r="T95" s="271" t="e">
        <f>#REF!</f>
        <v>#REF!</v>
      </c>
      <c r="U95" s="278" t="e">
        <f>SUM(S95:T95)</f>
        <v>#REF!</v>
      </c>
      <c r="V95" s="314" t="s">
        <v>345</v>
      </c>
      <c r="W95" s="583">
        <f t="shared" si="8"/>
        <v>0</v>
      </c>
      <c r="X95" s="477">
        <f t="shared" si="9"/>
        <v>7904</v>
      </c>
      <c r="Y95" s="478">
        <f t="shared" si="10"/>
        <v>7904</v>
      </c>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row>
    <row r="96" spans="1:49" s="132" customFormat="1" ht="137.25" customHeight="1">
      <c r="A96" s="356"/>
      <c r="B96" s="249"/>
      <c r="C96" s="283" t="s">
        <v>396</v>
      </c>
      <c r="D96" s="283" t="s">
        <v>176</v>
      </c>
      <c r="E96" s="283" t="s">
        <v>176</v>
      </c>
      <c r="F96" s="283" t="s">
        <v>176</v>
      </c>
      <c r="G96" s="283" t="s">
        <v>176</v>
      </c>
      <c r="H96" s="283" t="s">
        <v>167</v>
      </c>
      <c r="I96" s="283" t="s">
        <v>416</v>
      </c>
      <c r="J96" s="432" t="s">
        <v>183</v>
      </c>
      <c r="K96" s="86"/>
      <c r="L96" s="280"/>
      <c r="M96" s="453"/>
      <c r="N96" s="453"/>
      <c r="O96" s="491">
        <f t="shared" si="6"/>
        <v>0</v>
      </c>
      <c r="P96" s="556"/>
      <c r="Q96" s="556"/>
      <c r="R96" s="431">
        <f t="shared" si="7"/>
        <v>0</v>
      </c>
      <c r="S96" s="281"/>
      <c r="T96" s="281"/>
      <c r="U96" s="282"/>
      <c r="V96" s="314"/>
      <c r="W96" s="583">
        <f t="shared" si="8"/>
        <v>0</v>
      </c>
      <c r="X96" s="477">
        <f t="shared" si="9"/>
        <v>0</v>
      </c>
      <c r="Y96" s="478">
        <f t="shared" si="10"/>
        <v>0</v>
      </c>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row>
    <row r="97" spans="1:49" s="132" customFormat="1" ht="39.75" customHeight="1">
      <c r="A97" s="358"/>
      <c r="B97" s="28" t="s">
        <v>183</v>
      </c>
      <c r="C97" s="266" t="s">
        <v>272</v>
      </c>
      <c r="D97" s="284"/>
      <c r="E97" s="284"/>
      <c r="F97" s="284"/>
      <c r="G97" s="284"/>
      <c r="H97" s="284"/>
      <c r="I97" s="284"/>
      <c r="J97" s="284"/>
      <c r="K97" s="268" t="s">
        <v>185</v>
      </c>
      <c r="L97" s="270"/>
      <c r="M97" s="430">
        <v>15000</v>
      </c>
      <c r="N97" s="430">
        <v>6266</v>
      </c>
      <c r="O97" s="484">
        <f t="shared" si="6"/>
        <v>21266</v>
      </c>
      <c r="P97" s="479">
        <v>0</v>
      </c>
      <c r="Q97" s="479">
        <v>0</v>
      </c>
      <c r="R97" s="431">
        <f t="shared" si="7"/>
        <v>0</v>
      </c>
      <c r="S97" s="271" t="e">
        <f>#REF!</f>
        <v>#REF!</v>
      </c>
      <c r="T97" s="271" t="e">
        <f>#REF!</f>
        <v>#REF!</v>
      </c>
      <c r="U97" s="278" t="e">
        <f>SUM(S97:T97)</f>
        <v>#REF!</v>
      </c>
      <c r="V97" s="313" t="s">
        <v>335</v>
      </c>
      <c r="W97" s="583">
        <f t="shared" si="8"/>
        <v>15000</v>
      </c>
      <c r="X97" s="477">
        <f t="shared" si="9"/>
        <v>6266</v>
      </c>
      <c r="Y97" s="478">
        <f t="shared" si="10"/>
        <v>21266</v>
      </c>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row>
    <row r="98" spans="1:49" s="133" customFormat="1" ht="25.5" customHeight="1">
      <c r="A98" s="294"/>
      <c r="B98" s="97"/>
      <c r="C98" s="96" t="s">
        <v>340</v>
      </c>
      <c r="D98" s="71"/>
      <c r="E98" s="71"/>
      <c r="F98" s="71"/>
      <c r="G98" s="71"/>
      <c r="H98" s="78"/>
      <c r="I98" s="94"/>
      <c r="J98" s="94"/>
      <c r="K98" s="200"/>
      <c r="L98" s="200"/>
      <c r="M98" s="174">
        <f>M93+M95+M97</f>
        <v>16000</v>
      </c>
      <c r="N98" s="174">
        <f>N93+N95+N97</f>
        <v>14714</v>
      </c>
      <c r="O98" s="580">
        <f t="shared" si="6"/>
        <v>30714</v>
      </c>
      <c r="P98" s="174">
        <f>P93+P95+P97</f>
        <v>1868.0640487777591</v>
      </c>
      <c r="Q98" s="174">
        <f>Q93+Q95+Q97</f>
        <v>0</v>
      </c>
      <c r="R98" s="99">
        <f t="shared" si="7"/>
        <v>1868.0640487777591</v>
      </c>
      <c r="S98" s="100" t="e">
        <f>SUM(S93:S97)</f>
        <v>#REF!</v>
      </c>
      <c r="T98" s="100" t="e">
        <f>SUM(T93:T97)</f>
        <v>#REF!</v>
      </c>
      <c r="U98" s="100" t="e">
        <f>SUM(S98:T98)</f>
        <v>#REF!</v>
      </c>
      <c r="V98" s="315"/>
      <c r="W98" s="569">
        <f t="shared" si="8"/>
        <v>14131.93595122224</v>
      </c>
      <c r="X98" s="570">
        <f t="shared" si="9"/>
        <v>14714</v>
      </c>
      <c r="Y98" s="571">
        <f t="shared" si="10"/>
        <v>28845.93595122224</v>
      </c>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row>
    <row r="99" spans="1:25" s="61" customFormat="1" ht="101.25" customHeight="1" hidden="1" thickTop="1">
      <c r="A99" s="377" t="s">
        <v>323</v>
      </c>
      <c r="B99" s="378"/>
      <c r="C99" s="378"/>
      <c r="D99" s="378"/>
      <c r="E99" s="378"/>
      <c r="F99" s="378"/>
      <c r="G99" s="378"/>
      <c r="H99" s="378"/>
      <c r="I99" s="378"/>
      <c r="J99" s="378"/>
      <c r="K99" s="378"/>
      <c r="L99" s="378"/>
      <c r="M99" s="457"/>
      <c r="N99" s="457"/>
      <c r="O99" s="445">
        <f t="shared" si="6"/>
        <v>0</v>
      </c>
      <c r="P99" s="560"/>
      <c r="Q99" s="560"/>
      <c r="R99" s="431">
        <f t="shared" si="7"/>
        <v>0</v>
      </c>
      <c r="S99" s="378"/>
      <c r="T99" s="379"/>
      <c r="U99" s="380"/>
      <c r="V99" s="381"/>
      <c r="W99" s="473">
        <f t="shared" si="8"/>
        <v>0</v>
      </c>
      <c r="X99" s="477">
        <f t="shared" si="9"/>
        <v>0</v>
      </c>
      <c r="Y99" s="478">
        <f t="shared" si="10"/>
        <v>0</v>
      </c>
    </row>
    <row r="100" spans="1:25" ht="78" customHeight="1" hidden="1">
      <c r="A100" s="382" t="s">
        <v>139</v>
      </c>
      <c r="B100" s="383"/>
      <c r="C100" s="383"/>
      <c r="D100" s="383"/>
      <c r="E100" s="383"/>
      <c r="F100" s="383"/>
      <c r="G100" s="383"/>
      <c r="H100" s="383"/>
      <c r="I100" s="383"/>
      <c r="J100" s="383"/>
      <c r="K100" s="383"/>
      <c r="L100" s="383"/>
      <c r="M100" s="452"/>
      <c r="N100" s="452"/>
      <c r="O100" s="445">
        <f t="shared" si="6"/>
        <v>0</v>
      </c>
      <c r="P100" s="555"/>
      <c r="Q100" s="555"/>
      <c r="R100" s="431">
        <f t="shared" si="7"/>
        <v>0</v>
      </c>
      <c r="S100" s="383"/>
      <c r="T100" s="383"/>
      <c r="U100" s="383"/>
      <c r="V100" s="384"/>
      <c r="W100" s="473">
        <f t="shared" si="8"/>
        <v>0</v>
      </c>
      <c r="X100" s="477">
        <f t="shared" si="9"/>
        <v>0</v>
      </c>
      <c r="Y100" s="478">
        <f t="shared" si="10"/>
        <v>0</v>
      </c>
    </row>
    <row r="101" spans="1:25" ht="167.25" customHeight="1">
      <c r="A101" s="371" t="s">
        <v>273</v>
      </c>
      <c r="B101" s="275"/>
      <c r="C101" s="283" t="s">
        <v>397</v>
      </c>
      <c r="D101" s="283" t="s">
        <v>176</v>
      </c>
      <c r="E101" s="283" t="s">
        <v>176</v>
      </c>
      <c r="F101" s="283" t="s">
        <v>176</v>
      </c>
      <c r="G101" s="283" t="s">
        <v>176</v>
      </c>
      <c r="H101" s="283" t="s">
        <v>364</v>
      </c>
      <c r="I101" s="283" t="s">
        <v>364</v>
      </c>
      <c r="J101" s="283" t="s">
        <v>179</v>
      </c>
      <c r="K101" s="275"/>
      <c r="L101" s="280"/>
      <c r="M101" s="453"/>
      <c r="N101" s="453"/>
      <c r="O101" s="445">
        <f t="shared" si="6"/>
        <v>0</v>
      </c>
      <c r="P101" s="556"/>
      <c r="Q101" s="556"/>
      <c r="R101" s="431">
        <f t="shared" si="7"/>
        <v>0</v>
      </c>
      <c r="S101" s="281"/>
      <c r="T101" s="281"/>
      <c r="U101" s="282"/>
      <c r="V101" s="384"/>
      <c r="W101" s="583">
        <f t="shared" si="8"/>
        <v>0</v>
      </c>
      <c r="X101" s="477">
        <f t="shared" si="9"/>
        <v>0</v>
      </c>
      <c r="Y101" s="478">
        <f t="shared" si="10"/>
        <v>0</v>
      </c>
    </row>
    <row r="102" spans="1:49" s="7" customFormat="1" ht="30" customHeight="1">
      <c r="A102" s="372"/>
      <c r="B102" s="11" t="s">
        <v>179</v>
      </c>
      <c r="C102" s="266" t="s">
        <v>274</v>
      </c>
      <c r="D102" s="284"/>
      <c r="E102" s="284"/>
      <c r="F102" s="284"/>
      <c r="G102" s="284"/>
      <c r="H102" s="284"/>
      <c r="I102" s="284"/>
      <c r="J102" s="284"/>
      <c r="K102" s="268" t="s">
        <v>185</v>
      </c>
      <c r="L102" s="270"/>
      <c r="M102" s="439">
        <v>14000</v>
      </c>
      <c r="N102" s="430">
        <v>30000</v>
      </c>
      <c r="O102" s="430">
        <f t="shared" si="6"/>
        <v>44000</v>
      </c>
      <c r="P102" s="495">
        <v>0</v>
      </c>
      <c r="Q102" s="479">
        <v>0</v>
      </c>
      <c r="R102" s="431">
        <f t="shared" si="7"/>
        <v>0</v>
      </c>
      <c r="S102" s="271" t="e">
        <f>#REF!</f>
        <v>#REF!</v>
      </c>
      <c r="T102" s="271" t="e">
        <f>#REF!</f>
        <v>#REF!</v>
      </c>
      <c r="U102" s="278" t="e">
        <f>SUM(S102:T102)</f>
        <v>#REF!</v>
      </c>
      <c r="V102" s="296" t="s">
        <v>363</v>
      </c>
      <c r="W102" s="583">
        <f t="shared" si="8"/>
        <v>14000</v>
      </c>
      <c r="X102" s="477">
        <f t="shared" si="9"/>
        <v>30000</v>
      </c>
      <c r="Y102" s="478">
        <f t="shared" si="10"/>
        <v>44000</v>
      </c>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row>
    <row r="103" spans="1:49" s="7" customFormat="1" ht="74.25" customHeight="1">
      <c r="A103" s="372"/>
      <c r="B103" s="249"/>
      <c r="C103" s="283" t="s">
        <v>398</v>
      </c>
      <c r="D103" s="283"/>
      <c r="E103" s="283" t="s">
        <v>176</v>
      </c>
      <c r="F103" s="283" t="s">
        <v>176</v>
      </c>
      <c r="G103" s="283" t="s">
        <v>176</v>
      </c>
      <c r="H103" s="283" t="s">
        <v>364</v>
      </c>
      <c r="I103" s="283" t="s">
        <v>365</v>
      </c>
      <c r="J103" s="432" t="s">
        <v>351</v>
      </c>
      <c r="K103" s="86"/>
      <c r="L103" s="280"/>
      <c r="M103" s="453"/>
      <c r="N103" s="453"/>
      <c r="O103" s="445">
        <f t="shared" si="6"/>
        <v>0</v>
      </c>
      <c r="P103" s="556"/>
      <c r="Q103" s="556"/>
      <c r="R103" s="431">
        <f t="shared" si="7"/>
        <v>0</v>
      </c>
      <c r="S103" s="281"/>
      <c r="T103" s="281"/>
      <c r="U103" s="282"/>
      <c r="V103" s="303"/>
      <c r="W103" s="583">
        <f t="shared" si="8"/>
        <v>0</v>
      </c>
      <c r="X103" s="477">
        <f t="shared" si="9"/>
        <v>0</v>
      </c>
      <c r="Y103" s="478">
        <f t="shared" si="10"/>
        <v>0</v>
      </c>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row>
    <row r="104" spans="1:49" s="7" customFormat="1" ht="27.75" customHeight="1">
      <c r="A104" s="29"/>
      <c r="B104" s="87" t="s">
        <v>351</v>
      </c>
      <c r="C104" s="266" t="s">
        <v>275</v>
      </c>
      <c r="D104" s="284"/>
      <c r="E104" s="284"/>
      <c r="F104" s="284"/>
      <c r="G104" s="284"/>
      <c r="H104" s="284"/>
      <c r="I104" s="284"/>
      <c r="J104" s="284"/>
      <c r="K104" s="268" t="s">
        <v>185</v>
      </c>
      <c r="L104" s="270"/>
      <c r="M104" s="439">
        <v>93346</v>
      </c>
      <c r="N104" s="430">
        <v>72250</v>
      </c>
      <c r="O104" s="484">
        <f t="shared" si="6"/>
        <v>165596</v>
      </c>
      <c r="P104" s="495">
        <f>(193046792+3501442617)/17877</f>
        <v>206661.59920568328</v>
      </c>
      <c r="Q104" s="479"/>
      <c r="R104" s="431">
        <f t="shared" si="7"/>
        <v>206661.59920568328</v>
      </c>
      <c r="S104" s="271" t="e">
        <f>#REF!</f>
        <v>#REF!</v>
      </c>
      <c r="T104" s="271" t="e">
        <f>#REF!</f>
        <v>#REF!</v>
      </c>
      <c r="U104" s="278" t="e">
        <f>SUM(S104:T104)</f>
        <v>#REF!</v>
      </c>
      <c r="V104" s="303" t="s">
        <v>363</v>
      </c>
      <c r="W104" s="583">
        <f t="shared" si="8"/>
        <v>-113315.59920568328</v>
      </c>
      <c r="X104" s="477">
        <f t="shared" si="9"/>
        <v>72250</v>
      </c>
      <c r="Y104" s="478">
        <f t="shared" si="10"/>
        <v>-41065.59920568328</v>
      </c>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row>
    <row r="105" spans="1:49" s="7" customFormat="1" ht="37.5" customHeight="1">
      <c r="A105" s="308"/>
      <c r="B105" s="148"/>
      <c r="C105" s="102" t="s">
        <v>417</v>
      </c>
      <c r="D105" s="141"/>
      <c r="E105" s="141"/>
      <c r="F105" s="141"/>
      <c r="G105" s="141"/>
      <c r="H105" s="142"/>
      <c r="I105" s="105"/>
      <c r="J105" s="105"/>
      <c r="K105" s="220"/>
      <c r="L105" s="220"/>
      <c r="M105" s="581">
        <f>M102+M104</f>
        <v>107346</v>
      </c>
      <c r="N105" s="581">
        <f>N102+N104</f>
        <v>102250</v>
      </c>
      <c r="O105" s="581">
        <f t="shared" si="6"/>
        <v>209596</v>
      </c>
      <c r="P105" s="458">
        <f>P102+P104</f>
        <v>206661.59920568328</v>
      </c>
      <c r="Q105" s="458">
        <f>Q102+Q104</f>
        <v>0</v>
      </c>
      <c r="R105" s="575">
        <f t="shared" si="7"/>
        <v>206661.59920568328</v>
      </c>
      <c r="S105" s="221" t="e">
        <f>SUM(S102:S104)</f>
        <v>#REF!</v>
      </c>
      <c r="T105" s="221" t="e">
        <f>SUM(T102:T104)</f>
        <v>#REF!</v>
      </c>
      <c r="U105" s="222" t="e">
        <f>SUM(S105:T105)</f>
        <v>#REF!</v>
      </c>
      <c r="V105" s="316"/>
      <c r="W105" s="569">
        <f t="shared" si="8"/>
        <v>-99315.59920568328</v>
      </c>
      <c r="X105" s="570">
        <f t="shared" si="9"/>
        <v>102250</v>
      </c>
      <c r="Y105" s="571">
        <f t="shared" si="10"/>
        <v>2934.4007943167235</v>
      </c>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row>
    <row r="106" spans="1:25" ht="84" customHeight="1" hidden="1">
      <c r="A106" s="412" t="s">
        <v>222</v>
      </c>
      <c r="B106" s="413"/>
      <c r="C106" s="413"/>
      <c r="D106" s="413"/>
      <c r="E106" s="413"/>
      <c r="F106" s="413"/>
      <c r="G106" s="413"/>
      <c r="H106" s="413"/>
      <c r="I106" s="413"/>
      <c r="J106" s="413"/>
      <c r="K106" s="413"/>
      <c r="L106" s="413"/>
      <c r="M106" s="459"/>
      <c r="N106" s="459"/>
      <c r="O106" s="445">
        <f t="shared" si="6"/>
        <v>0</v>
      </c>
      <c r="P106" s="561"/>
      <c r="Q106" s="561"/>
      <c r="R106" s="431">
        <f t="shared" si="7"/>
        <v>0</v>
      </c>
      <c r="S106" s="413"/>
      <c r="T106" s="413"/>
      <c r="U106" s="413"/>
      <c r="V106" s="414"/>
      <c r="W106" s="473">
        <f t="shared" si="8"/>
        <v>0</v>
      </c>
      <c r="X106" s="477">
        <f t="shared" si="9"/>
        <v>0</v>
      </c>
      <c r="Y106" s="478">
        <f t="shared" si="10"/>
        <v>0</v>
      </c>
    </row>
    <row r="107" spans="1:25" ht="62.25" customHeight="1">
      <c r="A107" s="348" t="s">
        <v>290</v>
      </c>
      <c r="B107" s="285"/>
      <c r="C107" s="283" t="s">
        <v>399</v>
      </c>
      <c r="D107" s="283"/>
      <c r="E107" s="283" t="s">
        <v>176</v>
      </c>
      <c r="F107" s="283" t="s">
        <v>176</v>
      </c>
      <c r="G107" s="283" t="s">
        <v>176</v>
      </c>
      <c r="H107" s="283" t="s">
        <v>364</v>
      </c>
      <c r="I107" s="283" t="s">
        <v>366</v>
      </c>
      <c r="J107" s="440" t="s">
        <v>156</v>
      </c>
      <c r="K107" s="76"/>
      <c r="L107" s="280"/>
      <c r="M107" s="453"/>
      <c r="N107" s="453"/>
      <c r="O107" s="445">
        <f t="shared" si="6"/>
        <v>0</v>
      </c>
      <c r="P107" s="556"/>
      <c r="Q107" s="556"/>
      <c r="R107" s="431">
        <f t="shared" si="7"/>
        <v>0</v>
      </c>
      <c r="S107" s="281"/>
      <c r="T107" s="281"/>
      <c r="U107" s="282"/>
      <c r="V107" s="414"/>
      <c r="W107" s="583">
        <f t="shared" si="8"/>
        <v>0</v>
      </c>
      <c r="X107" s="477">
        <f t="shared" si="9"/>
        <v>0</v>
      </c>
      <c r="Y107" s="478">
        <f t="shared" si="10"/>
        <v>0</v>
      </c>
    </row>
    <row r="108" spans="1:49" s="7" customFormat="1" ht="30.75" customHeight="1">
      <c r="A108" s="359" t="s">
        <v>290</v>
      </c>
      <c r="B108" s="87" t="s">
        <v>156</v>
      </c>
      <c r="C108" s="266" t="s">
        <v>276</v>
      </c>
      <c r="D108" s="284"/>
      <c r="E108" s="284"/>
      <c r="F108" s="284"/>
      <c r="G108" s="284"/>
      <c r="H108" s="284"/>
      <c r="I108" s="284"/>
      <c r="J108" s="284"/>
      <c r="K108" s="268" t="s">
        <v>185</v>
      </c>
      <c r="L108" s="270"/>
      <c r="M108" s="449">
        <v>5250</v>
      </c>
      <c r="N108" s="429">
        <v>8138</v>
      </c>
      <c r="O108" s="445">
        <f t="shared" si="6"/>
        <v>13388</v>
      </c>
      <c r="P108" s="495">
        <f>80576035/17877</f>
        <v>4507.245902556358</v>
      </c>
      <c r="Q108" s="479"/>
      <c r="R108" s="431">
        <f t="shared" si="7"/>
        <v>4507.245902556358</v>
      </c>
      <c r="S108" s="271" t="e">
        <f>#REF!</f>
        <v>#REF!</v>
      </c>
      <c r="T108" s="271" t="e">
        <f>#REF!</f>
        <v>#REF!</v>
      </c>
      <c r="U108" s="278" t="e">
        <f>SUM(S108:T108)</f>
        <v>#REF!</v>
      </c>
      <c r="V108" s="296" t="s">
        <v>363</v>
      </c>
      <c r="W108" s="583">
        <f t="shared" si="8"/>
        <v>742.7540974436424</v>
      </c>
      <c r="X108" s="477">
        <f t="shared" si="9"/>
        <v>8138</v>
      </c>
      <c r="Y108" s="478">
        <f t="shared" si="10"/>
        <v>8880.754097443642</v>
      </c>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row>
    <row r="109" spans="1:49" s="7" customFormat="1" ht="78.75" customHeight="1">
      <c r="A109" s="360"/>
      <c r="B109" s="87"/>
      <c r="C109" s="283" t="s">
        <v>400</v>
      </c>
      <c r="D109" s="283"/>
      <c r="E109" s="283" t="s">
        <v>176</v>
      </c>
      <c r="F109" s="283"/>
      <c r="G109" s="283"/>
      <c r="H109" s="283" t="s">
        <v>364</v>
      </c>
      <c r="I109" s="283" t="s">
        <v>364</v>
      </c>
      <c r="J109" s="432" t="s">
        <v>142</v>
      </c>
      <c r="K109" s="86"/>
      <c r="L109" s="280"/>
      <c r="M109" s="453"/>
      <c r="N109" s="453"/>
      <c r="O109" s="445">
        <f t="shared" si="6"/>
        <v>0</v>
      </c>
      <c r="P109" s="556"/>
      <c r="Q109" s="556"/>
      <c r="R109" s="431">
        <f t="shared" si="7"/>
        <v>0</v>
      </c>
      <c r="S109" s="281"/>
      <c r="T109" s="281"/>
      <c r="U109" s="282"/>
      <c r="V109" s="296"/>
      <c r="W109" s="583">
        <f t="shared" si="8"/>
        <v>0</v>
      </c>
      <c r="X109" s="477">
        <f t="shared" si="9"/>
        <v>0</v>
      </c>
      <c r="Y109" s="478">
        <f t="shared" si="10"/>
        <v>0</v>
      </c>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row>
    <row r="110" spans="1:49" s="7" customFormat="1" ht="27.75" customHeight="1">
      <c r="A110" s="360"/>
      <c r="B110" s="50" t="s">
        <v>142</v>
      </c>
      <c r="C110" s="266" t="s">
        <v>277</v>
      </c>
      <c r="D110" s="284"/>
      <c r="E110" s="284"/>
      <c r="F110" s="284"/>
      <c r="G110" s="284"/>
      <c r="H110" s="284"/>
      <c r="I110" s="284"/>
      <c r="J110" s="284"/>
      <c r="K110" s="268"/>
      <c r="L110" s="270"/>
      <c r="M110" s="429">
        <v>0</v>
      </c>
      <c r="N110" s="429">
        <v>28037</v>
      </c>
      <c r="O110" s="429">
        <f t="shared" si="6"/>
        <v>28037</v>
      </c>
      <c r="P110" s="449">
        <v>0</v>
      </c>
      <c r="Q110" s="479">
        <f>13038</f>
        <v>13038</v>
      </c>
      <c r="R110" s="429">
        <f t="shared" si="7"/>
        <v>13038</v>
      </c>
      <c r="S110" s="271" t="e">
        <f>#REF!</f>
        <v>#REF!</v>
      </c>
      <c r="T110" s="271" t="e">
        <f>#REF!</f>
        <v>#REF!</v>
      </c>
      <c r="U110" s="278" t="e">
        <f>SUM(S110:T110)</f>
        <v>#REF!</v>
      </c>
      <c r="V110" s="317"/>
      <c r="W110" s="583">
        <f t="shared" si="8"/>
        <v>0</v>
      </c>
      <c r="X110" s="477">
        <f t="shared" si="9"/>
        <v>14999</v>
      </c>
      <c r="Y110" s="478">
        <f t="shared" si="10"/>
        <v>14999</v>
      </c>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row>
    <row r="111" spans="1:49" s="7" customFormat="1" ht="52.5" customHeight="1">
      <c r="A111" s="360"/>
      <c r="B111" s="87"/>
      <c r="C111" s="283" t="s">
        <v>401</v>
      </c>
      <c r="D111" s="283"/>
      <c r="E111" s="283"/>
      <c r="F111" s="283"/>
      <c r="G111" s="283" t="s">
        <v>176</v>
      </c>
      <c r="H111" s="283" t="s">
        <v>364</v>
      </c>
      <c r="I111" s="283" t="s">
        <v>410</v>
      </c>
      <c r="J111" s="283" t="s">
        <v>156</v>
      </c>
      <c r="K111" s="86"/>
      <c r="L111" s="280"/>
      <c r="M111" s="453"/>
      <c r="N111" s="453"/>
      <c r="O111" s="445">
        <f t="shared" si="6"/>
        <v>0</v>
      </c>
      <c r="P111" s="556"/>
      <c r="Q111" s="556"/>
      <c r="R111" s="431">
        <f t="shared" si="7"/>
        <v>0</v>
      </c>
      <c r="S111" s="281"/>
      <c r="T111" s="281"/>
      <c r="U111" s="282"/>
      <c r="V111" s="317"/>
      <c r="W111" s="583">
        <f t="shared" si="8"/>
        <v>0</v>
      </c>
      <c r="X111" s="477">
        <f t="shared" si="9"/>
        <v>0</v>
      </c>
      <c r="Y111" s="478">
        <f t="shared" si="10"/>
        <v>0</v>
      </c>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row>
    <row r="112" spans="1:49" s="7" customFormat="1" ht="26.25" customHeight="1">
      <c r="A112" s="360"/>
      <c r="B112" s="87" t="s">
        <v>156</v>
      </c>
      <c r="C112" s="266" t="s">
        <v>278</v>
      </c>
      <c r="D112" s="284"/>
      <c r="E112" s="284"/>
      <c r="F112" s="284"/>
      <c r="G112" s="284"/>
      <c r="H112" s="284"/>
      <c r="I112" s="284"/>
      <c r="J112" s="284"/>
      <c r="K112" s="268" t="s">
        <v>185</v>
      </c>
      <c r="L112" s="270"/>
      <c r="M112" s="429">
        <v>5775</v>
      </c>
      <c r="N112" s="429">
        <v>8925</v>
      </c>
      <c r="O112" s="492">
        <f t="shared" si="6"/>
        <v>14700</v>
      </c>
      <c r="P112" s="495">
        <f>62951000/17877</f>
        <v>3521.3402696201824</v>
      </c>
      <c r="Q112" s="479"/>
      <c r="R112" s="431">
        <f t="shared" si="7"/>
        <v>3521.3402696201824</v>
      </c>
      <c r="S112" s="271" t="e">
        <f>#REF!</f>
        <v>#REF!</v>
      </c>
      <c r="T112" s="271" t="e">
        <f>#REF!</f>
        <v>#REF!</v>
      </c>
      <c r="U112" s="278" t="e">
        <f>SUM(S112:T112)</f>
        <v>#REF!</v>
      </c>
      <c r="V112" s="296" t="s">
        <v>363</v>
      </c>
      <c r="W112" s="583">
        <f t="shared" si="8"/>
        <v>2253.6597303798176</v>
      </c>
      <c r="X112" s="477">
        <f t="shared" si="9"/>
        <v>8925</v>
      </c>
      <c r="Y112" s="478">
        <f t="shared" si="10"/>
        <v>11178.659730379817</v>
      </c>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row>
    <row r="113" spans="1:49" s="7" customFormat="1" ht="114" customHeight="1">
      <c r="A113" s="360"/>
      <c r="B113" s="87"/>
      <c r="C113" s="283" t="s">
        <v>402</v>
      </c>
      <c r="D113" s="283"/>
      <c r="E113" s="283"/>
      <c r="F113" s="283" t="s">
        <v>176</v>
      </c>
      <c r="G113" s="283" t="s">
        <v>176</v>
      </c>
      <c r="H113" s="283" t="s">
        <v>364</v>
      </c>
      <c r="I113" s="283" t="s">
        <v>366</v>
      </c>
      <c r="J113" s="283" t="s">
        <v>153</v>
      </c>
      <c r="K113" s="86"/>
      <c r="L113" s="280"/>
      <c r="M113" s="453"/>
      <c r="N113" s="453"/>
      <c r="O113" s="491">
        <f t="shared" si="6"/>
        <v>0</v>
      </c>
      <c r="P113" s="556"/>
      <c r="Q113" s="556"/>
      <c r="R113" s="431">
        <f t="shared" si="7"/>
        <v>0</v>
      </c>
      <c r="S113" s="281"/>
      <c r="T113" s="281"/>
      <c r="U113" s="282"/>
      <c r="V113" s="303"/>
      <c r="W113" s="583">
        <f t="shared" si="8"/>
        <v>0</v>
      </c>
      <c r="X113" s="477">
        <f t="shared" si="9"/>
        <v>0</v>
      </c>
      <c r="Y113" s="478">
        <f t="shared" si="10"/>
        <v>0</v>
      </c>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row>
    <row r="114" spans="1:49" s="7" customFormat="1" ht="33.75" customHeight="1">
      <c r="A114" s="361"/>
      <c r="B114" s="257" t="s">
        <v>153</v>
      </c>
      <c r="C114" s="266" t="s">
        <v>279</v>
      </c>
      <c r="D114" s="284"/>
      <c r="E114" s="284"/>
      <c r="F114" s="284"/>
      <c r="G114" s="284"/>
      <c r="H114" s="284"/>
      <c r="I114" s="284"/>
      <c r="J114" s="284"/>
      <c r="K114" s="268" t="s">
        <v>185</v>
      </c>
      <c r="L114" s="270"/>
      <c r="M114" s="429">
        <v>22100</v>
      </c>
      <c r="N114" s="429">
        <v>0</v>
      </c>
      <c r="O114" s="445">
        <f t="shared" si="6"/>
        <v>22100</v>
      </c>
      <c r="P114" s="495">
        <f>81976600/17826</f>
        <v>4598.709749803657</v>
      </c>
      <c r="Q114" s="479"/>
      <c r="R114" s="431">
        <f t="shared" si="7"/>
        <v>4598.709749803657</v>
      </c>
      <c r="S114" s="271" t="e">
        <f>#REF!</f>
        <v>#REF!</v>
      </c>
      <c r="T114" s="271">
        <v>0</v>
      </c>
      <c r="U114" s="278" t="e">
        <f>SUM(S114:T114)</f>
        <v>#REF!</v>
      </c>
      <c r="V114" s="303" t="s">
        <v>373</v>
      </c>
      <c r="W114" s="583">
        <f t="shared" si="8"/>
        <v>17501.290250196344</v>
      </c>
      <c r="X114" s="477">
        <f t="shared" si="9"/>
        <v>0</v>
      </c>
      <c r="Y114" s="478">
        <f t="shared" si="10"/>
        <v>17501.290250196344</v>
      </c>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row>
    <row r="115" spans="1:49" s="7" customFormat="1" ht="31.5" customHeight="1">
      <c r="A115" s="294"/>
      <c r="B115" s="97"/>
      <c r="C115" s="96" t="s">
        <v>418</v>
      </c>
      <c r="D115" s="71"/>
      <c r="E115" s="71"/>
      <c r="F115" s="71"/>
      <c r="G115" s="71"/>
      <c r="H115" s="78"/>
      <c r="I115" s="94"/>
      <c r="J115" s="94"/>
      <c r="K115" s="200"/>
      <c r="L115" s="200"/>
      <c r="M115" s="174">
        <f>M108+M110+M112+M114</f>
        <v>33125</v>
      </c>
      <c r="N115" s="174">
        <f>N108+N110+N112+N114</f>
        <v>45100</v>
      </c>
      <c r="O115" s="174">
        <f t="shared" si="6"/>
        <v>78225</v>
      </c>
      <c r="P115" s="174">
        <f>P108+P110+P112+P114</f>
        <v>12627.295921980196</v>
      </c>
      <c r="Q115" s="174">
        <f>Q108+Q110+Q112+Q114</f>
        <v>13038</v>
      </c>
      <c r="R115" s="174">
        <f t="shared" si="7"/>
        <v>25665.295921980196</v>
      </c>
      <c r="S115" s="115" t="e">
        <f>SUM(S108:S114)</f>
        <v>#REF!</v>
      </c>
      <c r="T115" s="115" t="e">
        <f>SUM(T108:T114)</f>
        <v>#REF!</v>
      </c>
      <c r="U115" s="115" t="e">
        <f>SUM(U108:U114)</f>
        <v>#REF!</v>
      </c>
      <c r="V115" s="318"/>
      <c r="W115" s="569">
        <f t="shared" si="8"/>
        <v>20497.704078019804</v>
      </c>
      <c r="X115" s="570">
        <f t="shared" si="9"/>
        <v>32062</v>
      </c>
      <c r="Y115" s="571">
        <f t="shared" si="10"/>
        <v>52559.7040780198</v>
      </c>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row>
    <row r="116" spans="1:25" ht="82.5" customHeight="1" hidden="1">
      <c r="A116" s="385" t="s">
        <v>138</v>
      </c>
      <c r="B116" s="415"/>
      <c r="C116" s="415"/>
      <c r="D116" s="415"/>
      <c r="E116" s="415"/>
      <c r="F116" s="415"/>
      <c r="G116" s="415"/>
      <c r="H116" s="415"/>
      <c r="I116" s="415"/>
      <c r="J116" s="415"/>
      <c r="K116" s="415"/>
      <c r="L116" s="415"/>
      <c r="M116" s="460"/>
      <c r="N116" s="460"/>
      <c r="O116" s="445">
        <f t="shared" si="6"/>
        <v>0</v>
      </c>
      <c r="P116" s="562"/>
      <c r="Q116" s="562"/>
      <c r="R116" s="431">
        <f t="shared" si="7"/>
        <v>0</v>
      </c>
      <c r="S116" s="415"/>
      <c r="T116" s="415"/>
      <c r="U116" s="415"/>
      <c r="V116" s="416"/>
      <c r="W116" s="473">
        <f t="shared" si="8"/>
        <v>0</v>
      </c>
      <c r="X116" s="477">
        <f t="shared" si="9"/>
        <v>0</v>
      </c>
      <c r="Y116" s="478">
        <f t="shared" si="10"/>
        <v>0</v>
      </c>
    </row>
    <row r="117" spans="1:25" ht="61.5" customHeight="1">
      <c r="A117" s="373" t="s">
        <v>283</v>
      </c>
      <c r="B117" s="76"/>
      <c r="C117" s="283" t="s">
        <v>403</v>
      </c>
      <c r="D117" s="283" t="s">
        <v>176</v>
      </c>
      <c r="E117" s="283" t="s">
        <v>176</v>
      </c>
      <c r="F117" s="283" t="s">
        <v>176</v>
      </c>
      <c r="G117" s="283" t="s">
        <v>176</v>
      </c>
      <c r="H117" s="283" t="s">
        <v>180</v>
      </c>
      <c r="I117" s="283" t="s">
        <v>219</v>
      </c>
      <c r="J117" s="432" t="s">
        <v>179</v>
      </c>
      <c r="K117" s="76"/>
      <c r="L117" s="280"/>
      <c r="M117" s="453"/>
      <c r="N117" s="453"/>
      <c r="O117" s="445">
        <f t="shared" si="6"/>
        <v>0</v>
      </c>
      <c r="P117" s="556"/>
      <c r="Q117" s="556"/>
      <c r="R117" s="431">
        <f t="shared" si="7"/>
        <v>0</v>
      </c>
      <c r="S117" s="281"/>
      <c r="T117" s="281"/>
      <c r="U117" s="282"/>
      <c r="V117" s="416"/>
      <c r="W117" s="583">
        <f t="shared" si="8"/>
        <v>0</v>
      </c>
      <c r="X117" s="477">
        <f t="shared" si="9"/>
        <v>0</v>
      </c>
      <c r="Y117" s="478">
        <f t="shared" si="10"/>
        <v>0</v>
      </c>
    </row>
    <row r="118" spans="1:49" s="7" customFormat="1" ht="29.25" customHeight="1">
      <c r="A118" s="374"/>
      <c r="B118" s="28" t="s">
        <v>179</v>
      </c>
      <c r="C118" s="266" t="s">
        <v>280</v>
      </c>
      <c r="D118" s="284"/>
      <c r="E118" s="284"/>
      <c r="F118" s="284"/>
      <c r="G118" s="284"/>
      <c r="H118" s="284"/>
      <c r="I118" s="284"/>
      <c r="J118" s="284"/>
      <c r="K118" s="268" t="s">
        <v>185</v>
      </c>
      <c r="L118" s="270"/>
      <c r="M118" s="429">
        <v>19000</v>
      </c>
      <c r="N118" s="429">
        <v>15000</v>
      </c>
      <c r="O118" s="445">
        <f t="shared" si="6"/>
        <v>34000</v>
      </c>
      <c r="P118" s="495">
        <v>0</v>
      </c>
      <c r="Q118" s="479">
        <v>0</v>
      </c>
      <c r="R118" s="431">
        <f t="shared" si="7"/>
        <v>0</v>
      </c>
      <c r="S118" s="271" t="e">
        <f>#REF!</f>
        <v>#REF!</v>
      </c>
      <c r="T118" s="271" t="e">
        <f>#REF!</f>
        <v>#REF!</v>
      </c>
      <c r="U118" s="278" t="e">
        <f>SUM(S118:T118)</f>
        <v>#REF!</v>
      </c>
      <c r="V118" s="296" t="s">
        <v>335</v>
      </c>
      <c r="W118" s="583">
        <f t="shared" si="8"/>
        <v>19000</v>
      </c>
      <c r="X118" s="477">
        <f t="shared" si="9"/>
        <v>15000</v>
      </c>
      <c r="Y118" s="478">
        <f t="shared" si="10"/>
        <v>34000</v>
      </c>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row>
    <row r="119" spans="1:49" s="7" customFormat="1" ht="90.75" customHeight="1">
      <c r="A119" s="374"/>
      <c r="B119" s="257"/>
      <c r="C119" s="283" t="s">
        <v>404</v>
      </c>
      <c r="D119" s="283"/>
      <c r="E119" s="283" t="s">
        <v>176</v>
      </c>
      <c r="F119" s="283" t="s">
        <v>176</v>
      </c>
      <c r="G119" s="283" t="s">
        <v>176</v>
      </c>
      <c r="H119" s="283" t="s">
        <v>364</v>
      </c>
      <c r="I119" s="283" t="s">
        <v>411</v>
      </c>
      <c r="J119" s="432" t="s">
        <v>182</v>
      </c>
      <c r="K119" s="86"/>
      <c r="L119" s="280"/>
      <c r="M119" s="453"/>
      <c r="N119" s="453"/>
      <c r="O119" s="445">
        <f t="shared" si="6"/>
        <v>0</v>
      </c>
      <c r="P119" s="556"/>
      <c r="Q119" s="556"/>
      <c r="R119" s="431">
        <f t="shared" si="7"/>
        <v>0</v>
      </c>
      <c r="S119" s="281"/>
      <c r="T119" s="281"/>
      <c r="U119" s="282"/>
      <c r="V119" s="303"/>
      <c r="W119" s="583">
        <f t="shared" si="8"/>
        <v>0</v>
      </c>
      <c r="X119" s="477">
        <f t="shared" si="9"/>
        <v>0</v>
      </c>
      <c r="Y119" s="478">
        <f t="shared" si="10"/>
        <v>0</v>
      </c>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row>
    <row r="120" spans="1:49" s="7" customFormat="1" ht="27" customHeight="1">
      <c r="A120" s="374"/>
      <c r="B120" s="87" t="s">
        <v>182</v>
      </c>
      <c r="C120" s="266" t="s">
        <v>281</v>
      </c>
      <c r="D120" s="284"/>
      <c r="E120" s="284"/>
      <c r="F120" s="284"/>
      <c r="G120" s="284"/>
      <c r="H120" s="284"/>
      <c r="I120" s="284"/>
      <c r="J120" s="284"/>
      <c r="K120" s="268" t="s">
        <v>185</v>
      </c>
      <c r="L120" s="270"/>
      <c r="M120" s="430">
        <v>9813</v>
      </c>
      <c r="N120" s="430">
        <v>2804</v>
      </c>
      <c r="O120" s="430">
        <f t="shared" si="6"/>
        <v>12617</v>
      </c>
      <c r="P120" s="495">
        <v>0</v>
      </c>
      <c r="Q120" s="479">
        <v>0</v>
      </c>
      <c r="R120" s="431">
        <f t="shared" si="7"/>
        <v>0</v>
      </c>
      <c r="S120" s="271" t="e">
        <f>#REF!</f>
        <v>#REF!</v>
      </c>
      <c r="T120" s="271" t="e">
        <f>#REF!</f>
        <v>#REF!</v>
      </c>
      <c r="U120" s="278" t="e">
        <f>SUM(S120:T120)</f>
        <v>#REF!</v>
      </c>
      <c r="V120" s="303" t="s">
        <v>428</v>
      </c>
      <c r="W120" s="583">
        <f t="shared" si="8"/>
        <v>9813</v>
      </c>
      <c r="X120" s="477">
        <f t="shared" si="9"/>
        <v>2804</v>
      </c>
      <c r="Y120" s="478">
        <f t="shared" si="10"/>
        <v>12617</v>
      </c>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row>
    <row r="121" spans="1:49" s="7" customFormat="1" ht="132" customHeight="1">
      <c r="A121" s="349"/>
      <c r="B121" s="87"/>
      <c r="C121" s="283" t="s">
        <v>405</v>
      </c>
      <c r="D121" s="283" t="s">
        <v>176</v>
      </c>
      <c r="E121" s="283"/>
      <c r="F121" s="283"/>
      <c r="G121" s="283"/>
      <c r="H121" s="283" t="s">
        <v>364</v>
      </c>
      <c r="I121" s="283" t="s">
        <v>412</v>
      </c>
      <c r="J121" s="440" t="s">
        <v>182</v>
      </c>
      <c r="K121" s="86"/>
      <c r="L121" s="280"/>
      <c r="M121" s="453"/>
      <c r="N121" s="453"/>
      <c r="O121" s="445">
        <f t="shared" si="6"/>
        <v>0</v>
      </c>
      <c r="P121" s="556"/>
      <c r="Q121" s="556"/>
      <c r="R121" s="431">
        <f t="shared" si="7"/>
        <v>0</v>
      </c>
      <c r="S121" s="281"/>
      <c r="T121" s="281"/>
      <c r="U121" s="282"/>
      <c r="V121" s="303"/>
      <c r="W121" s="583">
        <f t="shared" si="8"/>
        <v>0</v>
      </c>
      <c r="X121" s="477">
        <f t="shared" si="9"/>
        <v>0</v>
      </c>
      <c r="Y121" s="478">
        <f t="shared" si="10"/>
        <v>0</v>
      </c>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row>
    <row r="122" spans="1:49" s="7" customFormat="1" ht="36.75" customHeight="1">
      <c r="A122" s="349"/>
      <c r="B122" s="87" t="s">
        <v>182</v>
      </c>
      <c r="C122" s="266" t="s">
        <v>282</v>
      </c>
      <c r="D122" s="284"/>
      <c r="E122" s="284"/>
      <c r="F122" s="284"/>
      <c r="G122" s="284"/>
      <c r="H122" s="284"/>
      <c r="I122" s="284"/>
      <c r="J122" s="284"/>
      <c r="K122" s="268" t="s">
        <v>185</v>
      </c>
      <c r="L122" s="270"/>
      <c r="M122" s="429">
        <v>5140</v>
      </c>
      <c r="N122" s="429">
        <v>2804</v>
      </c>
      <c r="O122" s="445">
        <f t="shared" si="6"/>
        <v>7944</v>
      </c>
      <c r="P122" s="479">
        <v>0</v>
      </c>
      <c r="Q122" s="479">
        <v>0</v>
      </c>
      <c r="R122" s="431">
        <f t="shared" si="7"/>
        <v>0</v>
      </c>
      <c r="S122" s="271" t="e">
        <f>#REF!</f>
        <v>#REF!</v>
      </c>
      <c r="T122" s="271" t="e">
        <f>#REF!</f>
        <v>#REF!</v>
      </c>
      <c r="U122" s="278" t="e">
        <f>SUM(S122:T122)</f>
        <v>#REF!</v>
      </c>
      <c r="V122" s="303" t="s">
        <v>363</v>
      </c>
      <c r="W122" s="583">
        <f t="shared" si="8"/>
        <v>5140</v>
      </c>
      <c r="X122" s="477">
        <f t="shared" si="9"/>
        <v>2804</v>
      </c>
      <c r="Y122" s="478">
        <f t="shared" si="10"/>
        <v>7944</v>
      </c>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row>
    <row r="123" spans="1:49" s="7" customFormat="1" ht="47.25" customHeight="1">
      <c r="A123" s="374"/>
      <c r="B123" s="87"/>
      <c r="C123" s="283" t="s">
        <v>374</v>
      </c>
      <c r="D123" s="283" t="s">
        <v>176</v>
      </c>
      <c r="E123" s="283" t="s">
        <v>176</v>
      </c>
      <c r="F123" s="283"/>
      <c r="G123" s="283"/>
      <c r="H123" s="283" t="s">
        <v>167</v>
      </c>
      <c r="I123" s="283" t="s">
        <v>327</v>
      </c>
      <c r="J123" s="440" t="s">
        <v>182</v>
      </c>
      <c r="K123" s="86"/>
      <c r="L123" s="280"/>
      <c r="M123" s="453"/>
      <c r="N123" s="453"/>
      <c r="O123" s="445">
        <f t="shared" si="6"/>
        <v>0</v>
      </c>
      <c r="P123" s="556"/>
      <c r="Q123" s="556"/>
      <c r="R123" s="431">
        <f t="shared" si="7"/>
        <v>0</v>
      </c>
      <c r="S123" s="281"/>
      <c r="T123" s="281"/>
      <c r="U123" s="282"/>
      <c r="V123" s="303"/>
      <c r="W123" s="583">
        <f t="shared" si="8"/>
        <v>0</v>
      </c>
      <c r="X123" s="477">
        <f t="shared" si="9"/>
        <v>0</v>
      </c>
      <c r="Y123" s="478">
        <f t="shared" si="10"/>
        <v>0</v>
      </c>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row>
    <row r="124" spans="1:49" s="7" customFormat="1" ht="38.25" customHeight="1">
      <c r="A124" s="300"/>
      <c r="B124" s="257" t="s">
        <v>182</v>
      </c>
      <c r="C124" s="266" t="s">
        <v>284</v>
      </c>
      <c r="D124" s="284"/>
      <c r="E124" s="284"/>
      <c r="F124" s="284"/>
      <c r="G124" s="284"/>
      <c r="H124" s="284"/>
      <c r="I124" s="284"/>
      <c r="J124" s="284"/>
      <c r="K124" s="268" t="s">
        <v>185</v>
      </c>
      <c r="L124" s="270"/>
      <c r="M124" s="429">
        <v>6542</v>
      </c>
      <c r="N124" s="429">
        <v>2805</v>
      </c>
      <c r="O124" s="445">
        <f t="shared" si="6"/>
        <v>9347</v>
      </c>
      <c r="P124" s="495">
        <v>0</v>
      </c>
      <c r="Q124" s="479">
        <v>0</v>
      </c>
      <c r="R124" s="431">
        <f t="shared" si="7"/>
        <v>0</v>
      </c>
      <c r="S124" s="271" t="e">
        <f>#REF!</f>
        <v>#REF!</v>
      </c>
      <c r="T124" s="271" t="e">
        <f>#REF!</f>
        <v>#REF!</v>
      </c>
      <c r="U124" s="278" t="e">
        <f>SUM(S124:T124)</f>
        <v>#REF!</v>
      </c>
      <c r="V124" s="303" t="s">
        <v>335</v>
      </c>
      <c r="W124" s="583">
        <f t="shared" si="8"/>
        <v>6542</v>
      </c>
      <c r="X124" s="477">
        <f t="shared" si="9"/>
        <v>2805</v>
      </c>
      <c r="Y124" s="478">
        <f t="shared" si="10"/>
        <v>9347</v>
      </c>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row>
    <row r="125" spans="1:49" s="7" customFormat="1" ht="47.25" customHeight="1">
      <c r="A125" s="300"/>
      <c r="B125" s="257"/>
      <c r="C125" s="283" t="s">
        <v>406</v>
      </c>
      <c r="D125" s="283"/>
      <c r="E125" s="283" t="s">
        <v>176</v>
      </c>
      <c r="F125" s="283" t="s">
        <v>176</v>
      </c>
      <c r="G125" s="283" t="s">
        <v>176</v>
      </c>
      <c r="H125" s="283" t="s">
        <v>167</v>
      </c>
      <c r="I125" s="283" t="s">
        <v>307</v>
      </c>
      <c r="J125" s="283" t="s">
        <v>141</v>
      </c>
      <c r="K125" s="134"/>
      <c r="L125" s="280"/>
      <c r="M125" s="453"/>
      <c r="N125" s="453"/>
      <c r="O125" s="445">
        <f t="shared" si="6"/>
        <v>0</v>
      </c>
      <c r="P125" s="556"/>
      <c r="Q125" s="556"/>
      <c r="R125" s="431">
        <f t="shared" si="7"/>
        <v>0</v>
      </c>
      <c r="S125" s="281"/>
      <c r="T125" s="281"/>
      <c r="U125" s="282"/>
      <c r="V125" s="303"/>
      <c r="W125" s="583">
        <f t="shared" si="8"/>
        <v>0</v>
      </c>
      <c r="X125" s="477">
        <f t="shared" si="9"/>
        <v>0</v>
      </c>
      <c r="Y125" s="478">
        <f t="shared" si="10"/>
        <v>0</v>
      </c>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row>
    <row r="126" spans="1:49" s="7" customFormat="1" ht="33.75" customHeight="1">
      <c r="A126" s="301"/>
      <c r="B126" s="50" t="s">
        <v>142</v>
      </c>
      <c r="C126" s="266" t="s">
        <v>285</v>
      </c>
      <c r="D126" s="284"/>
      <c r="E126" s="284"/>
      <c r="F126" s="284"/>
      <c r="G126" s="284"/>
      <c r="H126" s="284"/>
      <c r="I126" s="284"/>
      <c r="J126" s="284"/>
      <c r="K126" s="268" t="s">
        <v>185</v>
      </c>
      <c r="L126" s="270"/>
      <c r="M126" s="429">
        <v>0</v>
      </c>
      <c r="N126" s="429">
        <v>0</v>
      </c>
      <c r="O126" s="445">
        <f t="shared" si="6"/>
        <v>0</v>
      </c>
      <c r="P126" s="495">
        <v>0</v>
      </c>
      <c r="Q126" s="479">
        <v>0</v>
      </c>
      <c r="R126" s="431">
        <f t="shared" si="7"/>
        <v>0</v>
      </c>
      <c r="S126" s="271" t="e">
        <f>#REF!</f>
        <v>#REF!</v>
      </c>
      <c r="T126" s="271" t="e">
        <f>#REF!</f>
        <v>#REF!</v>
      </c>
      <c r="U126" s="278" t="e">
        <f>SUM(S126:T126)</f>
        <v>#REF!</v>
      </c>
      <c r="V126" s="296"/>
      <c r="W126" s="583">
        <f t="shared" si="8"/>
        <v>0</v>
      </c>
      <c r="X126" s="477">
        <f t="shared" si="9"/>
        <v>0</v>
      </c>
      <c r="Y126" s="478">
        <f t="shared" si="10"/>
        <v>0</v>
      </c>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row>
    <row r="127" spans="1:49" s="7" customFormat="1" ht="29.25" customHeight="1">
      <c r="A127" s="294"/>
      <c r="B127" s="97"/>
      <c r="C127" s="96" t="s">
        <v>341</v>
      </c>
      <c r="D127" s="71"/>
      <c r="E127" s="71"/>
      <c r="F127" s="71"/>
      <c r="G127" s="71"/>
      <c r="H127" s="78"/>
      <c r="I127" s="94"/>
      <c r="J127" s="94"/>
      <c r="K127" s="200"/>
      <c r="L127" s="200"/>
      <c r="M127" s="174">
        <f>M118+M120+M122+M124+M126</f>
        <v>40495</v>
      </c>
      <c r="N127" s="174">
        <f>N118+N120+N122+N124+N126</f>
        <v>23413</v>
      </c>
      <c r="O127" s="174">
        <f t="shared" si="6"/>
        <v>63908</v>
      </c>
      <c r="P127" s="174">
        <f>P118+P120+P122+P124+P126</f>
        <v>0</v>
      </c>
      <c r="Q127" s="174">
        <f>Q118+Q120+Q122+Q124+Q126</f>
        <v>0</v>
      </c>
      <c r="R127" s="174">
        <f>R118+R120+R122+R124+R126</f>
        <v>0</v>
      </c>
      <c r="S127" s="115" t="e">
        <f>SUM(S118:S126)</f>
        <v>#REF!</v>
      </c>
      <c r="T127" s="115" t="e">
        <f>SUM(T118:T126)</f>
        <v>#REF!</v>
      </c>
      <c r="U127" s="100" t="e">
        <f>SUM(S127:T127)</f>
        <v>#REF!</v>
      </c>
      <c r="V127" s="318"/>
      <c r="W127" s="569">
        <f t="shared" si="8"/>
        <v>40495</v>
      </c>
      <c r="X127" s="570">
        <f t="shared" si="9"/>
        <v>23413</v>
      </c>
      <c r="Y127" s="571">
        <f t="shared" si="10"/>
        <v>63908</v>
      </c>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row>
    <row r="128" spans="1:26" ht="83.25" customHeight="1" hidden="1">
      <c r="A128" s="385" t="s">
        <v>221</v>
      </c>
      <c r="B128" s="415"/>
      <c r="C128" s="415"/>
      <c r="D128" s="415"/>
      <c r="E128" s="415"/>
      <c r="F128" s="415"/>
      <c r="G128" s="415"/>
      <c r="H128" s="415"/>
      <c r="I128" s="415"/>
      <c r="J128" s="415"/>
      <c r="K128" s="415"/>
      <c r="L128" s="415"/>
      <c r="M128" s="460"/>
      <c r="N128" s="460"/>
      <c r="O128" s="445">
        <f t="shared" si="6"/>
        <v>0</v>
      </c>
      <c r="P128" s="562"/>
      <c r="Q128" s="562"/>
      <c r="R128" s="431">
        <f t="shared" si="7"/>
        <v>0</v>
      </c>
      <c r="S128" s="415"/>
      <c r="T128" s="415"/>
      <c r="U128" s="415"/>
      <c r="V128" s="416"/>
      <c r="W128" s="473">
        <f t="shared" si="8"/>
        <v>0</v>
      </c>
      <c r="X128" s="477">
        <f t="shared" si="9"/>
        <v>0</v>
      </c>
      <c r="Y128" s="478">
        <f t="shared" si="10"/>
        <v>0</v>
      </c>
      <c r="Z128" s="61"/>
    </row>
    <row r="129" spans="1:26" ht="45.75" customHeight="1">
      <c r="A129" s="373" t="s">
        <v>287</v>
      </c>
      <c r="B129" s="367"/>
      <c r="C129" s="283" t="s">
        <v>407</v>
      </c>
      <c r="D129" s="283"/>
      <c r="E129" s="283" t="s">
        <v>176</v>
      </c>
      <c r="F129" s="283" t="s">
        <v>176</v>
      </c>
      <c r="G129" s="283" t="s">
        <v>176</v>
      </c>
      <c r="H129" s="283" t="s">
        <v>167</v>
      </c>
      <c r="I129" s="283" t="s">
        <v>167</v>
      </c>
      <c r="J129" s="432" t="s">
        <v>179</v>
      </c>
      <c r="K129" s="285"/>
      <c r="L129" s="280"/>
      <c r="M129" s="453"/>
      <c r="N129" s="453"/>
      <c r="O129" s="445">
        <f t="shared" si="6"/>
        <v>0</v>
      </c>
      <c r="P129" s="556"/>
      <c r="Q129" s="556"/>
      <c r="R129" s="431">
        <f t="shared" si="7"/>
        <v>0</v>
      </c>
      <c r="S129" s="281"/>
      <c r="T129" s="281"/>
      <c r="U129" s="282"/>
      <c r="V129" s="319"/>
      <c r="W129" s="583">
        <f t="shared" si="8"/>
        <v>0</v>
      </c>
      <c r="X129" s="477">
        <f t="shared" si="9"/>
        <v>0</v>
      </c>
      <c r="Y129" s="478">
        <f t="shared" si="10"/>
        <v>0</v>
      </c>
      <c r="Z129" s="61"/>
    </row>
    <row r="130" spans="1:49" s="7" customFormat="1" ht="30" customHeight="1">
      <c r="A130" s="374"/>
      <c r="B130" s="156" t="s">
        <v>179</v>
      </c>
      <c r="C130" s="266" t="s">
        <v>286</v>
      </c>
      <c r="D130" s="284"/>
      <c r="E130" s="284"/>
      <c r="F130" s="284"/>
      <c r="G130" s="284"/>
      <c r="H130" s="284"/>
      <c r="I130" s="284"/>
      <c r="J130" s="284"/>
      <c r="K130" s="268" t="s">
        <v>185</v>
      </c>
      <c r="L130" s="270"/>
      <c r="M130" s="429">
        <v>0</v>
      </c>
      <c r="N130" s="429">
        <v>0</v>
      </c>
      <c r="O130" s="445">
        <f t="shared" si="6"/>
        <v>0</v>
      </c>
      <c r="P130" s="479">
        <v>0</v>
      </c>
      <c r="Q130" s="479">
        <v>0</v>
      </c>
      <c r="R130" s="431">
        <f t="shared" si="7"/>
        <v>0</v>
      </c>
      <c r="S130" s="271" t="e">
        <f>#REF!</f>
        <v>#REF!</v>
      </c>
      <c r="T130" s="271" t="e">
        <f>#REF!</f>
        <v>#REF!</v>
      </c>
      <c r="U130" s="278" t="e">
        <f>SUM(S130:T130)</f>
        <v>#REF!</v>
      </c>
      <c r="V130" s="303" t="s">
        <v>335</v>
      </c>
      <c r="W130" s="583">
        <f t="shared" si="8"/>
        <v>0</v>
      </c>
      <c r="X130" s="477">
        <f t="shared" si="9"/>
        <v>0</v>
      </c>
      <c r="Y130" s="478">
        <f t="shared" si="10"/>
        <v>0</v>
      </c>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row>
    <row r="131" spans="1:49" s="7" customFormat="1" ht="81" customHeight="1">
      <c r="A131" s="374"/>
      <c r="B131" s="156"/>
      <c r="C131" s="283" t="s">
        <v>408</v>
      </c>
      <c r="D131" s="283"/>
      <c r="E131" s="283"/>
      <c r="F131" s="283" t="s">
        <v>176</v>
      </c>
      <c r="G131" s="283" t="s">
        <v>176</v>
      </c>
      <c r="H131" s="283" t="s">
        <v>364</v>
      </c>
      <c r="I131" s="283" t="s">
        <v>366</v>
      </c>
      <c r="J131" s="283" t="s">
        <v>153</v>
      </c>
      <c r="K131" s="86"/>
      <c r="L131" s="280"/>
      <c r="M131" s="453"/>
      <c r="N131" s="453"/>
      <c r="O131" s="445">
        <f t="shared" si="6"/>
        <v>0</v>
      </c>
      <c r="P131" s="556"/>
      <c r="Q131" s="556"/>
      <c r="R131" s="431">
        <f t="shared" si="7"/>
        <v>0</v>
      </c>
      <c r="S131" s="281"/>
      <c r="T131" s="281"/>
      <c r="U131" s="282"/>
      <c r="V131" s="320"/>
      <c r="W131" s="583">
        <f t="shared" si="8"/>
        <v>0</v>
      </c>
      <c r="X131" s="477">
        <f t="shared" si="9"/>
        <v>0</v>
      </c>
      <c r="Y131" s="478">
        <f t="shared" si="10"/>
        <v>0</v>
      </c>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row>
    <row r="132" spans="1:49" s="7" customFormat="1" ht="36.75" customHeight="1">
      <c r="A132" s="374"/>
      <c r="B132" s="28" t="s">
        <v>153</v>
      </c>
      <c r="C132" s="266" t="s">
        <v>288</v>
      </c>
      <c r="D132" s="284"/>
      <c r="E132" s="284"/>
      <c r="F132" s="284"/>
      <c r="G132" s="284"/>
      <c r="H132" s="284"/>
      <c r="I132" s="284"/>
      <c r="J132" s="284"/>
      <c r="K132" s="268" t="s">
        <v>185</v>
      </c>
      <c r="L132" s="270"/>
      <c r="M132" s="429">
        <v>5000</v>
      </c>
      <c r="N132" s="429">
        <v>0</v>
      </c>
      <c r="O132" s="445">
        <f t="shared" si="6"/>
        <v>5000</v>
      </c>
      <c r="P132" s="495">
        <v>0</v>
      </c>
      <c r="Q132" s="479">
        <v>0</v>
      </c>
      <c r="R132" s="431">
        <f t="shared" si="7"/>
        <v>0</v>
      </c>
      <c r="S132" s="271" t="e">
        <f>#REF!</f>
        <v>#REF!</v>
      </c>
      <c r="T132" s="271" t="e">
        <f>#REF!</f>
        <v>#REF!</v>
      </c>
      <c r="U132" s="278" t="e">
        <f>SUM(S132:T132)</f>
        <v>#REF!</v>
      </c>
      <c r="V132" s="321" t="s">
        <v>363</v>
      </c>
      <c r="W132" s="583">
        <f t="shared" si="8"/>
        <v>5000</v>
      </c>
      <c r="X132" s="477">
        <f t="shared" si="9"/>
        <v>0</v>
      </c>
      <c r="Y132" s="478">
        <f t="shared" si="10"/>
        <v>5000</v>
      </c>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row>
    <row r="133" spans="1:49" s="7" customFormat="1" ht="28.5" customHeight="1">
      <c r="A133" s="96"/>
      <c r="B133" s="101"/>
      <c r="C133" s="96" t="s">
        <v>419</v>
      </c>
      <c r="D133" s="71"/>
      <c r="E133" s="71"/>
      <c r="F133" s="71"/>
      <c r="G133" s="71"/>
      <c r="H133" s="78"/>
      <c r="I133" s="94"/>
      <c r="J133" s="94"/>
      <c r="K133" s="94"/>
      <c r="L133" s="94"/>
      <c r="M133" s="174">
        <f>M130+M132</f>
        <v>5000</v>
      </c>
      <c r="N133" s="174">
        <f>N130+N132</f>
        <v>0</v>
      </c>
      <c r="O133" s="174">
        <f t="shared" si="6"/>
        <v>5000</v>
      </c>
      <c r="P133" s="174">
        <f>P130+P132</f>
        <v>0</v>
      </c>
      <c r="Q133" s="174">
        <f>Q130+Q132</f>
        <v>0</v>
      </c>
      <c r="R133" s="79">
        <f t="shared" si="7"/>
        <v>0</v>
      </c>
      <c r="S133" s="79" t="e">
        <f>SUM(S130:S132)</f>
        <v>#REF!</v>
      </c>
      <c r="T133" s="79" t="e">
        <f>SUM(T130:T132)</f>
        <v>#REF!</v>
      </c>
      <c r="U133" s="79" t="e">
        <f>SUM(U130:U132)</f>
        <v>#REF!</v>
      </c>
      <c r="V133" s="295"/>
      <c r="W133" s="582">
        <f t="shared" si="8"/>
        <v>5000</v>
      </c>
      <c r="X133" s="582">
        <f t="shared" si="9"/>
        <v>0</v>
      </c>
      <c r="Y133" s="582">
        <f t="shared" si="10"/>
        <v>5000</v>
      </c>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row>
    <row r="134" spans="1:49" s="12" customFormat="1" ht="26.25" customHeight="1">
      <c r="A134" s="96"/>
      <c r="B134" s="113" t="s">
        <v>183</v>
      </c>
      <c r="C134" s="113" t="s">
        <v>163</v>
      </c>
      <c r="D134" s="71"/>
      <c r="E134" s="71"/>
      <c r="F134" s="72"/>
      <c r="G134" s="71"/>
      <c r="H134" s="78"/>
      <c r="I134" s="73"/>
      <c r="J134" s="73"/>
      <c r="K134" s="201"/>
      <c r="L134" s="201"/>
      <c r="M134" s="546">
        <v>62550</v>
      </c>
      <c r="N134" s="546">
        <v>111725</v>
      </c>
      <c r="O134" s="174">
        <f t="shared" si="6"/>
        <v>174275</v>
      </c>
      <c r="P134" s="563">
        <f>SUM(P135:P143)</f>
        <v>46328.015353887604</v>
      </c>
      <c r="Q134" s="563"/>
      <c r="R134" s="99">
        <f t="shared" si="7"/>
        <v>46328.015353887604</v>
      </c>
      <c r="S134" s="77" t="e">
        <f>SUM(S135:S143)</f>
        <v>#REF!</v>
      </c>
      <c r="T134" s="77" t="e">
        <f>SUM(T135:T143)</f>
        <v>#REF!</v>
      </c>
      <c r="U134" s="77" t="e">
        <f>SUM(S134:T134)</f>
        <v>#REF!</v>
      </c>
      <c r="V134" s="315"/>
      <c r="W134" s="582">
        <f t="shared" si="8"/>
        <v>16221.984646112396</v>
      </c>
      <c r="X134" s="582">
        <f t="shared" si="9"/>
        <v>111725</v>
      </c>
      <c r="Y134" s="582">
        <f t="shared" si="10"/>
        <v>127946.9846461124</v>
      </c>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row>
    <row r="135" spans="1:49" s="31" customFormat="1" ht="45.75" customHeight="1">
      <c r="A135" s="498"/>
      <c r="B135" s="58" t="s">
        <v>210</v>
      </c>
      <c r="C135" s="499" t="s">
        <v>143</v>
      </c>
      <c r="D135" s="500"/>
      <c r="E135" s="500"/>
      <c r="F135" s="501"/>
      <c r="G135" s="500"/>
      <c r="H135" s="285"/>
      <c r="I135" s="502"/>
      <c r="J135" s="503"/>
      <c r="K135" s="59" t="s">
        <v>154</v>
      </c>
      <c r="L135" s="59"/>
      <c r="M135" s="504">
        <f>4000+1205+3400</f>
        <v>8605</v>
      </c>
      <c r="N135" s="504">
        <f>13890+3710+2517</f>
        <v>20117</v>
      </c>
      <c r="O135" s="445">
        <f t="shared" si="6"/>
        <v>28722</v>
      </c>
      <c r="P135" s="109">
        <v>0</v>
      </c>
      <c r="Q135" s="109">
        <v>0</v>
      </c>
      <c r="R135" s="431">
        <f t="shared" si="7"/>
        <v>0</v>
      </c>
      <c r="S135" s="155" t="e">
        <f>#REF!+#REF!+#REF!</f>
        <v>#REF!</v>
      </c>
      <c r="T135" s="155" t="e">
        <f>#REF!+#REF!+#REF!</f>
        <v>#REF!</v>
      </c>
      <c r="U135" s="505" t="e">
        <f>SUM(S135:T135)</f>
        <v>#REF!</v>
      </c>
      <c r="V135" s="306" t="s">
        <v>318</v>
      </c>
      <c r="W135" s="473">
        <f t="shared" si="8"/>
        <v>8605</v>
      </c>
      <c r="X135" s="477">
        <f t="shared" si="9"/>
        <v>20117</v>
      </c>
      <c r="Y135" s="478">
        <f t="shared" si="10"/>
        <v>28722</v>
      </c>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row>
    <row r="136" spans="1:49" s="31" customFormat="1" ht="34.5" customHeight="1">
      <c r="A136" s="498"/>
      <c r="B136" s="58" t="s">
        <v>211</v>
      </c>
      <c r="C136" s="56" t="s">
        <v>164</v>
      </c>
      <c r="D136" s="58"/>
      <c r="E136" s="58"/>
      <c r="F136" s="506"/>
      <c r="G136" s="58"/>
      <c r="H136" s="76"/>
      <c r="I136" s="507"/>
      <c r="J136" s="507"/>
      <c r="K136" s="59"/>
      <c r="L136" s="59"/>
      <c r="M136" s="504"/>
      <c r="N136" s="504"/>
      <c r="O136" s="504">
        <f t="shared" si="6"/>
        <v>0</v>
      </c>
      <c r="P136" s="109"/>
      <c r="Q136" s="109"/>
      <c r="R136" s="504">
        <f t="shared" si="7"/>
        <v>0</v>
      </c>
      <c r="S136" s="219"/>
      <c r="T136" s="219"/>
      <c r="U136" s="219"/>
      <c r="V136" s="306"/>
      <c r="W136" s="473">
        <f t="shared" si="8"/>
        <v>0</v>
      </c>
      <c r="X136" s="477">
        <f t="shared" si="9"/>
        <v>0</v>
      </c>
      <c r="Y136" s="478">
        <f t="shared" si="10"/>
        <v>0</v>
      </c>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row>
    <row r="137" spans="1:49" s="70" customFormat="1" ht="59.25" customHeight="1">
      <c r="A137" s="349"/>
      <c r="B137" s="63"/>
      <c r="C137" s="508" t="s">
        <v>342</v>
      </c>
      <c r="D137" s="509"/>
      <c r="E137" s="510" t="s">
        <v>176</v>
      </c>
      <c r="F137" s="510" t="s">
        <v>176</v>
      </c>
      <c r="G137" s="510" t="s">
        <v>176</v>
      </c>
      <c r="H137" s="511"/>
      <c r="I137" s="511" t="s">
        <v>325</v>
      </c>
      <c r="J137" s="512" t="s">
        <v>183</v>
      </c>
      <c r="K137" s="508" t="s">
        <v>165</v>
      </c>
      <c r="L137" s="508"/>
      <c r="M137" s="513">
        <f>17325+12825+12825</f>
        <v>42975</v>
      </c>
      <c r="N137" s="513">
        <f>17296+24022</f>
        <v>41318</v>
      </c>
      <c r="O137" s="445">
        <f t="shared" si="6"/>
        <v>84293</v>
      </c>
      <c r="P137" s="545">
        <f>(75507837/17826)+(107534620/17877)+(107534620/17877)+(48186863/17826)+(81033493/17877)+(38057082/17826)+(76594727/17877)</f>
        <v>29921.79963979146</v>
      </c>
      <c r="Q137" s="512"/>
      <c r="R137" s="431">
        <f t="shared" si="7"/>
        <v>29921.79963979146</v>
      </c>
      <c r="S137" s="514" t="e">
        <f>#REF!+#REF!+#REF!</f>
        <v>#REF!</v>
      </c>
      <c r="T137" s="514" t="e">
        <f>#REF!+#REF!+#REF!</f>
        <v>#REF!</v>
      </c>
      <c r="U137" s="515" t="e">
        <f aca="true" t="shared" si="11" ref="U137:U144">SUM(S137:T137)</f>
        <v>#REF!</v>
      </c>
      <c r="V137" s="516" t="s">
        <v>357</v>
      </c>
      <c r="W137" s="473">
        <f t="shared" si="8"/>
        <v>13053.200360208539</v>
      </c>
      <c r="X137" s="477">
        <f t="shared" si="9"/>
        <v>41318</v>
      </c>
      <c r="Y137" s="478">
        <f t="shared" si="10"/>
        <v>54371.20036020854</v>
      </c>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row>
    <row r="138" spans="1:49" s="70" customFormat="1" ht="29.25" customHeight="1">
      <c r="A138" s="349"/>
      <c r="B138" s="63"/>
      <c r="C138" s="517" t="s">
        <v>343</v>
      </c>
      <c r="D138" s="518"/>
      <c r="E138" s="519" t="s">
        <v>176</v>
      </c>
      <c r="F138" s="519" t="s">
        <v>176</v>
      </c>
      <c r="G138" s="519" t="s">
        <v>176</v>
      </c>
      <c r="H138" s="517"/>
      <c r="I138" s="517"/>
      <c r="J138" s="520" t="s">
        <v>183</v>
      </c>
      <c r="K138" s="517" t="s">
        <v>166</v>
      </c>
      <c r="L138" s="517"/>
      <c r="M138" s="521"/>
      <c r="N138" s="521">
        <v>39682</v>
      </c>
      <c r="O138" s="445">
        <f t="shared" si="6"/>
        <v>39682</v>
      </c>
      <c r="P138" s="520"/>
      <c r="Q138" s="520"/>
      <c r="R138" s="431">
        <f t="shared" si="7"/>
        <v>0</v>
      </c>
      <c r="S138" s="522" t="e">
        <f>#REF!+#REF!+#REF!</f>
        <v>#REF!</v>
      </c>
      <c r="T138" s="522" t="e">
        <f>#REF!+#REF!+#REF!</f>
        <v>#REF!</v>
      </c>
      <c r="U138" s="523" t="e">
        <f t="shared" si="11"/>
        <v>#REF!</v>
      </c>
      <c r="V138" s="524" t="s">
        <v>357</v>
      </c>
      <c r="W138" s="473">
        <f t="shared" si="8"/>
        <v>0</v>
      </c>
      <c r="X138" s="477">
        <f t="shared" si="9"/>
        <v>39682</v>
      </c>
      <c r="Y138" s="478">
        <f t="shared" si="10"/>
        <v>39682</v>
      </c>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row>
    <row r="139" spans="1:49" s="70" customFormat="1" ht="26.25" customHeight="1">
      <c r="A139" s="349"/>
      <c r="B139" s="63"/>
      <c r="C139" s="517" t="s">
        <v>192</v>
      </c>
      <c r="D139" s="518"/>
      <c r="E139" s="519" t="s">
        <v>176</v>
      </c>
      <c r="F139" s="519" t="s">
        <v>176</v>
      </c>
      <c r="G139" s="519" t="s">
        <v>176</v>
      </c>
      <c r="H139" s="517"/>
      <c r="I139" s="517" t="s">
        <v>325</v>
      </c>
      <c r="J139" s="525" t="s">
        <v>183</v>
      </c>
      <c r="K139" s="517" t="s">
        <v>158</v>
      </c>
      <c r="L139" s="517"/>
      <c r="M139" s="521">
        <f>2000+1000+1000</f>
        <v>4000</v>
      </c>
      <c r="N139" s="521"/>
      <c r="O139" s="445">
        <f t="shared" si="6"/>
        <v>4000</v>
      </c>
      <c r="P139" s="520"/>
      <c r="Q139" s="520"/>
      <c r="R139" s="431">
        <f t="shared" si="7"/>
        <v>0</v>
      </c>
      <c r="S139" s="522" t="e">
        <f>#REF!+#REF!+#REF!</f>
        <v>#REF!</v>
      </c>
      <c r="T139" s="522" t="e">
        <f>#REF!+#REF!+#REF!</f>
        <v>#REF!</v>
      </c>
      <c r="U139" s="523" t="e">
        <f t="shared" si="11"/>
        <v>#REF!</v>
      </c>
      <c r="V139" s="524" t="s">
        <v>357</v>
      </c>
      <c r="W139" s="473">
        <f t="shared" si="8"/>
        <v>4000</v>
      </c>
      <c r="X139" s="477">
        <f t="shared" si="9"/>
        <v>0</v>
      </c>
      <c r="Y139" s="478">
        <f t="shared" si="10"/>
        <v>4000</v>
      </c>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row>
    <row r="140" spans="1:49" s="31" customFormat="1" ht="27" customHeight="1">
      <c r="A140" s="498"/>
      <c r="B140" s="500"/>
      <c r="C140" s="526" t="s">
        <v>425</v>
      </c>
      <c r="D140" s="527"/>
      <c r="E140" s="528" t="s">
        <v>176</v>
      </c>
      <c r="F140" s="528" t="s">
        <v>176</v>
      </c>
      <c r="G140" s="528" t="s">
        <v>176</v>
      </c>
      <c r="H140" s="526"/>
      <c r="I140" s="526"/>
      <c r="J140" s="529" t="s">
        <v>183</v>
      </c>
      <c r="K140" s="526" t="s">
        <v>308</v>
      </c>
      <c r="L140" s="526"/>
      <c r="M140" s="530"/>
      <c r="N140" s="530">
        <f>1000+1000+1000</f>
        <v>3000</v>
      </c>
      <c r="O140" s="445">
        <f t="shared" si="6"/>
        <v>3000</v>
      </c>
      <c r="P140" s="564"/>
      <c r="Q140" s="564"/>
      <c r="R140" s="431">
        <f t="shared" si="7"/>
        <v>0</v>
      </c>
      <c r="S140" s="531" t="e">
        <f>SUM(#REF!+#REF!+#REF!)</f>
        <v>#REF!</v>
      </c>
      <c r="T140" s="532" t="e">
        <f>SUM(#REF!+#REF!+#REF!)</f>
        <v>#REF!</v>
      </c>
      <c r="U140" s="533" t="e">
        <f t="shared" si="11"/>
        <v>#REF!</v>
      </c>
      <c r="V140" s="534" t="s">
        <v>423</v>
      </c>
      <c r="W140" s="473">
        <f t="shared" si="8"/>
        <v>0</v>
      </c>
      <c r="X140" s="477">
        <f t="shared" si="9"/>
        <v>3000</v>
      </c>
      <c r="Y140" s="478">
        <f t="shared" si="10"/>
        <v>3000</v>
      </c>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row>
    <row r="141" spans="1:49" s="31" customFormat="1" ht="33" customHeight="1">
      <c r="A141" s="498"/>
      <c r="B141" s="500" t="s">
        <v>212</v>
      </c>
      <c r="C141" s="535" t="s">
        <v>159</v>
      </c>
      <c r="D141" s="501"/>
      <c r="E141" s="536" t="s">
        <v>176</v>
      </c>
      <c r="F141" s="536" t="s">
        <v>176</v>
      </c>
      <c r="G141" s="536" t="s">
        <v>176</v>
      </c>
      <c r="H141" s="511"/>
      <c r="I141" s="511" t="s">
        <v>325</v>
      </c>
      <c r="J141" s="285" t="s">
        <v>160</v>
      </c>
      <c r="K141" s="285" t="s">
        <v>309</v>
      </c>
      <c r="L141" s="285"/>
      <c r="M141" s="537">
        <f>2000+720+1000</f>
        <v>3720</v>
      </c>
      <c r="N141" s="537">
        <f>1140+360+500</f>
        <v>2000</v>
      </c>
      <c r="O141" s="445">
        <f t="shared" si="6"/>
        <v>5720</v>
      </c>
      <c r="P141" s="548">
        <f>(61318086/17792)+(57619369/17826)+(10000000/17877)+(46258441/17877)</f>
        <v>9825.680324326735</v>
      </c>
      <c r="Q141" s="548"/>
      <c r="R141" s="431">
        <f t="shared" si="7"/>
        <v>9825.680324326735</v>
      </c>
      <c r="S141" s="505" t="e">
        <f>#REF!+#REF!+#REF!</f>
        <v>#REF!</v>
      </c>
      <c r="T141" s="505" t="e">
        <f>#REF!+#REF!+#REF!</f>
        <v>#REF!</v>
      </c>
      <c r="U141" s="505" t="e">
        <f t="shared" si="11"/>
        <v>#REF!</v>
      </c>
      <c r="V141" s="538" t="s">
        <v>358</v>
      </c>
      <c r="W141" s="473">
        <f t="shared" si="8"/>
        <v>-6105.680324326735</v>
      </c>
      <c r="X141" s="477">
        <f t="shared" si="9"/>
        <v>2000</v>
      </c>
      <c r="Y141" s="478">
        <f t="shared" si="10"/>
        <v>-4105.680324326735</v>
      </c>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row>
    <row r="142" spans="1:49" s="31" customFormat="1" ht="29.25" customHeight="1">
      <c r="A142" s="498"/>
      <c r="B142" s="63" t="s">
        <v>213</v>
      </c>
      <c r="C142" s="539" t="s">
        <v>161</v>
      </c>
      <c r="D142" s="540"/>
      <c r="E142" s="540"/>
      <c r="F142" s="540"/>
      <c r="G142" s="540"/>
      <c r="H142" s="541"/>
      <c r="I142" s="541" t="s">
        <v>325</v>
      </c>
      <c r="J142" s="542" t="s">
        <v>183</v>
      </c>
      <c r="K142" s="541" t="s">
        <v>162</v>
      </c>
      <c r="L142" s="541"/>
      <c r="M142" s="543">
        <f>1850+580+820</f>
        <v>3250</v>
      </c>
      <c r="N142" s="543">
        <f>3197+1012+1399</f>
        <v>5608</v>
      </c>
      <c r="O142" s="445">
        <f aca="true" t="shared" si="12" ref="O142:O147">M142+N142</f>
        <v>8858</v>
      </c>
      <c r="P142" s="547">
        <f>(49856059/17792)+(158126/17826)+(6082531/17877)+(20160818/17826)+(22653400/17826)+(9254470+9113700)/17877</f>
        <v>6580.53538976941</v>
      </c>
      <c r="Q142" s="547"/>
      <c r="R142" s="431">
        <f>P142+Q142</f>
        <v>6580.53538976941</v>
      </c>
      <c r="S142" s="218" t="e">
        <f>#REF!+#REF!+#REF!</f>
        <v>#REF!</v>
      </c>
      <c r="T142" s="218" t="e">
        <f>#REF!+#REF!+#REF!</f>
        <v>#REF!</v>
      </c>
      <c r="U142" s="218" t="e">
        <f t="shared" si="11"/>
        <v>#REF!</v>
      </c>
      <c r="V142" s="544" t="s">
        <v>359</v>
      </c>
      <c r="W142" s="473">
        <f aca="true" t="shared" si="13" ref="W142:X145">M142-P142</f>
        <v>-3330.5353897694104</v>
      </c>
      <c r="X142" s="477">
        <f t="shared" si="13"/>
        <v>5608</v>
      </c>
      <c r="Y142" s="478">
        <f>W142+X142</f>
        <v>2277.4646102305896</v>
      </c>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row>
    <row r="143" spans="1:49" s="1" customFormat="1" ht="30.75" customHeight="1" thickBot="1">
      <c r="A143" s="322"/>
      <c r="B143" s="30"/>
      <c r="C143" s="80" t="s">
        <v>320</v>
      </c>
      <c r="D143" s="52"/>
      <c r="E143" s="140" t="s">
        <v>176</v>
      </c>
      <c r="F143" s="140" t="s">
        <v>176</v>
      </c>
      <c r="G143" s="140" t="s">
        <v>176</v>
      </c>
      <c r="H143" s="135"/>
      <c r="I143" s="53"/>
      <c r="J143" s="53"/>
      <c r="K143" s="92"/>
      <c r="L143" s="92"/>
      <c r="M143" s="442"/>
      <c r="N143" s="442"/>
      <c r="O143" s="445">
        <f t="shared" si="12"/>
        <v>0</v>
      </c>
      <c r="P143" s="92"/>
      <c r="Q143" s="92"/>
      <c r="R143" s="431">
        <f>P143+Q143</f>
        <v>0</v>
      </c>
      <c r="S143" s="207"/>
      <c r="T143" s="207"/>
      <c r="U143" s="91">
        <f t="shared" si="11"/>
        <v>0</v>
      </c>
      <c r="V143" s="323"/>
      <c r="W143" s="473">
        <f t="shared" si="13"/>
        <v>0</v>
      </c>
      <c r="X143" s="477">
        <f t="shared" si="13"/>
        <v>0</v>
      </c>
      <c r="Y143" s="478">
        <f>W143+X143</f>
        <v>0</v>
      </c>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row>
    <row r="144" spans="1:49" s="143" customFormat="1" ht="27.75" customHeight="1" thickBot="1">
      <c r="A144" s="324"/>
      <c r="B144" s="223"/>
      <c r="C144" s="106" t="s">
        <v>193</v>
      </c>
      <c r="D144" s="64" t="s">
        <v>152</v>
      </c>
      <c r="E144" s="64"/>
      <c r="F144" s="64"/>
      <c r="G144" s="64"/>
      <c r="H144" s="159"/>
      <c r="I144" s="107"/>
      <c r="J144" s="107"/>
      <c r="K144" s="65"/>
      <c r="L144" s="65"/>
      <c r="M144" s="160">
        <f>M16+M28+M69+M80+M90+M98+M105+M115+M127+M133+M134</f>
        <v>695711</v>
      </c>
      <c r="N144" s="160">
        <v>1068304</v>
      </c>
      <c r="O144" s="160">
        <f t="shared" si="12"/>
        <v>1764015</v>
      </c>
      <c r="P144" s="160">
        <f>P16+P28+P69+P80+P90+P98+P105+P115+P127+P133+P134</f>
        <v>399679.27548539254</v>
      </c>
      <c r="Q144" s="160">
        <f>Q16+Q28+Q69+Q80+Q90+Q98+Q105+Q115+Q127+Q133+Q134</f>
        <v>115399</v>
      </c>
      <c r="R144" s="443">
        <f>P144+Q144</f>
        <v>515078.27548539254</v>
      </c>
      <c r="S144" s="160" t="e">
        <f>S16+S28+S69+S80+S90+S98+S105+S115+S127+S133+S134</f>
        <v>#REF!</v>
      </c>
      <c r="T144" s="160" t="e">
        <f>T16+T28+T69+T80+T90+T98+T105+T115+T127+T133+T134</f>
        <v>#REF!</v>
      </c>
      <c r="U144" s="160" t="e">
        <f t="shared" si="11"/>
        <v>#REF!</v>
      </c>
      <c r="V144" s="325"/>
      <c r="W144" s="569">
        <f t="shared" si="13"/>
        <v>296031.72451460746</v>
      </c>
      <c r="X144" s="570">
        <f t="shared" si="13"/>
        <v>952905</v>
      </c>
      <c r="Y144" s="571">
        <f>W144+X144</f>
        <v>1248936.7245146073</v>
      </c>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row>
    <row r="145" spans="1:49" s="144" customFormat="1" ht="29.25" customHeight="1" thickBot="1">
      <c r="A145" s="326"/>
      <c r="B145" s="224"/>
      <c r="C145" s="95" t="s">
        <v>194</v>
      </c>
      <c r="D145" s="112"/>
      <c r="E145" s="112"/>
      <c r="F145" s="112"/>
      <c r="G145" s="112"/>
      <c r="H145" s="78"/>
      <c r="I145" s="114"/>
      <c r="J145" s="73"/>
      <c r="K145" s="114"/>
      <c r="L145" s="114"/>
      <c r="M145" s="174">
        <f>M144*7%</f>
        <v>48699.770000000004</v>
      </c>
      <c r="N145" s="174">
        <f>N144*7%</f>
        <v>74781.28000000001</v>
      </c>
      <c r="O145" s="174">
        <f t="shared" si="12"/>
        <v>123481.05000000002</v>
      </c>
      <c r="P145" s="174">
        <f>P144*7%</f>
        <v>27977.54928397748</v>
      </c>
      <c r="Q145" s="174">
        <f>Q144*7%</f>
        <v>8077.930000000001</v>
      </c>
      <c r="R145" s="443">
        <f>P145+Q145</f>
        <v>36055.47928397748</v>
      </c>
      <c r="S145" s="174" t="e">
        <f>S144*7%</f>
        <v>#REF!</v>
      </c>
      <c r="T145" s="174" t="e">
        <f>T144*7%</f>
        <v>#REF!</v>
      </c>
      <c r="U145" s="174" t="e">
        <f>U144*7%</f>
        <v>#REF!</v>
      </c>
      <c r="V145" s="295"/>
      <c r="W145" s="174">
        <f>W144*7%</f>
        <v>20722.220716022523</v>
      </c>
      <c r="X145" s="570">
        <f t="shared" si="13"/>
        <v>66703.35</v>
      </c>
      <c r="Y145" s="174">
        <f>Y144*7%</f>
        <v>87425.57071602253</v>
      </c>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row>
    <row r="146" spans="1:49" s="144" customFormat="1" ht="27" customHeight="1" thickBot="1">
      <c r="A146" s="327"/>
      <c r="B146" s="158"/>
      <c r="C146" s="171" t="s">
        <v>195</v>
      </c>
      <c r="D146" s="175"/>
      <c r="E146" s="175"/>
      <c r="F146" s="175"/>
      <c r="G146" s="175"/>
      <c r="H146" s="188"/>
      <c r="I146" s="172"/>
      <c r="J146" s="172"/>
      <c r="K146" s="202"/>
      <c r="L146" s="202"/>
      <c r="M146" s="176">
        <f>SUM(M144:M145)</f>
        <v>744410.77</v>
      </c>
      <c r="N146" s="176">
        <f>SUM(N144:N145)</f>
        <v>1143085.28</v>
      </c>
      <c r="O146" s="176">
        <f t="shared" si="12"/>
        <v>1887496.05</v>
      </c>
      <c r="P146" s="202"/>
      <c r="Q146" s="202"/>
      <c r="R146" s="443">
        <f>P146+Q146</f>
        <v>0</v>
      </c>
      <c r="S146" s="173" t="e">
        <f>SUM(S144:S145)</f>
        <v>#REF!</v>
      </c>
      <c r="T146" s="176" t="e">
        <f>SUM(T144:T145)</f>
        <v>#REF!</v>
      </c>
      <c r="U146" s="177" t="e">
        <f>SUM(S146:T146)</f>
        <v>#REF!</v>
      </c>
      <c r="V146" s="328"/>
      <c r="W146" s="569">
        <f>SUM(W144:W145)</f>
        <v>316753.94523063</v>
      </c>
      <c r="X146" s="570">
        <f>X144+X145</f>
        <v>1019608.35</v>
      </c>
      <c r="Y146" s="571">
        <f>W146+X146</f>
        <v>1336362.2952306299</v>
      </c>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row>
    <row r="147" spans="1:49" s="144" customFormat="1" ht="21" customHeight="1" thickBot="1">
      <c r="A147" s="329"/>
      <c r="B147" s="145"/>
      <c r="C147" s="146"/>
      <c r="D147" s="147"/>
      <c r="E147" s="147"/>
      <c r="F147" s="147"/>
      <c r="G147" s="147"/>
      <c r="H147" s="189"/>
      <c r="I147" s="182"/>
      <c r="J147" s="182"/>
      <c r="K147" s="203"/>
      <c r="L147" s="203"/>
      <c r="M147" s="587">
        <f>M16+M28+M69+M80+M90+M98+M105+M115+M127+M133+M134</f>
        <v>695711</v>
      </c>
      <c r="N147" s="587"/>
      <c r="O147" s="588">
        <f t="shared" si="12"/>
        <v>695711</v>
      </c>
      <c r="P147" s="587"/>
      <c r="Q147" s="587"/>
      <c r="R147" s="587"/>
      <c r="S147" s="589"/>
      <c r="T147" s="590"/>
      <c r="U147" s="591"/>
      <c r="V147" s="592"/>
      <c r="W147" s="587"/>
      <c r="X147" s="587"/>
      <c r="Y147" s="587"/>
      <c r="Z147" s="54"/>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row>
    <row r="148" spans="1:49" s="31" customFormat="1" ht="25.5" customHeight="1">
      <c r="A148" s="330"/>
      <c r="B148" s="32"/>
      <c r="C148" s="33"/>
      <c r="D148" s="34"/>
      <c r="E148" s="34"/>
      <c r="F148" s="34"/>
      <c r="G148" s="34"/>
      <c r="H148" s="190"/>
      <c r="I148" s="183"/>
      <c r="J148" s="183"/>
      <c r="K148" s="204"/>
      <c r="L148" s="204"/>
      <c r="M148" s="204"/>
      <c r="N148" s="204"/>
      <c r="O148" s="204"/>
      <c r="P148" s="204"/>
      <c r="Q148" s="204"/>
      <c r="R148" s="204"/>
      <c r="S148" s="417" t="s">
        <v>147</v>
      </c>
      <c r="T148" s="417"/>
      <c r="U148" s="418" t="s">
        <v>148</v>
      </c>
      <c r="V148" s="420" t="s">
        <v>145</v>
      </c>
      <c r="W148" s="204"/>
      <c r="X148" s="204"/>
      <c r="Y148" s="204"/>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row>
    <row r="149" spans="1:49" s="31" customFormat="1" ht="36" customHeight="1" thickBot="1">
      <c r="A149" s="331"/>
      <c r="B149" s="35"/>
      <c r="C149" s="36"/>
      <c r="D149" s="37"/>
      <c r="E149" s="37"/>
      <c r="F149" s="37"/>
      <c r="G149" s="37"/>
      <c r="H149" s="191"/>
      <c r="I149" s="184"/>
      <c r="J149" s="184"/>
      <c r="K149" s="205"/>
      <c r="L149" s="205"/>
      <c r="M149" s="205"/>
      <c r="N149" s="205"/>
      <c r="O149" s="205"/>
      <c r="P149" s="205"/>
      <c r="Q149" s="205"/>
      <c r="R149" s="205"/>
      <c r="S149" s="38" t="s">
        <v>144</v>
      </c>
      <c r="T149" s="38" t="s">
        <v>184</v>
      </c>
      <c r="U149" s="419"/>
      <c r="V149" s="421"/>
      <c r="W149" s="228"/>
      <c r="X149" s="228"/>
      <c r="Y149" s="205"/>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row>
    <row r="150" spans="1:49" s="12" customFormat="1" ht="33.75" customHeight="1">
      <c r="A150" s="332"/>
      <c r="B150" s="46"/>
      <c r="C150" s="27" t="s">
        <v>197</v>
      </c>
      <c r="D150" s="167"/>
      <c r="E150" s="167"/>
      <c r="F150" s="167"/>
      <c r="G150" s="167"/>
      <c r="H150" s="168"/>
      <c r="I150" s="169"/>
      <c r="J150" s="169"/>
      <c r="K150" s="170"/>
      <c r="L150" s="170"/>
      <c r="M150" s="603">
        <f>M13+M19+M46+M73+M75+M77</f>
        <v>152084</v>
      </c>
      <c r="N150" s="170">
        <f>N13+N19+N46+N73+N75+N77</f>
        <v>155894</v>
      </c>
      <c r="O150" s="170"/>
      <c r="P150" s="603">
        <f>P13+P19+P46+P73+P75+P77</f>
        <v>44488.76767288427</v>
      </c>
      <c r="Q150" s="170">
        <f>Q13+Q19+Q46+Q73+Q75+Q77</f>
        <v>68541</v>
      </c>
      <c r="R150" s="170"/>
      <c r="S150" s="208" t="e">
        <f>#REF!</f>
        <v>#REF!</v>
      </c>
      <c r="T150" s="39" t="e">
        <f>#REF!</f>
        <v>#REF!</v>
      </c>
      <c r="U150" s="82" t="e">
        <f>SUM(T150)*7%</f>
        <v>#REF!</v>
      </c>
      <c r="V150" s="606" t="e">
        <f>SUM(T150:U150)</f>
        <v>#REF!</v>
      </c>
      <c r="W150" s="610">
        <f aca="true" t="shared" si="14" ref="W150:W159">M150-P150</f>
        <v>107595.23232711572</v>
      </c>
      <c r="X150" s="611">
        <f aca="true" t="shared" si="15" ref="X150:X159">N150-Q150</f>
        <v>87353</v>
      </c>
      <c r="Y150" s="170"/>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row>
    <row r="151" spans="1:49" s="12" customFormat="1" ht="33.75" customHeight="1">
      <c r="A151" s="333"/>
      <c r="B151" s="45"/>
      <c r="C151" s="47" t="s">
        <v>198</v>
      </c>
      <c r="D151" s="48"/>
      <c r="E151" s="48"/>
      <c r="F151" s="48"/>
      <c r="G151" s="48"/>
      <c r="H151" s="192"/>
      <c r="I151" s="166"/>
      <c r="J151" s="185"/>
      <c r="K151" s="166"/>
      <c r="L151" s="166"/>
      <c r="M151" s="604">
        <f>M25+M27+M102+M118</f>
        <v>90000</v>
      </c>
      <c r="N151" s="166">
        <f>N25+N27+N102+N118</f>
        <v>125000</v>
      </c>
      <c r="O151" s="166"/>
      <c r="P151" s="604">
        <f>P25+P27+P102+P118</f>
        <v>1047.1556189517257</v>
      </c>
      <c r="Q151" s="166">
        <f>Q25+Q27+Q102+Q118</f>
        <v>73500</v>
      </c>
      <c r="R151" s="166"/>
      <c r="S151" s="209" t="e">
        <f>#REF!+#REF!+#REF!</f>
        <v>#REF!</v>
      </c>
      <c r="T151" s="49" t="e">
        <f>#REF!+#REF!+#REF!</f>
        <v>#REF!</v>
      </c>
      <c r="U151" s="49" t="e">
        <f aca="true" t="shared" si="16" ref="U151:U161">SUM(T151)*7%</f>
        <v>#REF!</v>
      </c>
      <c r="V151" s="607" t="e">
        <f aca="true" t="shared" si="17" ref="V151:V161">SUM(T151:U151)</f>
        <v>#REF!</v>
      </c>
      <c r="W151" s="610">
        <f t="shared" si="14"/>
        <v>88952.84438104827</v>
      </c>
      <c r="X151" s="611">
        <f t="shared" si="15"/>
        <v>51500</v>
      </c>
      <c r="Y151" s="166"/>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row>
    <row r="152" spans="1:49" s="12" customFormat="1" ht="33.75" customHeight="1">
      <c r="A152" s="333"/>
      <c r="B152" s="45"/>
      <c r="C152" s="19" t="s">
        <v>199</v>
      </c>
      <c r="D152" s="21"/>
      <c r="E152" s="21"/>
      <c r="F152" s="44"/>
      <c r="G152" s="21"/>
      <c r="H152" s="193"/>
      <c r="I152" s="83"/>
      <c r="J152" s="83"/>
      <c r="K152" s="22"/>
      <c r="L152" s="22"/>
      <c r="M152" s="605">
        <f>M50+M52+M54+M85+M89+M108+M112</f>
        <v>51975</v>
      </c>
      <c r="N152" s="22">
        <f>N50+N52+N54+N85+N89+N108+N112</f>
        <v>116026</v>
      </c>
      <c r="O152" s="22"/>
      <c r="P152" s="605">
        <f>P50+P52+P54+P85+P89+P108+P112</f>
        <v>18181.45944953103</v>
      </c>
      <c r="Q152" s="22">
        <f>Q50+Q52+Q54+Q85+Q89+Q108+Q112</f>
        <v>0</v>
      </c>
      <c r="R152" s="22"/>
      <c r="S152" s="210" t="e">
        <f>#REF!+#REF!</f>
        <v>#REF!</v>
      </c>
      <c r="T152" s="23" t="e">
        <f>#REF!+#REF!</f>
        <v>#REF!</v>
      </c>
      <c r="U152" s="20" t="e">
        <f t="shared" si="16"/>
        <v>#REF!</v>
      </c>
      <c r="V152" s="608" t="e">
        <f t="shared" si="17"/>
        <v>#REF!</v>
      </c>
      <c r="W152" s="610">
        <f t="shared" si="14"/>
        <v>33793.54055046897</v>
      </c>
      <c r="X152" s="611">
        <f t="shared" si="15"/>
        <v>116026</v>
      </c>
      <c r="Y152" s="22"/>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row>
    <row r="153" spans="1:49" s="12" customFormat="1" ht="33.75" customHeight="1">
      <c r="A153" s="335"/>
      <c r="B153" s="247"/>
      <c r="C153" s="19" t="s">
        <v>201</v>
      </c>
      <c r="D153" s="21"/>
      <c r="E153" s="21"/>
      <c r="F153" s="21"/>
      <c r="G153" s="21"/>
      <c r="H153" s="193"/>
      <c r="I153" s="83"/>
      <c r="J153" s="83"/>
      <c r="K153" s="22"/>
      <c r="L153" s="22"/>
      <c r="M153" s="605">
        <f>M64+M66+M68</f>
        <v>35000</v>
      </c>
      <c r="N153" s="22">
        <f>N64+N66+N68</f>
        <v>68140</v>
      </c>
      <c r="O153" s="22"/>
      <c r="P153" s="605">
        <f>P64+P66+P68</f>
        <v>22471.799686748338</v>
      </c>
      <c r="Q153" s="22">
        <f>Q64+Q66+Q68</f>
        <v>63174</v>
      </c>
      <c r="R153" s="22"/>
      <c r="S153" s="211" t="e">
        <f>#REF!</f>
        <v>#REF!</v>
      </c>
      <c r="T153" s="20" t="e">
        <f>#REF!</f>
        <v>#REF!</v>
      </c>
      <c r="U153" s="20" t="e">
        <f t="shared" si="16"/>
        <v>#REF!</v>
      </c>
      <c r="V153" s="608" t="e">
        <f t="shared" si="17"/>
        <v>#REF!</v>
      </c>
      <c r="W153" s="610">
        <f t="shared" si="14"/>
        <v>12528.200313251662</v>
      </c>
      <c r="X153" s="611">
        <f t="shared" si="15"/>
        <v>4966</v>
      </c>
      <c r="Y153" s="22"/>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row>
    <row r="154" spans="1:49" s="12" customFormat="1" ht="33.75" customHeight="1">
      <c r="A154" s="333"/>
      <c r="B154" s="45"/>
      <c r="C154" s="19" t="s">
        <v>208</v>
      </c>
      <c r="D154" s="21"/>
      <c r="E154" s="21"/>
      <c r="F154" s="21"/>
      <c r="G154" s="21"/>
      <c r="H154" s="193"/>
      <c r="I154" s="83"/>
      <c r="J154" s="83"/>
      <c r="K154" s="22"/>
      <c r="L154" s="22"/>
      <c r="M154" s="605">
        <f>M44</f>
        <v>11250</v>
      </c>
      <c r="N154" s="22">
        <f>N44</f>
        <v>2799</v>
      </c>
      <c r="O154" s="22"/>
      <c r="P154" s="605">
        <f>P44</f>
        <v>6151.462379986266</v>
      </c>
      <c r="Q154" s="22">
        <f>Q44</f>
        <v>0</v>
      </c>
      <c r="R154" s="22"/>
      <c r="S154" s="211" t="e">
        <f>#REF!+#REF!</f>
        <v>#REF!</v>
      </c>
      <c r="T154" s="20" t="e">
        <f>#REF!+#REF!</f>
        <v>#REF!</v>
      </c>
      <c r="U154" s="20" t="e">
        <f t="shared" si="16"/>
        <v>#REF!</v>
      </c>
      <c r="V154" s="608" t="e">
        <f t="shared" si="17"/>
        <v>#REF!</v>
      </c>
      <c r="W154" s="610">
        <f t="shared" si="14"/>
        <v>5098.537620013734</v>
      </c>
      <c r="X154" s="611">
        <f t="shared" si="15"/>
        <v>2799</v>
      </c>
      <c r="Y154" s="22"/>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row>
    <row r="155" spans="1:49" s="12" customFormat="1" ht="33.75" customHeight="1">
      <c r="A155" s="333"/>
      <c r="B155" s="45"/>
      <c r="C155" s="19" t="s">
        <v>200</v>
      </c>
      <c r="D155" s="21"/>
      <c r="E155" s="21"/>
      <c r="F155" s="21"/>
      <c r="G155" s="21"/>
      <c r="H155" s="193"/>
      <c r="I155" s="22"/>
      <c r="J155" s="83"/>
      <c r="K155" s="22"/>
      <c r="L155" s="22"/>
      <c r="M155" s="605">
        <f>M83+M87</f>
        <v>0</v>
      </c>
      <c r="N155" s="22">
        <f>N83+N87</f>
        <v>103313</v>
      </c>
      <c r="O155" s="22"/>
      <c r="P155" s="605">
        <f>P83+P87</f>
        <v>0</v>
      </c>
      <c r="Q155" s="22">
        <f>Q83+Q87</f>
        <v>0</v>
      </c>
      <c r="R155" s="22"/>
      <c r="S155" s="211" t="e">
        <f>S83+S87</f>
        <v>#REF!</v>
      </c>
      <c r="T155" s="20" t="e">
        <f>#REF!</f>
        <v>#REF!</v>
      </c>
      <c r="U155" s="20" t="e">
        <f t="shared" si="16"/>
        <v>#REF!</v>
      </c>
      <c r="V155" s="608" t="e">
        <f t="shared" si="17"/>
        <v>#REF!</v>
      </c>
      <c r="W155" s="610">
        <f t="shared" si="14"/>
        <v>0</v>
      </c>
      <c r="X155" s="611">
        <f t="shared" si="15"/>
        <v>103313</v>
      </c>
      <c r="Y155" s="22"/>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row>
    <row r="156" spans="1:49" s="12" customFormat="1" ht="33.75" customHeight="1">
      <c r="A156" s="333"/>
      <c r="B156" s="45"/>
      <c r="C156" s="19" t="s">
        <v>196</v>
      </c>
      <c r="D156" s="21"/>
      <c r="E156" s="21"/>
      <c r="F156" s="44"/>
      <c r="G156" s="21"/>
      <c r="H156" s="193"/>
      <c r="I156" s="83"/>
      <c r="J156" s="83"/>
      <c r="K156" s="22"/>
      <c r="L156" s="22"/>
      <c r="M156" s="605">
        <f>M79+M120+M122+M124</f>
        <v>29906</v>
      </c>
      <c r="N156" s="22">
        <f>N79+N120+N122+N124</f>
        <v>9348</v>
      </c>
      <c r="O156" s="22"/>
      <c r="P156" s="605">
        <f>P79+P120+P122+P124</f>
        <v>8009.22391900207</v>
      </c>
      <c r="Q156" s="22">
        <f>Q79+Q120+Q122+Q124</f>
        <v>0</v>
      </c>
      <c r="R156" s="22"/>
      <c r="S156" s="210" t="e">
        <f>#REF!+#REF!+#REF!</f>
        <v>#REF!</v>
      </c>
      <c r="T156" s="23" t="e">
        <f>#REF!+#REF!+#REF!</f>
        <v>#REF!</v>
      </c>
      <c r="U156" s="20" t="e">
        <f t="shared" si="16"/>
        <v>#REF!</v>
      </c>
      <c r="V156" s="608" t="e">
        <f t="shared" si="17"/>
        <v>#REF!</v>
      </c>
      <c r="W156" s="610">
        <f t="shared" si="14"/>
        <v>21896.77608099793</v>
      </c>
      <c r="X156" s="611">
        <f t="shared" si="15"/>
        <v>9348</v>
      </c>
      <c r="Y156" s="22"/>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row>
    <row r="157" spans="1:49" s="12" customFormat="1" ht="33.75" customHeight="1">
      <c r="A157" s="333"/>
      <c r="B157" s="45"/>
      <c r="C157" s="19" t="s">
        <v>421</v>
      </c>
      <c r="D157" s="21"/>
      <c r="E157" s="21"/>
      <c r="F157" s="44"/>
      <c r="G157" s="21"/>
      <c r="H157" s="193"/>
      <c r="I157" s="83"/>
      <c r="J157" s="83"/>
      <c r="K157" s="22"/>
      <c r="L157" s="22"/>
      <c r="M157" s="605">
        <f>M47+M110</f>
        <v>0</v>
      </c>
      <c r="N157" s="22">
        <f>N47+N110</f>
        <v>42056</v>
      </c>
      <c r="O157" s="22"/>
      <c r="P157" s="605">
        <f>P47+P110</f>
        <v>0</v>
      </c>
      <c r="Q157" s="22">
        <f>Q47+Q110</f>
        <v>13038</v>
      </c>
      <c r="R157" s="22"/>
      <c r="S157" s="210" t="e">
        <f>#REF!+#REF!</f>
        <v>#REF!</v>
      </c>
      <c r="T157" s="23" t="e">
        <f>#REF!+#REF!</f>
        <v>#REF!</v>
      </c>
      <c r="U157" s="20" t="e">
        <f t="shared" si="16"/>
        <v>#REF!</v>
      </c>
      <c r="V157" s="608" t="e">
        <f t="shared" si="17"/>
        <v>#REF!</v>
      </c>
      <c r="W157" s="610">
        <f t="shared" si="14"/>
        <v>0</v>
      </c>
      <c r="X157" s="611">
        <f t="shared" si="15"/>
        <v>29018</v>
      </c>
      <c r="Y157" s="22"/>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row>
    <row r="158" spans="1:49" s="12" customFormat="1" ht="33.75" customHeight="1">
      <c r="A158" s="333"/>
      <c r="B158" s="45"/>
      <c r="C158" s="19" t="s">
        <v>360</v>
      </c>
      <c r="D158" s="21"/>
      <c r="E158" s="21"/>
      <c r="F158" s="44"/>
      <c r="G158" s="21"/>
      <c r="H158" s="193"/>
      <c r="I158" s="83"/>
      <c r="J158" s="83"/>
      <c r="K158" s="22"/>
      <c r="L158" s="22"/>
      <c r="M158" s="605">
        <f>M56+M104</f>
        <v>93346</v>
      </c>
      <c r="N158" s="22">
        <f>N56+N104</f>
        <v>112250</v>
      </c>
      <c r="O158" s="22"/>
      <c r="P158" s="605">
        <f>P56+P104</f>
        <v>206661.59920568328</v>
      </c>
      <c r="Q158" s="22">
        <f>Q56+Q104</f>
        <v>0</v>
      </c>
      <c r="R158" s="22"/>
      <c r="S158" s="23" t="e">
        <f>#REF!+#REF!</f>
        <v>#REF!</v>
      </c>
      <c r="T158" s="23" t="e">
        <f>#REF!+#REF!</f>
        <v>#REF!</v>
      </c>
      <c r="U158" s="20" t="e">
        <f t="shared" si="16"/>
        <v>#REF!</v>
      </c>
      <c r="V158" s="608" t="e">
        <f t="shared" si="17"/>
        <v>#REF!</v>
      </c>
      <c r="W158" s="610">
        <f t="shared" si="14"/>
        <v>-113315.59920568328</v>
      </c>
      <c r="X158" s="611">
        <f t="shared" si="15"/>
        <v>112250</v>
      </c>
      <c r="Y158" s="22"/>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row>
    <row r="159" spans="1:49" s="12" customFormat="1" ht="33.75" customHeight="1">
      <c r="A159" s="333"/>
      <c r="B159" s="45"/>
      <c r="C159" s="19" t="s">
        <v>361</v>
      </c>
      <c r="D159" s="21"/>
      <c r="E159" s="21"/>
      <c r="F159" s="44"/>
      <c r="G159" s="21"/>
      <c r="H159" s="193"/>
      <c r="I159" s="83"/>
      <c r="J159" s="83"/>
      <c r="K159" s="22"/>
      <c r="L159" s="22"/>
      <c r="M159" s="605">
        <f>M60+M62</f>
        <v>0</v>
      </c>
      <c r="N159" s="22">
        <f>N60+N62</f>
        <v>159405</v>
      </c>
      <c r="O159" s="22"/>
      <c r="P159" s="605">
        <f>P60+P62</f>
        <v>0</v>
      </c>
      <c r="Q159" s="22">
        <f>Q60+Q62</f>
        <v>13257</v>
      </c>
      <c r="R159" s="22"/>
      <c r="S159" s="210" t="e">
        <f>#REF!</f>
        <v>#REF!</v>
      </c>
      <c r="T159" s="23" t="e">
        <f>#REF!</f>
        <v>#REF!</v>
      </c>
      <c r="U159" s="20" t="e">
        <f t="shared" si="16"/>
        <v>#REF!</v>
      </c>
      <c r="V159" s="334" t="e">
        <f t="shared" si="17"/>
        <v>#REF!</v>
      </c>
      <c r="W159" s="609">
        <f t="shared" si="14"/>
        <v>0</v>
      </c>
      <c r="X159" s="609">
        <f t="shared" si="15"/>
        <v>146148</v>
      </c>
      <c r="Y159" s="22"/>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row>
    <row r="160" spans="1:49" s="12" customFormat="1" ht="33.75" customHeight="1">
      <c r="A160" s="333"/>
      <c r="B160" s="45"/>
      <c r="C160" s="136" t="s">
        <v>422</v>
      </c>
      <c r="D160" s="21"/>
      <c r="E160" s="21"/>
      <c r="F160" s="44"/>
      <c r="G160" s="21"/>
      <c r="H160" s="193"/>
      <c r="I160" s="83"/>
      <c r="J160" s="83"/>
      <c r="K160" s="22"/>
      <c r="L160" s="22"/>
      <c r="M160" s="22"/>
      <c r="N160" s="22">
        <f>SUM(N150:N159)</f>
        <v>894231</v>
      </c>
      <c r="O160" s="22"/>
      <c r="P160" s="22">
        <f>SUM(P150:P159)</f>
        <v>307011.46793278697</v>
      </c>
      <c r="Q160" s="22">
        <f>SUM(Q150:Q159)</f>
        <v>231510</v>
      </c>
      <c r="R160" s="22"/>
      <c r="S160" s="210" t="e">
        <f>SUM(S150:S159)</f>
        <v>#REF!</v>
      </c>
      <c r="T160" s="23" t="e">
        <f>SUM(T150:T159)</f>
        <v>#REF!</v>
      </c>
      <c r="U160" s="20" t="e">
        <f t="shared" si="16"/>
        <v>#REF!</v>
      </c>
      <c r="V160" s="334" t="e">
        <f t="shared" si="17"/>
        <v>#REF!</v>
      </c>
      <c r="W160" s="22">
        <f>SUM(W150:W159)</f>
        <v>156549.53206721303</v>
      </c>
      <c r="X160" s="22">
        <f>SUM(X150:X159)</f>
        <v>662721</v>
      </c>
      <c r="Y160" s="22"/>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row>
    <row r="161" spans="1:49" s="12" customFormat="1" ht="46.5" customHeight="1">
      <c r="A161" s="333"/>
      <c r="B161" s="45"/>
      <c r="C161" s="84" t="s">
        <v>426</v>
      </c>
      <c r="D161" s="85"/>
      <c r="E161" s="85"/>
      <c r="F161" s="85"/>
      <c r="G161" s="85"/>
      <c r="H161" s="231"/>
      <c r="I161" s="88"/>
      <c r="J161" s="215"/>
      <c r="K161" s="88"/>
      <c r="L161" s="88"/>
      <c r="M161" s="88"/>
      <c r="N161" s="88"/>
      <c r="O161" s="88"/>
      <c r="P161" s="88"/>
      <c r="Q161" s="88"/>
      <c r="R161" s="88"/>
      <c r="S161" s="108" t="e">
        <f>#REF!+#REF!+#REF!</f>
        <v>#REF!</v>
      </c>
      <c r="T161" s="108" t="e">
        <f>#REF!+#REF!+#REF!</f>
        <v>#REF!</v>
      </c>
      <c r="U161" s="108" t="e">
        <f t="shared" si="16"/>
        <v>#REF!</v>
      </c>
      <c r="V161" s="336" t="e">
        <f t="shared" si="17"/>
        <v>#REF!</v>
      </c>
      <c r="W161" s="88"/>
      <c r="X161" s="88"/>
      <c r="Y161" s="88"/>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row>
    <row r="162" spans="1:49" s="12" customFormat="1" ht="49.5" customHeight="1">
      <c r="A162" s="333"/>
      <c r="B162" s="45"/>
      <c r="C162" s="104" t="s">
        <v>427</v>
      </c>
      <c r="D162" s="24"/>
      <c r="E162" s="24"/>
      <c r="F162" s="24"/>
      <c r="G162" s="24"/>
      <c r="H162" s="232"/>
      <c r="I162" s="217"/>
      <c r="J162" s="216"/>
      <c r="K162" s="25"/>
      <c r="L162" s="25"/>
      <c r="M162" s="25"/>
      <c r="N162" s="25"/>
      <c r="O162" s="25"/>
      <c r="P162" s="25"/>
      <c r="Q162" s="25"/>
      <c r="R162" s="25"/>
      <c r="S162" s="26" t="e">
        <f>#REF!+#REF!+#REF!</f>
        <v>#REF!</v>
      </c>
      <c r="T162" s="26"/>
      <c r="U162" s="55" t="e">
        <f>SUM(S162)*7%</f>
        <v>#REF!</v>
      </c>
      <c r="V162" s="337" t="e">
        <f>SUM(S162:U162)</f>
        <v>#REF!</v>
      </c>
      <c r="W162" s="25"/>
      <c r="X162" s="25"/>
      <c r="Y162" s="25"/>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row>
    <row r="163" spans="1:49" s="6" customFormat="1" ht="51" customHeight="1" thickBot="1">
      <c r="A163" s="338"/>
      <c r="B163" s="93"/>
      <c r="C163" s="233" t="s">
        <v>362</v>
      </c>
      <c r="D163" s="246"/>
      <c r="E163" s="246"/>
      <c r="F163" s="246"/>
      <c r="G163" s="246"/>
      <c r="H163" s="233"/>
      <c r="I163" s="234"/>
      <c r="J163" s="234"/>
      <c r="K163" s="235"/>
      <c r="L163" s="235"/>
      <c r="M163" s="235"/>
      <c r="N163" s="235"/>
      <c r="O163" s="235"/>
      <c r="P163" s="235"/>
      <c r="Q163" s="235"/>
      <c r="R163" s="235"/>
      <c r="S163" s="258" t="e">
        <f>S162</f>
        <v>#REF!</v>
      </c>
      <c r="T163" s="258" t="e">
        <f>T161</f>
        <v>#REF!</v>
      </c>
      <c r="U163" s="259" t="e">
        <f>SUM(S163:T163)*7%</f>
        <v>#REF!</v>
      </c>
      <c r="V163" s="337" t="e">
        <f>SUM(S163:U163)</f>
        <v>#REF!</v>
      </c>
      <c r="W163" s="235"/>
      <c r="X163" s="235"/>
      <c r="Y163" s="235"/>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row>
    <row r="164" spans="1:49" s="10" customFormat="1" ht="41.25" customHeight="1" thickBot="1" thickTop="1">
      <c r="A164" s="339"/>
      <c r="B164" s="236"/>
      <c r="C164" s="237" t="s">
        <v>146</v>
      </c>
      <c r="D164" s="238"/>
      <c r="E164" s="238"/>
      <c r="F164" s="238"/>
      <c r="G164" s="238"/>
      <c r="H164" s="239"/>
      <c r="I164" s="240"/>
      <c r="J164" s="241"/>
      <c r="K164" s="242"/>
      <c r="L164" s="242"/>
      <c r="M164" s="242"/>
      <c r="N164" s="242"/>
      <c r="O164" s="242"/>
      <c r="P164" s="242"/>
      <c r="Q164" s="242"/>
      <c r="R164" s="242"/>
      <c r="S164" s="243" t="e">
        <f>SUM(S162)</f>
        <v>#REF!</v>
      </c>
      <c r="T164" s="243" t="e">
        <f>SUM(T160:T161)</f>
        <v>#REF!</v>
      </c>
      <c r="U164" s="244" t="e">
        <f>SUM(S164:T164)*7%</f>
        <v>#REF!</v>
      </c>
      <c r="V164" s="340" t="e">
        <f>SUM(S164:U164)</f>
        <v>#REF!</v>
      </c>
      <c r="W164" s="242"/>
      <c r="X164" s="242"/>
      <c r="Y164" s="242"/>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row>
    <row r="165" spans="1:25" ht="15" customHeight="1" thickTop="1">
      <c r="A165" s="13"/>
      <c r="B165" s="13"/>
      <c r="C165" s="13"/>
      <c r="D165" s="17"/>
      <c r="E165" s="17"/>
      <c r="F165" s="17"/>
      <c r="G165" s="17"/>
      <c r="H165" s="194"/>
      <c r="I165" s="13"/>
      <c r="J165" s="13"/>
      <c r="K165" s="13"/>
      <c r="L165" s="13"/>
      <c r="M165" s="13"/>
      <c r="N165" s="13"/>
      <c r="O165" s="13"/>
      <c r="P165" s="13"/>
      <c r="Q165" s="13"/>
      <c r="R165" s="13"/>
      <c r="S165" s="14"/>
      <c r="T165" s="14"/>
      <c r="U165" s="214"/>
      <c r="V165" s="214"/>
      <c r="W165" s="13"/>
      <c r="X165" s="13"/>
      <c r="Y165" s="13"/>
    </row>
    <row r="166" spans="1:25" ht="30" customHeight="1">
      <c r="A166" s="13"/>
      <c r="B166" s="405" t="s">
        <v>202</v>
      </c>
      <c r="C166" s="405"/>
      <c r="D166" s="17"/>
      <c r="E166" s="17"/>
      <c r="F166" s="17"/>
      <c r="G166" s="17"/>
      <c r="H166" s="194"/>
      <c r="I166" s="13"/>
      <c r="J166" s="13"/>
      <c r="K166" s="13"/>
      <c r="L166" s="13"/>
      <c r="M166" s="13"/>
      <c r="N166" s="13"/>
      <c r="O166" s="13"/>
      <c r="P166" s="13"/>
      <c r="Q166" s="13"/>
      <c r="R166" s="13"/>
      <c r="S166" s="245"/>
      <c r="T166" s="245"/>
      <c r="U166" s="12"/>
      <c r="V166" s="12"/>
      <c r="W166" s="13"/>
      <c r="X166" s="13"/>
      <c r="Y166" s="13"/>
    </row>
    <row r="167" spans="1:25" ht="15" customHeight="1">
      <c r="A167" s="13"/>
      <c r="B167" s="90" t="s">
        <v>324</v>
      </c>
      <c r="C167" s="90"/>
      <c r="D167" s="17"/>
      <c r="E167" s="17"/>
      <c r="F167" s="17"/>
      <c r="G167" s="17"/>
      <c r="H167" s="194"/>
      <c r="I167" s="13"/>
      <c r="J167" s="13"/>
      <c r="K167" s="13"/>
      <c r="L167" s="13"/>
      <c r="M167" s="13"/>
      <c r="N167" s="13"/>
      <c r="O167" s="13"/>
      <c r="P167" s="13"/>
      <c r="Q167" s="13"/>
      <c r="R167" s="13"/>
      <c r="S167" s="4" t="s">
        <v>205</v>
      </c>
      <c r="T167" s="12"/>
      <c r="U167" s="10"/>
      <c r="W167" s="13"/>
      <c r="X167" s="13"/>
      <c r="Y167" s="13"/>
    </row>
    <row r="168" spans="1:25" ht="15">
      <c r="A168" s="13"/>
      <c r="B168" s="90"/>
      <c r="C168" s="90"/>
      <c r="D168" s="17"/>
      <c r="E168" s="17"/>
      <c r="F168" s="17"/>
      <c r="G168" s="17"/>
      <c r="H168" s="194"/>
      <c r="I168" s="13"/>
      <c r="J168" s="13"/>
      <c r="K168" s="13"/>
      <c r="L168" s="13"/>
      <c r="M168" s="13"/>
      <c r="N168" s="13"/>
      <c r="O168" s="13"/>
      <c r="P168" s="13"/>
      <c r="Q168" s="13"/>
      <c r="R168" s="13"/>
      <c r="T168" s="12"/>
      <c r="U168" s="10"/>
      <c r="W168" s="13"/>
      <c r="X168" s="13"/>
      <c r="Y168" s="13"/>
    </row>
    <row r="169" spans="1:25" ht="15">
      <c r="A169" s="13"/>
      <c r="B169" s="90"/>
      <c r="C169" s="90"/>
      <c r="D169" s="17"/>
      <c r="E169" s="17"/>
      <c r="F169" s="17"/>
      <c r="G169" s="17"/>
      <c r="H169" s="194"/>
      <c r="I169" s="13"/>
      <c r="J169" s="13"/>
      <c r="K169" s="13"/>
      <c r="L169" s="13"/>
      <c r="M169" s="13"/>
      <c r="N169" s="13"/>
      <c r="O169" s="13"/>
      <c r="P169" s="13"/>
      <c r="Q169" s="13"/>
      <c r="R169" s="13"/>
      <c r="T169" s="12"/>
      <c r="U169" s="10"/>
      <c r="W169" s="13"/>
      <c r="X169" s="13"/>
      <c r="Y169" s="13"/>
    </row>
    <row r="170" spans="2:3" ht="15">
      <c r="B170" s="54"/>
      <c r="C170" s="54"/>
    </row>
    <row r="171" spans="2:3" ht="15">
      <c r="B171" s="54"/>
      <c r="C171" s="54"/>
    </row>
    <row r="172" spans="2:22" ht="30" customHeight="1">
      <c r="B172" s="406" t="s">
        <v>314</v>
      </c>
      <c r="C172" s="406"/>
      <c r="N172" s="13"/>
      <c r="O172" s="75" t="s">
        <v>294</v>
      </c>
      <c r="P172" s="594">
        <f>(75507837/17826)+(107534620/17877)+(107534620/17877)+(48186863/17826)+(81033493/17877)+(38057082/17826)+(76594727/17877)</f>
        <v>29921.79963979146</v>
      </c>
      <c r="Q172" s="13"/>
      <c r="S172" s="407" t="s">
        <v>34</v>
      </c>
      <c r="T172" s="407"/>
      <c r="U172" s="10"/>
      <c r="V172" s="180"/>
    </row>
    <row r="173" spans="2:22" ht="32.25" customHeight="1">
      <c r="B173" s="406" t="s">
        <v>315</v>
      </c>
      <c r="C173" s="406"/>
      <c r="N173" s="13"/>
      <c r="O173" s="66" t="s">
        <v>167</v>
      </c>
      <c r="P173" s="594">
        <f>(75505837/17826)+(107534620/17877)</f>
        <v>10250.963719405616</v>
      </c>
      <c r="Q173" s="13"/>
      <c r="S173" s="408" t="s">
        <v>214</v>
      </c>
      <c r="T173" s="408"/>
      <c r="U173" s="408"/>
      <c r="V173" s="408"/>
    </row>
    <row r="174" spans="2:22" ht="22.5" customHeight="1">
      <c r="B174" s="403" t="s">
        <v>203</v>
      </c>
      <c r="C174" s="403"/>
      <c r="N174" s="13"/>
      <c r="O174" s="66" t="s">
        <v>157</v>
      </c>
      <c r="P174" s="594">
        <f>(48186863/17826)+(81033493/17877)</f>
        <v>7236.013766977221</v>
      </c>
      <c r="Q174" s="13"/>
      <c r="S174" s="404" t="s">
        <v>204</v>
      </c>
      <c r="T174" s="404"/>
      <c r="U174" s="12"/>
      <c r="V174" s="12"/>
    </row>
    <row r="175" spans="14:17" ht="37.5" customHeight="1">
      <c r="N175" s="13"/>
      <c r="O175" s="66" t="s">
        <v>364</v>
      </c>
      <c r="P175" s="594">
        <f>(38057082/17826)+(76594727/17877)</f>
        <v>6419.460195475018</v>
      </c>
      <c r="Q175" s="13"/>
    </row>
    <row r="176" spans="3:49" s="121" customFormat="1" ht="45.75" customHeight="1">
      <c r="C176" s="120"/>
      <c r="D176" s="129"/>
      <c r="E176" s="125"/>
      <c r="F176" s="119"/>
      <c r="G176" s="119"/>
      <c r="H176" s="196"/>
      <c r="N176" s="152"/>
      <c r="O176" s="152"/>
      <c r="P176" s="595">
        <f>SUM(P173:P175)</f>
        <v>23906.437681857853</v>
      </c>
      <c r="Q176" s="152"/>
      <c r="S176" s="4"/>
      <c r="T176" s="4"/>
      <c r="U176" s="4"/>
      <c r="V176" s="4"/>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row>
    <row r="177" spans="3:49" s="121" customFormat="1" ht="15">
      <c r="C177" s="120"/>
      <c r="D177" s="125"/>
      <c r="E177" s="125"/>
      <c r="F177" s="119"/>
      <c r="G177" s="119"/>
      <c r="H177" s="196"/>
      <c r="N177" s="152"/>
      <c r="O177" s="152"/>
      <c r="P177" s="152"/>
      <c r="Q177" s="152"/>
      <c r="S177" s="4"/>
      <c r="T177" s="4"/>
      <c r="U177" s="4"/>
      <c r="V177" s="4"/>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row>
    <row r="178" spans="3:49" s="121" customFormat="1" ht="15">
      <c r="C178" s="120"/>
      <c r="D178" s="125"/>
      <c r="E178" s="125"/>
      <c r="F178" s="119"/>
      <c r="G178" s="119"/>
      <c r="H178" s="196"/>
      <c r="I178" s="120"/>
      <c r="J178" s="120"/>
      <c r="K178" s="120"/>
      <c r="L178" s="120"/>
      <c r="M178" s="120"/>
      <c r="N178" s="596"/>
      <c r="O178" s="596"/>
      <c r="P178" s="596"/>
      <c r="Q178" s="596"/>
      <c r="R178" s="120"/>
      <c r="S178" s="4"/>
      <c r="T178" s="212"/>
      <c r="U178" s="212"/>
      <c r="V178" s="227"/>
      <c r="W178" s="120"/>
      <c r="X178" s="120"/>
      <c r="Y178" s="120"/>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row>
    <row r="179" spans="3:49" s="121" customFormat="1" ht="32.25" customHeight="1">
      <c r="C179" s="120"/>
      <c r="D179" s="125"/>
      <c r="E179" s="125"/>
      <c r="F179" s="119"/>
      <c r="G179" s="119"/>
      <c r="H179" s="196"/>
      <c r="I179" s="120"/>
      <c r="J179" s="120"/>
      <c r="K179" s="120"/>
      <c r="L179" s="120"/>
      <c r="M179" s="120"/>
      <c r="N179" s="596"/>
      <c r="O179" s="75" t="s">
        <v>295</v>
      </c>
      <c r="P179" s="597">
        <f>(61318086/17792)+(57619369/17826)+(10000000/17877)+(46258441/17877)</f>
        <v>9825.680324326735</v>
      </c>
      <c r="Q179" s="596" t="s">
        <v>171</v>
      </c>
      <c r="R179" s="120"/>
      <c r="S179" s="4"/>
      <c r="T179" s="212"/>
      <c r="U179" s="212"/>
      <c r="V179" s="4" t="s">
        <v>172</v>
      </c>
      <c r="W179" s="120" t="s">
        <v>173</v>
      </c>
      <c r="X179" s="120"/>
      <c r="Y179" s="120"/>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row>
    <row r="180" spans="3:49" s="121" customFormat="1" ht="15">
      <c r="C180" s="126"/>
      <c r="D180" s="130"/>
      <c r="E180" s="130"/>
      <c r="F180" s="119"/>
      <c r="G180" s="119"/>
      <c r="H180" s="196"/>
      <c r="I180" s="120"/>
      <c r="J180" s="120"/>
      <c r="K180" s="120"/>
      <c r="L180" s="120"/>
      <c r="M180" s="120"/>
      <c r="N180" s="596"/>
      <c r="O180" s="66" t="s">
        <v>167</v>
      </c>
      <c r="P180" s="597">
        <f>(61318086/17792)</f>
        <v>3446.385229316547</v>
      </c>
      <c r="Q180" s="212">
        <f>49856059/17792</f>
        <v>2802.161589478417</v>
      </c>
      <c r="R180" s="120"/>
      <c r="S180" s="4"/>
      <c r="T180" s="212"/>
      <c r="U180" s="212"/>
      <c r="V180" s="601">
        <f>357961960/17826</f>
        <v>20080.890833613823</v>
      </c>
      <c r="W180" s="601">
        <f>1795329297/17877</f>
        <v>100426.76606813223</v>
      </c>
      <c r="X180" s="601">
        <f>SUM(Q180:W180)</f>
        <v>123309.81849122446</v>
      </c>
      <c r="Y180" s="120"/>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row>
    <row r="181" spans="4:49" s="121" customFormat="1" ht="15">
      <c r="D181" s="119"/>
      <c r="E181" s="119"/>
      <c r="F181" s="119"/>
      <c r="G181" s="119"/>
      <c r="H181" s="196"/>
      <c r="I181" s="126"/>
      <c r="J181" s="126"/>
      <c r="K181" s="126"/>
      <c r="L181" s="126"/>
      <c r="M181" s="126"/>
      <c r="N181" s="598"/>
      <c r="O181" s="66" t="s">
        <v>157</v>
      </c>
      <c r="P181" s="597">
        <f>(57619369/17826)+(10000000/17877)</f>
        <v>3791.69980497271</v>
      </c>
      <c r="Q181" s="598">
        <v>0</v>
      </c>
      <c r="R181" s="126"/>
      <c r="S181" s="4"/>
      <c r="T181" s="212"/>
      <c r="U181" s="212"/>
      <c r="V181" s="212">
        <f>193588050/17826</f>
        <v>10859.87041400202</v>
      </c>
      <c r="W181" s="602">
        <f>417850965/17877</f>
        <v>23373.662527269677</v>
      </c>
      <c r="X181" s="601">
        <f>SUM(Q181:W181)</f>
        <v>34233.5329412717</v>
      </c>
      <c r="Y181" s="126"/>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row>
    <row r="182" spans="4:49" s="121" customFormat="1" ht="15">
      <c r="D182" s="119"/>
      <c r="E182" s="119"/>
      <c r="F182" s="119"/>
      <c r="G182" s="119"/>
      <c r="H182" s="196"/>
      <c r="I182" s="126"/>
      <c r="J182" s="126"/>
      <c r="K182" s="126"/>
      <c r="L182" s="126"/>
      <c r="M182" s="126"/>
      <c r="N182" s="598"/>
      <c r="O182" s="66" t="s">
        <v>364</v>
      </c>
      <c r="P182" s="597">
        <f>(46258441/17877)</f>
        <v>2587.595290037478</v>
      </c>
      <c r="Q182" s="598">
        <v>0</v>
      </c>
      <c r="R182" s="126"/>
      <c r="S182" s="4"/>
      <c r="T182" s="4"/>
      <c r="U182" s="4"/>
      <c r="V182" s="212">
        <f>287955524/17826</f>
        <v>16153.681364299338</v>
      </c>
      <c r="W182" s="602">
        <f>4121069878/17826</f>
        <v>231183.09648827557</v>
      </c>
      <c r="X182" s="601">
        <f>SUM(Q182:W182)</f>
        <v>247336.77785257492</v>
      </c>
      <c r="Y182" s="126"/>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row>
    <row r="183" spans="4:49" s="121" customFormat="1" ht="15">
      <c r="D183" s="119"/>
      <c r="E183" s="119"/>
      <c r="F183" s="119"/>
      <c r="G183" s="119"/>
      <c r="H183" s="196"/>
      <c r="I183" s="126"/>
      <c r="J183" s="126"/>
      <c r="K183" s="126"/>
      <c r="L183" s="126"/>
      <c r="M183" s="126"/>
      <c r="N183" s="598"/>
      <c r="O183" s="598"/>
      <c r="P183" s="599">
        <f>SUM(P180:P182)</f>
        <v>9825.680324326735</v>
      </c>
      <c r="Q183" s="598"/>
      <c r="R183" s="126"/>
      <c r="S183" s="4"/>
      <c r="T183" s="4"/>
      <c r="U183" s="4"/>
      <c r="V183" s="212"/>
      <c r="W183" s="126"/>
      <c r="X183" s="593">
        <f>SUM(X180:X182)</f>
        <v>404880.12928507105</v>
      </c>
      <c r="Y183" s="126"/>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row>
    <row r="184" spans="4:49" s="121" customFormat="1" ht="15">
      <c r="D184" s="119"/>
      <c r="E184" s="119"/>
      <c r="F184" s="119"/>
      <c r="G184" s="119"/>
      <c r="H184" s="196"/>
      <c r="N184" s="152"/>
      <c r="O184" s="152"/>
      <c r="P184" s="152"/>
      <c r="Q184" s="152"/>
      <c r="S184" s="4"/>
      <c r="T184" s="4"/>
      <c r="U184" s="4"/>
      <c r="V184" s="4"/>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row>
    <row r="185" spans="14:20" ht="15">
      <c r="N185" s="13"/>
      <c r="O185" s="75" t="s">
        <v>296</v>
      </c>
      <c r="P185" s="597">
        <f>(49856059/17792)+(158126/17826)+(6082531/17877)+(20160818/17826)+(22653400/17826)+(9254470+9113700)/17877</f>
        <v>6580.53538976941</v>
      </c>
      <c r="Q185" s="13"/>
      <c r="T185" s="212"/>
    </row>
    <row r="186" spans="15:20" ht="15">
      <c r="O186" s="66" t="s">
        <v>167</v>
      </c>
      <c r="P186" s="597">
        <f>(6938000/17792)+(158126/17826)+(6082531/17877)</f>
        <v>739.0644511215188</v>
      </c>
      <c r="Q186" s="13"/>
      <c r="T186" s="212"/>
    </row>
    <row r="187" spans="15:20" ht="15">
      <c r="O187" s="66" t="s">
        <v>157</v>
      </c>
      <c r="P187" s="597">
        <f>(20160818/17826)+(9254470)/17877</f>
        <v>1648.6528998118279</v>
      </c>
      <c r="Q187" s="13"/>
      <c r="T187" s="212"/>
    </row>
    <row r="188" spans="15:20" ht="15">
      <c r="O188" s="66" t="s">
        <v>364</v>
      </c>
      <c r="P188" s="597">
        <f>(22653400/17826)+(9113700/17877)</f>
        <v>1780.6069889259918</v>
      </c>
      <c r="Q188" s="13"/>
      <c r="T188" s="212"/>
    </row>
    <row r="189" spans="15:17" ht="15">
      <c r="O189" s="598"/>
      <c r="P189" s="600">
        <f>SUM(P186:P188)</f>
        <v>4168.324339859339</v>
      </c>
      <c r="Q189" s="13"/>
    </row>
    <row r="190" ht="15"/>
    <row r="191" ht="15"/>
    <row r="192" spans="11:25" ht="15">
      <c r="K192" s="206"/>
      <c r="L192" s="206"/>
      <c r="M192" s="206"/>
      <c r="N192" s="206"/>
      <c r="O192" s="206"/>
      <c r="P192" s="206"/>
      <c r="Q192" s="206"/>
      <c r="R192" s="206"/>
      <c r="W192" s="206"/>
      <c r="X192" s="206"/>
      <c r="Y192" s="206"/>
    </row>
    <row r="193" spans="4:49" s="118" customFormat="1" ht="15">
      <c r="D193" s="116"/>
      <c r="E193" s="116"/>
      <c r="F193" s="116"/>
      <c r="G193" s="116"/>
      <c r="H193" s="197"/>
      <c r="I193" s="117"/>
      <c r="J193" s="117"/>
      <c r="K193" s="117"/>
      <c r="L193" s="117"/>
      <c r="M193" s="117"/>
      <c r="N193" s="117"/>
      <c r="O193" s="117"/>
      <c r="P193" s="117"/>
      <c r="Q193" s="117"/>
      <c r="R193" s="117"/>
      <c r="S193" s="225"/>
      <c r="T193" s="226"/>
      <c r="U193" s="226"/>
      <c r="V193" s="226"/>
      <c r="W193" s="117"/>
      <c r="X193" s="117"/>
      <c r="Y193" s="117"/>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row>
    <row r="194" spans="4:49" s="121" customFormat="1" ht="15">
      <c r="D194" s="119"/>
      <c r="E194" s="119"/>
      <c r="F194" s="119"/>
      <c r="G194" s="119"/>
      <c r="H194" s="198"/>
      <c r="I194" s="120"/>
      <c r="J194" s="120"/>
      <c r="K194" s="117"/>
      <c r="L194" s="117"/>
      <c r="M194" s="117"/>
      <c r="N194" s="117"/>
      <c r="O194" s="117"/>
      <c r="P194" s="117"/>
      <c r="Q194" s="117"/>
      <c r="R194" s="117"/>
      <c r="S194" s="225"/>
      <c r="T194" s="4"/>
      <c r="U194" s="4"/>
      <c r="V194" s="4"/>
      <c r="W194" s="117"/>
      <c r="X194" s="117"/>
      <c r="Y194" s="117"/>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row>
    <row r="195" spans="4:49" s="121" customFormat="1" ht="15">
      <c r="D195" s="119"/>
      <c r="E195" s="119"/>
      <c r="F195" s="119"/>
      <c r="G195" s="119"/>
      <c r="H195" s="196"/>
      <c r="I195" s="120"/>
      <c r="J195" s="120"/>
      <c r="K195" s="117"/>
      <c r="L195" s="117"/>
      <c r="M195" s="117"/>
      <c r="N195" s="117"/>
      <c r="O195" s="117"/>
      <c r="P195" s="117"/>
      <c r="Q195" s="117"/>
      <c r="R195" s="117"/>
      <c r="S195" s="225"/>
      <c r="T195" s="4"/>
      <c r="U195" s="4"/>
      <c r="V195" s="4"/>
      <c r="W195" s="117"/>
      <c r="X195" s="117"/>
      <c r="Y195" s="117"/>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row>
    <row r="196" spans="4:49" s="121" customFormat="1" ht="15">
      <c r="D196" s="119"/>
      <c r="E196" s="119"/>
      <c r="F196" s="119"/>
      <c r="G196" s="119"/>
      <c r="H196" s="196"/>
      <c r="I196" s="120"/>
      <c r="J196" s="120"/>
      <c r="K196" s="117"/>
      <c r="L196" s="117"/>
      <c r="M196" s="117"/>
      <c r="N196" s="117"/>
      <c r="O196" s="117"/>
      <c r="P196" s="117"/>
      <c r="Q196" s="117"/>
      <c r="R196" s="117"/>
      <c r="S196" s="225"/>
      <c r="T196" s="4"/>
      <c r="U196" s="4"/>
      <c r="V196" s="4"/>
      <c r="W196" s="117"/>
      <c r="X196" s="117"/>
      <c r="Y196" s="117"/>
      <c r="Z196" s="152"/>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row>
    <row r="197" spans="4:49" s="121" customFormat="1" ht="15">
      <c r="D197" s="119"/>
      <c r="E197" s="119"/>
      <c r="F197" s="119"/>
      <c r="G197" s="119"/>
      <c r="H197" s="196"/>
      <c r="I197" s="120"/>
      <c r="J197" s="120"/>
      <c r="K197" s="117"/>
      <c r="L197" s="117"/>
      <c r="M197" s="117"/>
      <c r="N197" s="117"/>
      <c r="O197" s="117"/>
      <c r="P197" s="117"/>
      <c r="Q197" s="117"/>
      <c r="R197" s="117"/>
      <c r="S197" s="225"/>
      <c r="T197" s="4"/>
      <c r="U197" s="4"/>
      <c r="V197" s="4"/>
      <c r="W197" s="117"/>
      <c r="X197" s="117"/>
      <c r="Y197" s="117"/>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row>
    <row r="198" spans="4:49" s="121" customFormat="1" ht="15">
      <c r="D198" s="119"/>
      <c r="E198" s="119"/>
      <c r="F198" s="119"/>
      <c r="G198" s="119"/>
      <c r="H198" s="197"/>
      <c r="I198" s="120"/>
      <c r="J198" s="120"/>
      <c r="K198" s="117"/>
      <c r="L198" s="117"/>
      <c r="M198" s="117"/>
      <c r="N198" s="117"/>
      <c r="O198" s="117"/>
      <c r="P198" s="117"/>
      <c r="Q198" s="117"/>
      <c r="R198" s="117"/>
      <c r="S198" s="225"/>
      <c r="T198" s="4"/>
      <c r="U198" s="4"/>
      <c r="V198" s="4"/>
      <c r="W198" s="117"/>
      <c r="X198" s="117"/>
      <c r="Y198" s="117"/>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row>
    <row r="199" spans="4:49" s="121" customFormat="1" ht="15">
      <c r="D199" s="119"/>
      <c r="E199" s="119"/>
      <c r="F199" s="119"/>
      <c r="G199" s="119"/>
      <c r="H199" s="196"/>
      <c r="I199" s="120"/>
      <c r="J199" s="120"/>
      <c r="K199" s="117"/>
      <c r="L199" s="117"/>
      <c r="M199" s="117"/>
      <c r="N199" s="117"/>
      <c r="O199" s="117"/>
      <c r="P199" s="117"/>
      <c r="Q199" s="117"/>
      <c r="R199" s="117"/>
      <c r="S199" s="225"/>
      <c r="T199" s="4"/>
      <c r="U199" s="4"/>
      <c r="V199" s="4"/>
      <c r="W199" s="117"/>
      <c r="X199" s="117"/>
      <c r="Y199" s="117"/>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row>
    <row r="200" spans="4:49" s="121" customFormat="1" ht="15">
      <c r="D200" s="119"/>
      <c r="E200" s="119"/>
      <c r="F200" s="119"/>
      <c r="G200" s="119"/>
      <c r="H200" s="196"/>
      <c r="I200" s="120"/>
      <c r="J200" s="120"/>
      <c r="K200" s="117"/>
      <c r="L200" s="117"/>
      <c r="M200" s="117"/>
      <c r="N200" s="117"/>
      <c r="O200" s="117"/>
      <c r="P200" s="117"/>
      <c r="Q200" s="117"/>
      <c r="R200" s="117"/>
      <c r="S200" s="225"/>
      <c r="T200" s="4"/>
      <c r="U200" s="4"/>
      <c r="V200" s="4"/>
      <c r="W200" s="117"/>
      <c r="X200" s="117"/>
      <c r="Y200" s="117"/>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row>
    <row r="201" spans="4:49" s="121" customFormat="1" ht="15">
      <c r="D201" s="119"/>
      <c r="E201" s="119"/>
      <c r="F201" s="119"/>
      <c r="G201" s="119"/>
      <c r="H201" s="196"/>
      <c r="I201" s="120"/>
      <c r="J201" s="120"/>
      <c r="K201" s="117"/>
      <c r="L201" s="117"/>
      <c r="M201" s="117"/>
      <c r="N201" s="117"/>
      <c r="O201" s="117"/>
      <c r="P201" s="117"/>
      <c r="Q201" s="117"/>
      <c r="R201" s="117"/>
      <c r="S201" s="225"/>
      <c r="T201" s="4"/>
      <c r="U201" s="4"/>
      <c r="V201" s="4"/>
      <c r="W201" s="117"/>
      <c r="X201" s="117"/>
      <c r="Y201" s="117"/>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row>
    <row r="202" spans="4:49" s="121" customFormat="1" ht="15">
      <c r="D202" s="119"/>
      <c r="E202" s="119"/>
      <c r="F202" s="119"/>
      <c r="G202" s="119"/>
      <c r="H202" s="196"/>
      <c r="I202" s="120"/>
      <c r="J202" s="120"/>
      <c r="K202" s="117"/>
      <c r="L202" s="117"/>
      <c r="M202" s="117"/>
      <c r="N202" s="117"/>
      <c r="O202" s="117"/>
      <c r="P202" s="117"/>
      <c r="Q202" s="117"/>
      <c r="R202" s="117"/>
      <c r="S202" s="225"/>
      <c r="T202" s="4"/>
      <c r="U202" s="4"/>
      <c r="V202" s="4"/>
      <c r="W202" s="117"/>
      <c r="X202" s="117"/>
      <c r="Y202" s="117"/>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row>
    <row r="203" spans="4:49" s="121" customFormat="1" ht="15">
      <c r="D203" s="119"/>
      <c r="E203" s="119"/>
      <c r="F203" s="119"/>
      <c r="G203" s="119"/>
      <c r="H203" s="196"/>
      <c r="I203" s="120"/>
      <c r="J203" s="120"/>
      <c r="K203" s="117"/>
      <c r="L203" s="117"/>
      <c r="M203" s="117"/>
      <c r="N203" s="117"/>
      <c r="O203" s="117"/>
      <c r="P203" s="117"/>
      <c r="Q203" s="117"/>
      <c r="R203" s="117"/>
      <c r="S203" s="225"/>
      <c r="T203" s="4"/>
      <c r="U203" s="4"/>
      <c r="V203" s="4"/>
      <c r="W203" s="117"/>
      <c r="X203" s="117"/>
      <c r="Y203" s="117"/>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row>
    <row r="204" spans="4:49" s="123" customFormat="1" ht="15">
      <c r="D204" s="122"/>
      <c r="E204" s="122"/>
      <c r="F204" s="122"/>
      <c r="G204" s="122"/>
      <c r="H204" s="199"/>
      <c r="I204" s="120"/>
      <c r="J204" s="120"/>
      <c r="K204" s="120"/>
      <c r="L204" s="120"/>
      <c r="M204" s="120"/>
      <c r="N204" s="120"/>
      <c r="O204" s="120"/>
      <c r="P204" s="120"/>
      <c r="Q204" s="120"/>
      <c r="R204" s="120"/>
      <c r="S204" s="4"/>
      <c r="T204" s="4"/>
      <c r="U204" s="4"/>
      <c r="V204" s="4"/>
      <c r="W204" s="120"/>
      <c r="X204" s="120"/>
      <c r="Y204" s="120"/>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row>
    <row r="205" spans="4:49" s="123" customFormat="1" ht="15">
      <c r="D205" s="122"/>
      <c r="E205" s="122"/>
      <c r="F205" s="122"/>
      <c r="G205" s="122"/>
      <c r="H205" s="199"/>
      <c r="I205" s="121"/>
      <c r="J205" s="121"/>
      <c r="K205" s="120"/>
      <c r="L205" s="120"/>
      <c r="M205" s="120"/>
      <c r="N205" s="120"/>
      <c r="O205" s="120"/>
      <c r="P205" s="120"/>
      <c r="Q205" s="120"/>
      <c r="R205" s="120"/>
      <c r="S205" s="4"/>
      <c r="T205" s="4"/>
      <c r="U205" s="4"/>
      <c r="V205" s="4"/>
      <c r="W205" s="120"/>
      <c r="X205" s="120"/>
      <c r="Y205" s="120"/>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row>
    <row r="206" spans="4:49" s="123" customFormat="1" ht="15">
      <c r="D206" s="122"/>
      <c r="E206" s="122"/>
      <c r="F206" s="122"/>
      <c r="G206" s="122"/>
      <c r="H206" s="199"/>
      <c r="I206" s="124"/>
      <c r="J206" s="124"/>
      <c r="K206" s="117"/>
      <c r="L206" s="117"/>
      <c r="M206" s="117"/>
      <c r="N206" s="117"/>
      <c r="O206" s="117"/>
      <c r="P206" s="117"/>
      <c r="Q206" s="117"/>
      <c r="R206" s="117"/>
      <c r="S206" s="212"/>
      <c r="T206" s="4"/>
      <c r="U206" s="4"/>
      <c r="V206" s="4"/>
      <c r="W206" s="117"/>
      <c r="X206" s="117"/>
      <c r="Y206" s="117"/>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row>
    <row r="207" spans="4:49" s="123" customFormat="1" ht="15">
      <c r="D207" s="122"/>
      <c r="E207" s="122"/>
      <c r="F207" s="122"/>
      <c r="G207" s="122"/>
      <c r="H207" s="199"/>
      <c r="I207" s="121"/>
      <c r="J207" s="121"/>
      <c r="K207" s="121"/>
      <c r="L207" s="121"/>
      <c r="M207" s="121"/>
      <c r="N207" s="121"/>
      <c r="O207" s="121"/>
      <c r="P207" s="121"/>
      <c r="Q207" s="121"/>
      <c r="R207" s="121"/>
      <c r="S207" s="4"/>
      <c r="T207" s="4"/>
      <c r="U207" s="4"/>
      <c r="V207" s="4"/>
      <c r="W207" s="121"/>
      <c r="X207" s="121"/>
      <c r="Y207" s="121"/>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row>
    <row r="208" spans="4:49" s="123" customFormat="1" ht="15">
      <c r="D208" s="122"/>
      <c r="E208" s="122"/>
      <c r="F208" s="122"/>
      <c r="G208" s="122"/>
      <c r="H208" s="199"/>
      <c r="S208" s="4"/>
      <c r="T208" s="4"/>
      <c r="U208" s="4"/>
      <c r="V208" s="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row>
    <row r="209" spans="4:49" s="123" customFormat="1" ht="15">
      <c r="D209" s="122"/>
      <c r="E209" s="122"/>
      <c r="F209" s="122"/>
      <c r="G209" s="122"/>
      <c r="H209" s="199"/>
      <c r="S209" s="4"/>
      <c r="T209" s="4"/>
      <c r="U209" s="4"/>
      <c r="V209" s="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row>
    <row r="210" spans="4:49" s="123" customFormat="1" ht="15">
      <c r="D210" s="122"/>
      <c r="E210" s="122"/>
      <c r="F210" s="122"/>
      <c r="G210" s="122"/>
      <c r="H210" s="199"/>
      <c r="S210" s="4"/>
      <c r="T210" s="4"/>
      <c r="U210" s="4"/>
      <c r="V210" s="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row>
    <row r="211" spans="4:49" s="123" customFormat="1" ht="15">
      <c r="D211" s="122"/>
      <c r="E211" s="122"/>
      <c r="F211" s="122"/>
      <c r="G211" s="122"/>
      <c r="H211" s="199"/>
      <c r="S211" s="4"/>
      <c r="T211" s="4"/>
      <c r="U211" s="4"/>
      <c r="V211" s="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row>
    <row r="212" spans="4:49" s="123" customFormat="1" ht="15">
      <c r="D212" s="122"/>
      <c r="E212" s="122"/>
      <c r="F212" s="122"/>
      <c r="G212" s="122"/>
      <c r="H212" s="199"/>
      <c r="S212" s="4"/>
      <c r="T212" s="4"/>
      <c r="U212" s="4"/>
      <c r="V212" s="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row>
  </sheetData>
  <sheetProtection/>
  <mergeCells count="4">
    <mergeCell ref="M9:O9"/>
    <mergeCell ref="P9:R9"/>
    <mergeCell ref="W9:Y9"/>
    <mergeCell ref="L8:O8"/>
  </mergeCells>
  <printOptions horizontalCentered="1"/>
  <pageMargins left="0.14" right="0" top="0.46" bottom="0.39" header="0.49" footer="0.23"/>
  <pageSetup fitToHeight="0" horizontalDpi="600" verticalDpi="600" orientation="landscape" paperSize="9" scale="50" r:id="rId3"/>
  <headerFooter alignWithMargins="0">
    <oddFooter>&amp;RJPGE - AWP 2010 - Page &amp;P</oddFooter>
  </headerFooter>
  <legacyDrawing r:id="rId2"/>
</worksheet>
</file>

<file path=xl/worksheets/sheet2.xml><?xml version="1.0" encoding="utf-8"?>
<worksheet xmlns="http://schemas.openxmlformats.org/spreadsheetml/2006/main" xmlns:r="http://schemas.openxmlformats.org/officeDocument/2006/relationships">
  <dimension ref="A1:AS251"/>
  <sheetViews>
    <sheetView tabSelected="1" zoomScale="55" zoomScaleNormal="55" zoomScaleSheetLayoutView="80" zoomScalePageLayoutView="0" workbookViewId="0" topLeftCell="A133">
      <selection activeCell="F138" sqref="F138"/>
    </sheetView>
  </sheetViews>
  <sheetFormatPr defaultColWidth="9.140625" defaultRowHeight="12.75" outlineLevelRow="2" outlineLevelCol="2"/>
  <cols>
    <col min="1" max="1" width="49.28125" style="1245" customWidth="1"/>
    <col min="2" max="2" width="33.57421875" style="1245" customWidth="1"/>
    <col min="3" max="3" width="6.8515625" style="1246" customWidth="1"/>
    <col min="4" max="4" width="6.57421875" style="1246" customWidth="1"/>
    <col min="5" max="5" width="6.8515625" style="1246" customWidth="1"/>
    <col min="6" max="6" width="8.00390625" style="1246" customWidth="1"/>
    <col min="7" max="7" width="19.421875" style="1246" customWidth="1"/>
    <col min="8" max="8" width="18.8515625" style="1402" customWidth="1"/>
    <col min="9" max="9" width="18.8515625" style="1403" customWidth="1"/>
    <col min="10" max="10" width="16.00390625" style="1402" customWidth="1"/>
    <col min="11" max="11" width="23.7109375" style="1245" hidden="1" customWidth="1" outlineLevel="2"/>
    <col min="12" max="12" width="21.7109375" style="1245" hidden="1" customWidth="1" outlineLevel="2"/>
    <col min="13" max="13" width="18.00390625" style="1245" hidden="1" customWidth="1" outlineLevel="2"/>
    <col min="14" max="14" width="19.421875" style="1245" hidden="1" customWidth="1" outlineLevel="2"/>
    <col min="15" max="15" width="20.57421875" style="1245" hidden="1" customWidth="1" outlineLevel="2" collapsed="1"/>
    <col min="16" max="16" width="20.421875" style="1245" hidden="1" customWidth="1" outlineLevel="2"/>
    <col min="17" max="17" width="17.421875" style="1245" hidden="1" customWidth="1" outlineLevel="2"/>
    <col min="18" max="18" width="19.00390625" style="1246" customWidth="1" outlineLevel="1" collapsed="1"/>
    <col min="19" max="19" width="20.57421875" style="1245" hidden="1" customWidth="1" outlineLevel="2"/>
    <col min="20" max="20" width="21.421875" style="1245" hidden="1" customWidth="1" outlineLevel="2"/>
    <col min="21" max="21" width="18.7109375" style="1245" hidden="1" customWidth="1" outlineLevel="2"/>
    <col min="22" max="22" width="18.28125" style="1233" hidden="1" customWidth="1" outlineLevel="2"/>
    <col min="23" max="23" width="22.421875" style="1233" hidden="1" customWidth="1" outlineLevel="2"/>
    <col min="24" max="24" width="24.28125" style="1233" hidden="1" customWidth="1" outlineLevel="2"/>
    <col min="25" max="25" width="21.28125" style="1234" hidden="1" customWidth="1" outlineLevel="2"/>
    <col min="26" max="26" width="21.57421875" style="1234" hidden="1" customWidth="1" outlineLevel="2"/>
    <col min="27" max="27" width="21.28125" style="1233" hidden="1" customWidth="1" outlineLevel="2"/>
    <col min="28" max="28" width="21.7109375" style="1233" customWidth="1" outlineLevel="1" collapsed="1"/>
    <col min="29" max="29" width="22.00390625" style="1233" customWidth="1" outlineLevel="1"/>
    <col min="30" max="30" width="21.57421875" style="1234" customWidth="1" outlineLevel="1"/>
    <col min="31" max="31" width="22.421875" style="1247" customWidth="1"/>
    <col min="32" max="32" width="20.57421875" style="1247" customWidth="1"/>
    <col min="33" max="33" width="18.7109375" style="1247" customWidth="1"/>
    <col min="34" max="34" width="21.00390625" style="1247" customWidth="1"/>
    <col min="35" max="35" width="23.57421875" style="1233" customWidth="1"/>
    <col min="36" max="45" width="9.140625" style="1233" customWidth="1"/>
    <col min="46" max="16384" width="9.140625" style="1245" customWidth="1"/>
  </cols>
  <sheetData>
    <row r="1" spans="1:45" s="1238" customFormat="1" ht="22.5" customHeight="1" outlineLevel="1">
      <c r="A1" s="2039" t="s">
        <v>477</v>
      </c>
      <c r="B1" s="2039"/>
      <c r="C1" s="2039"/>
      <c r="D1" s="2039"/>
      <c r="E1" s="2039"/>
      <c r="F1" s="2039"/>
      <c r="G1" s="2039"/>
      <c r="H1" s="1235"/>
      <c r="I1" s="1236"/>
      <c r="J1" s="1237"/>
      <c r="R1" s="1239"/>
      <c r="V1" s="1240"/>
      <c r="W1" s="1240"/>
      <c r="X1" s="1240"/>
      <c r="Y1" s="1227"/>
      <c r="Z1" s="1227"/>
      <c r="AA1" s="1240"/>
      <c r="AB1" s="2024" t="s">
        <v>482</v>
      </c>
      <c r="AC1" s="2024"/>
      <c r="AD1" s="2024"/>
      <c r="AE1" s="1241"/>
      <c r="AF1" s="1241"/>
      <c r="AG1" s="1241"/>
      <c r="AH1" s="1241"/>
      <c r="AI1" s="1240"/>
      <c r="AJ1" s="1240"/>
      <c r="AK1" s="1240"/>
      <c r="AL1" s="1240"/>
      <c r="AM1" s="1240"/>
      <c r="AN1" s="1240"/>
      <c r="AO1" s="1240"/>
      <c r="AP1" s="1240"/>
      <c r="AQ1" s="1240"/>
      <c r="AR1" s="1240"/>
      <c r="AS1" s="1240"/>
    </row>
    <row r="2" spans="1:45" s="1238" customFormat="1" ht="17.25" customHeight="1" outlineLevel="1">
      <c r="A2" s="2028" t="s">
        <v>553</v>
      </c>
      <c r="B2" s="2028"/>
      <c r="C2" s="1235"/>
      <c r="D2" s="1235"/>
      <c r="E2" s="1235"/>
      <c r="F2" s="1235"/>
      <c r="G2" s="1235"/>
      <c r="H2" s="1235"/>
      <c r="I2" s="1236"/>
      <c r="J2" s="1237"/>
      <c r="R2" s="1239"/>
      <c r="V2" s="1240"/>
      <c r="W2" s="1240"/>
      <c r="X2" s="1240"/>
      <c r="Y2" s="1227"/>
      <c r="Z2" s="1227"/>
      <c r="AA2" s="1240"/>
      <c r="AB2" s="1240"/>
      <c r="AC2" s="1240"/>
      <c r="AD2" s="1227"/>
      <c r="AE2" s="1241"/>
      <c r="AF2" s="1241"/>
      <c r="AG2" s="1241"/>
      <c r="AH2" s="1241"/>
      <c r="AI2" s="1240"/>
      <c r="AJ2" s="1240"/>
      <c r="AK2" s="1240"/>
      <c r="AL2" s="1240"/>
      <c r="AM2" s="1240"/>
      <c r="AN2" s="1240"/>
      <c r="AO2" s="1240"/>
      <c r="AP2" s="1240"/>
      <c r="AQ2" s="1240"/>
      <c r="AR2" s="1240"/>
      <c r="AS2" s="1240"/>
    </row>
    <row r="3" spans="1:45" s="1238" customFormat="1" ht="22.5" customHeight="1" outlineLevel="1">
      <c r="A3" s="2028" t="s">
        <v>610</v>
      </c>
      <c r="B3" s="2028"/>
      <c r="C3" s="2028"/>
      <c r="D3" s="2028"/>
      <c r="E3" s="2028"/>
      <c r="F3" s="2028"/>
      <c r="G3" s="2028"/>
      <c r="H3" s="2028"/>
      <c r="I3" s="2028"/>
      <c r="J3" s="2028"/>
      <c r="K3" s="2028"/>
      <c r="R3" s="1239"/>
      <c r="S3" s="1242"/>
      <c r="T3" s="1243"/>
      <c r="U3" s="1243"/>
      <c r="V3" s="1244"/>
      <c r="W3" s="1240"/>
      <c r="X3" s="1240"/>
      <c r="Y3" s="1227"/>
      <c r="Z3" s="1227"/>
      <c r="AA3" s="1240"/>
      <c r="AB3" s="1240"/>
      <c r="AC3" s="1240"/>
      <c r="AD3" s="1227"/>
      <c r="AE3" s="1241"/>
      <c r="AF3" s="1241"/>
      <c r="AG3" s="1241"/>
      <c r="AH3" s="1241"/>
      <c r="AI3" s="1240"/>
      <c r="AJ3" s="1240"/>
      <c r="AK3" s="1240"/>
      <c r="AL3" s="1240"/>
      <c r="AM3" s="1240"/>
      <c r="AN3" s="1240"/>
      <c r="AO3" s="1240"/>
      <c r="AP3" s="1240"/>
      <c r="AQ3" s="1240"/>
      <c r="AR3" s="1240"/>
      <c r="AS3" s="1240"/>
    </row>
    <row r="4" spans="1:45" s="1238" customFormat="1" ht="27" customHeight="1" outlineLevel="1" thickBot="1">
      <c r="A4" s="2025" t="s">
        <v>481</v>
      </c>
      <c r="B4" s="2025"/>
      <c r="C4" s="2025"/>
      <c r="D4" s="2025"/>
      <c r="E4" s="2025"/>
      <c r="F4" s="2025"/>
      <c r="G4" s="2025"/>
      <c r="H4" s="2025"/>
      <c r="I4" s="2025"/>
      <c r="J4" s="2025"/>
      <c r="K4" s="2025"/>
      <c r="L4" s="1245"/>
      <c r="M4" s="1245"/>
      <c r="N4" s="1245"/>
      <c r="O4" s="1245"/>
      <c r="P4" s="1245"/>
      <c r="Q4" s="1245"/>
      <c r="R4" s="1246"/>
      <c r="S4" s="1245"/>
      <c r="T4" s="1245"/>
      <c r="U4" s="1245"/>
      <c r="V4" s="1240"/>
      <c r="W4" s="1240"/>
      <c r="X4" s="1240"/>
      <c r="Y4" s="1227"/>
      <c r="Z4" s="1227"/>
      <c r="AA4" s="1240"/>
      <c r="AB4" s="1240"/>
      <c r="AC4" s="1240"/>
      <c r="AD4" s="1227"/>
      <c r="AE4" s="1241"/>
      <c r="AF4" s="1241"/>
      <c r="AG4" s="1241"/>
      <c r="AH4" s="1241"/>
      <c r="AI4" s="1240"/>
      <c r="AJ4" s="1240"/>
      <c r="AK4" s="1240"/>
      <c r="AL4" s="1240"/>
      <c r="AM4" s="1240"/>
      <c r="AN4" s="1240"/>
      <c r="AO4" s="1240"/>
      <c r="AP4" s="1240"/>
      <c r="AQ4" s="1240"/>
      <c r="AR4" s="1240"/>
      <c r="AS4" s="1240"/>
    </row>
    <row r="5" spans="1:30" ht="27" customHeight="1" thickTop="1">
      <c r="A5" s="2044" t="s">
        <v>225</v>
      </c>
      <c r="B5" s="2043" t="s">
        <v>175</v>
      </c>
      <c r="C5" s="2026" t="s">
        <v>74</v>
      </c>
      <c r="D5" s="2026"/>
      <c r="E5" s="2026"/>
      <c r="F5" s="2026"/>
      <c r="G5" s="2026"/>
      <c r="H5" s="2043" t="s">
        <v>105</v>
      </c>
      <c r="I5" s="2043"/>
      <c r="J5" s="2043"/>
      <c r="K5" s="2043" t="s">
        <v>187</v>
      </c>
      <c r="L5" s="2043" t="s">
        <v>151</v>
      </c>
      <c r="M5" s="2043"/>
      <c r="N5" s="2043"/>
      <c r="O5" s="2043"/>
      <c r="P5" s="2043"/>
      <c r="Q5" s="2043"/>
      <c r="R5" s="2043"/>
      <c r="S5" s="2043"/>
      <c r="T5" s="2043"/>
      <c r="U5" s="2043"/>
      <c r="V5" s="2043"/>
      <c r="W5" s="2043"/>
      <c r="X5" s="2043"/>
      <c r="Y5" s="2043"/>
      <c r="Z5" s="2043"/>
      <c r="AA5" s="2043"/>
      <c r="AB5" s="2043"/>
      <c r="AC5" s="2043"/>
      <c r="AD5" s="2058"/>
    </row>
    <row r="6" spans="1:30" ht="40.5" customHeight="1">
      <c r="A6" s="2045"/>
      <c r="B6" s="2029"/>
      <c r="C6" s="2027"/>
      <c r="D6" s="2027"/>
      <c r="E6" s="2027"/>
      <c r="F6" s="2027"/>
      <c r="G6" s="2027"/>
      <c r="H6" s="2029"/>
      <c r="I6" s="2029"/>
      <c r="J6" s="2029"/>
      <c r="K6" s="2029"/>
      <c r="L6" s="2029" t="s">
        <v>94</v>
      </c>
      <c r="M6" s="2029"/>
      <c r="N6" s="2029"/>
      <c r="O6" s="2029" t="s">
        <v>93</v>
      </c>
      <c r="P6" s="2029"/>
      <c r="Q6" s="2030"/>
      <c r="R6" s="2029" t="s">
        <v>207</v>
      </c>
      <c r="S6" s="2059" t="s">
        <v>60</v>
      </c>
      <c r="T6" s="2029"/>
      <c r="U6" s="2029"/>
      <c r="V6" s="2029" t="s">
        <v>61</v>
      </c>
      <c r="W6" s="2029"/>
      <c r="X6" s="2029"/>
      <c r="Y6" s="2029" t="s">
        <v>62</v>
      </c>
      <c r="Z6" s="2029"/>
      <c r="AA6" s="2030"/>
      <c r="AB6" s="2029" t="s">
        <v>536</v>
      </c>
      <c r="AC6" s="2029"/>
      <c r="AD6" s="2060"/>
    </row>
    <row r="7" spans="1:30" ht="49.5" customHeight="1">
      <c r="A7" s="2045"/>
      <c r="B7" s="2029"/>
      <c r="C7" s="1415" t="s">
        <v>170</v>
      </c>
      <c r="D7" s="1415" t="s">
        <v>171</v>
      </c>
      <c r="E7" s="1415" t="s">
        <v>172</v>
      </c>
      <c r="F7" s="1415" t="s">
        <v>173</v>
      </c>
      <c r="G7" s="1415" t="s">
        <v>72</v>
      </c>
      <c r="H7" s="1415" t="s">
        <v>206</v>
      </c>
      <c r="I7" s="1415" t="s">
        <v>186</v>
      </c>
      <c r="J7" s="1415" t="s">
        <v>169</v>
      </c>
      <c r="K7" s="2029"/>
      <c r="L7" s="1416" t="s">
        <v>144</v>
      </c>
      <c r="M7" s="1416" t="s">
        <v>184</v>
      </c>
      <c r="N7" s="1415" t="s">
        <v>35</v>
      </c>
      <c r="O7" s="1416" t="s">
        <v>144</v>
      </c>
      <c r="P7" s="1416" t="s">
        <v>184</v>
      </c>
      <c r="Q7" s="1546" t="s">
        <v>35</v>
      </c>
      <c r="R7" s="2029"/>
      <c r="S7" s="1557" t="s">
        <v>144</v>
      </c>
      <c r="T7" s="1416" t="s">
        <v>184</v>
      </c>
      <c r="U7" s="1415" t="s">
        <v>35</v>
      </c>
      <c r="V7" s="1416" t="s">
        <v>144</v>
      </c>
      <c r="W7" s="1416" t="s">
        <v>184</v>
      </c>
      <c r="X7" s="1415" t="s">
        <v>35</v>
      </c>
      <c r="Y7" s="1416" t="s">
        <v>144</v>
      </c>
      <c r="Z7" s="1416" t="s">
        <v>184</v>
      </c>
      <c r="AA7" s="1798" t="s">
        <v>35</v>
      </c>
      <c r="AB7" s="1416" t="s">
        <v>144</v>
      </c>
      <c r="AC7" s="1416" t="s">
        <v>184</v>
      </c>
      <c r="AD7" s="1794" t="s">
        <v>35</v>
      </c>
    </row>
    <row r="8" spans="1:30" ht="107.25" customHeight="1">
      <c r="A8" s="2040" t="s">
        <v>552</v>
      </c>
      <c r="B8" s="2041"/>
      <c r="C8" s="2041"/>
      <c r="D8" s="2041"/>
      <c r="E8" s="2041"/>
      <c r="F8" s="2041"/>
      <c r="G8" s="2041"/>
      <c r="H8" s="1248"/>
      <c r="I8" s="1248"/>
      <c r="J8" s="1248"/>
      <c r="K8" s="1248"/>
      <c r="L8" s="1248"/>
      <c r="M8" s="1248"/>
      <c r="N8" s="1248"/>
      <c r="O8" s="1248"/>
      <c r="P8" s="1248"/>
      <c r="Q8" s="1248"/>
      <c r="R8" s="1909"/>
      <c r="S8" s="1248"/>
      <c r="T8" s="1248"/>
      <c r="U8" s="1248"/>
      <c r="V8" s="1249"/>
      <c r="W8" s="1249"/>
      <c r="X8" s="1249"/>
      <c r="Y8" s="1249"/>
      <c r="Z8" s="1249"/>
      <c r="AA8" s="1249"/>
      <c r="AB8" s="1907"/>
      <c r="AC8" s="1250"/>
      <c r="AD8" s="1251"/>
    </row>
    <row r="9" spans="1:45" s="1238" customFormat="1" ht="126.75" customHeight="1">
      <c r="A9" s="2046" t="s">
        <v>554</v>
      </c>
      <c r="B9" s="1252" t="s">
        <v>236</v>
      </c>
      <c r="C9" s="2003" t="s">
        <v>176</v>
      </c>
      <c r="D9" s="1253"/>
      <c r="E9" s="1253"/>
      <c r="F9" s="1253"/>
      <c r="G9" s="1253"/>
      <c r="H9" s="1254"/>
      <c r="I9" s="1253" t="s">
        <v>300</v>
      </c>
      <c r="J9" s="1255" t="s">
        <v>611</v>
      </c>
      <c r="K9" s="1504"/>
      <c r="L9" s="1256"/>
      <c r="M9" s="1323"/>
      <c r="N9" s="1324"/>
      <c r="O9" s="1524"/>
      <c r="P9" s="1323"/>
      <c r="Q9" s="1547"/>
      <c r="R9" s="1910"/>
      <c r="S9" s="1257"/>
      <c r="T9" s="1262"/>
      <c r="U9" s="1258"/>
      <c r="V9" s="1259"/>
      <c r="W9" s="1260"/>
      <c r="X9" s="1261"/>
      <c r="Y9" s="1257"/>
      <c r="Z9" s="1262"/>
      <c r="AA9" s="1258"/>
      <c r="AB9" s="1263"/>
      <c r="AC9" s="1263"/>
      <c r="AD9" s="1264"/>
      <c r="AE9" s="1241"/>
      <c r="AF9" s="1241"/>
      <c r="AG9" s="1241"/>
      <c r="AH9" s="1241"/>
      <c r="AI9" s="1240"/>
      <c r="AJ9" s="1240"/>
      <c r="AK9" s="1240"/>
      <c r="AL9" s="1240"/>
      <c r="AM9" s="1240"/>
      <c r="AN9" s="1240"/>
      <c r="AO9" s="1240"/>
      <c r="AP9" s="1240"/>
      <c r="AQ9" s="1240"/>
      <c r="AR9" s="1240"/>
      <c r="AS9" s="1240"/>
    </row>
    <row r="10" spans="1:45" s="1238" customFormat="1" ht="19.5" customHeight="1">
      <c r="A10" s="2032"/>
      <c r="B10" s="1265"/>
      <c r="C10" s="1265"/>
      <c r="D10" s="1266"/>
      <c r="E10" s="1266"/>
      <c r="F10" s="1266"/>
      <c r="G10" s="1267"/>
      <c r="H10" s="1268"/>
      <c r="I10" s="1266"/>
      <c r="J10" s="1269" t="s">
        <v>183</v>
      </c>
      <c r="K10" s="1505"/>
      <c r="L10" s="1270"/>
      <c r="M10" s="1271"/>
      <c r="N10" s="1272"/>
      <c r="O10" s="1273"/>
      <c r="P10" s="1274"/>
      <c r="Q10" s="1275"/>
      <c r="R10" s="1911"/>
      <c r="S10" s="1276"/>
      <c r="T10" s="1277"/>
      <c r="U10" s="1278"/>
      <c r="V10" s="1560"/>
      <c r="W10" s="1277"/>
      <c r="X10" s="1279"/>
      <c r="Y10" s="1276"/>
      <c r="Z10" s="1277"/>
      <c r="AA10" s="1278"/>
      <c r="AB10" s="1280"/>
      <c r="AC10" s="1280"/>
      <c r="AD10" s="1281"/>
      <c r="AE10" s="1241"/>
      <c r="AF10" s="1241"/>
      <c r="AG10" s="1241"/>
      <c r="AH10" s="1241"/>
      <c r="AI10" s="1240"/>
      <c r="AJ10" s="1240"/>
      <c r="AK10" s="1240"/>
      <c r="AL10" s="1240"/>
      <c r="AM10" s="1240"/>
      <c r="AN10" s="1240"/>
      <c r="AO10" s="1240"/>
      <c r="AP10" s="1240"/>
      <c r="AQ10" s="1240"/>
      <c r="AR10" s="1240"/>
      <c r="AS10" s="1240"/>
    </row>
    <row r="11" spans="1:45" s="1235" customFormat="1" ht="141.75" customHeight="1">
      <c r="A11" s="2048"/>
      <c r="B11" s="1282" t="s">
        <v>430</v>
      </c>
      <c r="C11" s="1283"/>
      <c r="D11" s="1283"/>
      <c r="E11" s="1283"/>
      <c r="F11" s="1283"/>
      <c r="G11" s="1283"/>
      <c r="H11" s="1283" t="s">
        <v>167</v>
      </c>
      <c r="I11" s="1284"/>
      <c r="J11" s="1283"/>
      <c r="K11" s="1506" t="s">
        <v>350</v>
      </c>
      <c r="L11" s="1285">
        <f>MOLISA!L11</f>
        <v>18950</v>
      </c>
      <c r="M11" s="1408">
        <f>MOLISA!M11</f>
        <v>5413</v>
      </c>
      <c r="N11" s="1532">
        <f>MOLISA!N11</f>
        <v>24363</v>
      </c>
      <c r="O11" s="1525">
        <f>MOLISA!O11</f>
        <v>1395</v>
      </c>
      <c r="P11" s="1408">
        <f>MOLISA!P11</f>
        <v>5072</v>
      </c>
      <c r="Q11" s="1548">
        <f>MOLISA!Q11</f>
        <v>6467</v>
      </c>
      <c r="R11" s="1912" t="str">
        <f>MOLISA!R11</f>
        <v>ACTIVITY 04</v>
      </c>
      <c r="S11" s="1286">
        <f>L11-O11</f>
        <v>17555</v>
      </c>
      <c r="T11" s="1409">
        <f>M11-P11</f>
        <v>341</v>
      </c>
      <c r="U11" s="1287">
        <f>SUM(S11:T11)</f>
        <v>17896</v>
      </c>
      <c r="V11" s="1285">
        <f>MOLISA!V11</f>
        <v>2877</v>
      </c>
      <c r="W11" s="1408">
        <f>MOLISA!W11</f>
        <v>0</v>
      </c>
      <c r="X11" s="1532">
        <f>MOLISA!X11</f>
        <v>2877</v>
      </c>
      <c r="Y11" s="1525">
        <f>MOLISA!Y11</f>
        <v>0</v>
      </c>
      <c r="Z11" s="1408">
        <f>MOLISA!Z11</f>
        <v>0</v>
      </c>
      <c r="AA11" s="1548">
        <f>MOLISA!AA11</f>
        <v>0</v>
      </c>
      <c r="AB11" s="1408">
        <f>MOLISA!AB11</f>
        <v>2877</v>
      </c>
      <c r="AC11" s="1408">
        <f>MOLISA!AC11</f>
        <v>0</v>
      </c>
      <c r="AD11" s="1365">
        <f>MOLISA!AD11</f>
        <v>2877</v>
      </c>
      <c r="AE11" s="1288"/>
      <c r="AF11" s="1288"/>
      <c r="AG11" s="1288"/>
      <c r="AH11" s="1288"/>
      <c r="AI11" s="1227"/>
      <c r="AJ11" s="1227"/>
      <c r="AK11" s="1227"/>
      <c r="AL11" s="1227"/>
      <c r="AM11" s="1227"/>
      <c r="AN11" s="1227"/>
      <c r="AO11" s="1227"/>
      <c r="AP11" s="1227"/>
      <c r="AQ11" s="1227"/>
      <c r="AR11" s="1227"/>
      <c r="AS11" s="1227"/>
    </row>
    <row r="12" spans="1:45" s="1238" customFormat="1" ht="30.75" customHeight="1">
      <c r="A12" s="1417"/>
      <c r="B12" s="1418" t="s">
        <v>333</v>
      </c>
      <c r="C12" s="1419"/>
      <c r="D12" s="1419"/>
      <c r="E12" s="1420"/>
      <c r="F12" s="1420"/>
      <c r="G12" s="1420"/>
      <c r="H12" s="1421"/>
      <c r="I12" s="1418"/>
      <c r="J12" s="1421"/>
      <c r="K12" s="1507"/>
      <c r="L12" s="1533">
        <f>MOLISA!L12</f>
        <v>18950</v>
      </c>
      <c r="M12" s="1422">
        <f>MOLISA!M12</f>
        <v>5413</v>
      </c>
      <c r="N12" s="1534">
        <f>MOLISA!N12</f>
        <v>24363</v>
      </c>
      <c r="O12" s="1526">
        <f>MOLISA!O12</f>
        <v>1395</v>
      </c>
      <c r="P12" s="1422">
        <f>MOLISA!P12</f>
        <v>5072</v>
      </c>
      <c r="Q12" s="1549">
        <f>MOLISA!Q12</f>
        <v>6467</v>
      </c>
      <c r="R12" s="1913"/>
      <c r="S12" s="1527">
        <f>SUM(S11)</f>
        <v>17555</v>
      </c>
      <c r="T12" s="1423">
        <f>SUM(T11)</f>
        <v>341</v>
      </c>
      <c r="U12" s="1550">
        <f>SUM(U11)</f>
        <v>17896</v>
      </c>
      <c r="V12" s="1533">
        <f>MOLISA!V12</f>
        <v>2877</v>
      </c>
      <c r="W12" s="1422">
        <f>MOLISA!W12</f>
        <v>0</v>
      </c>
      <c r="X12" s="1534">
        <f>MOLISA!X12</f>
        <v>2877</v>
      </c>
      <c r="Y12" s="1526">
        <f>MOLISA!Y12</f>
        <v>0</v>
      </c>
      <c r="Z12" s="1422">
        <f>MOLISA!Z12</f>
        <v>0</v>
      </c>
      <c r="AA12" s="1549">
        <f>MOLISA!AA12</f>
        <v>0</v>
      </c>
      <c r="AB12" s="1422">
        <f>MOLISA!AB12</f>
        <v>2877</v>
      </c>
      <c r="AC12" s="1422">
        <f>MOLISA!AC12</f>
        <v>0</v>
      </c>
      <c r="AD12" s="1424">
        <f>MOLISA!AD12</f>
        <v>2877</v>
      </c>
      <c r="AE12" s="1241"/>
      <c r="AF12" s="1241"/>
      <c r="AG12" s="1241"/>
      <c r="AH12" s="1241"/>
      <c r="AI12" s="1240"/>
      <c r="AJ12" s="1240"/>
      <c r="AK12" s="1240"/>
      <c r="AL12" s="1240"/>
      <c r="AM12" s="1240"/>
      <c r="AN12" s="1240"/>
      <c r="AO12" s="1240"/>
      <c r="AP12" s="1240"/>
      <c r="AQ12" s="1240"/>
      <c r="AR12" s="1240"/>
      <c r="AS12" s="1240"/>
    </row>
    <row r="13" spans="1:45" s="1238" customFormat="1" ht="126.75" customHeight="1">
      <c r="A13" s="2031" t="s">
        <v>556</v>
      </c>
      <c r="B13" s="1294" t="s">
        <v>555</v>
      </c>
      <c r="C13" s="1997" t="s">
        <v>176</v>
      </c>
      <c r="D13" s="2006" t="s">
        <v>176</v>
      </c>
      <c r="E13" s="1293"/>
      <c r="F13" s="1293"/>
      <c r="G13" s="1293"/>
      <c r="H13" s="1294"/>
      <c r="I13" s="1295" t="s">
        <v>301</v>
      </c>
      <c r="J13" s="1294" t="s">
        <v>611</v>
      </c>
      <c r="K13" s="1508"/>
      <c r="L13" s="1296"/>
      <c r="M13" s="1297"/>
      <c r="N13" s="1298">
        <f>L13+M13</f>
        <v>0</v>
      </c>
      <c r="O13" s="1299"/>
      <c r="P13" s="1300"/>
      <c r="Q13" s="1301">
        <f aca="true" t="shared" si="0" ref="Q13:Q21">O13+P13</f>
        <v>0</v>
      </c>
      <c r="R13" s="1293"/>
      <c r="S13" s="1299">
        <f>L13-O13</f>
        <v>0</v>
      </c>
      <c r="T13" s="1302">
        <f>M13-P13</f>
        <v>0</v>
      </c>
      <c r="U13" s="1303">
        <f aca="true" t="shared" si="1" ref="U13:U22">S13+T13</f>
        <v>0</v>
      </c>
      <c r="V13" s="1309"/>
      <c r="W13" s="1300"/>
      <c r="X13" s="1306"/>
      <c r="Y13" s="1299"/>
      <c r="Z13" s="1300"/>
      <c r="AA13" s="1301"/>
      <c r="AB13" s="1310"/>
      <c r="AC13" s="1310"/>
      <c r="AD13" s="1311"/>
      <c r="AE13" s="1241"/>
      <c r="AF13" s="1241"/>
      <c r="AG13" s="1241"/>
      <c r="AH13" s="1241"/>
      <c r="AI13" s="1240"/>
      <c r="AJ13" s="1240"/>
      <c r="AK13" s="1240"/>
      <c r="AL13" s="1240"/>
      <c r="AM13" s="1240"/>
      <c r="AN13" s="1240"/>
      <c r="AO13" s="1240"/>
      <c r="AP13" s="1240"/>
      <c r="AQ13" s="1240"/>
      <c r="AR13" s="1240"/>
      <c r="AS13" s="1240"/>
    </row>
    <row r="14" spans="1:45" s="1238" customFormat="1" ht="78.75" customHeight="1">
      <c r="A14" s="2032"/>
      <c r="B14" s="1312" t="s">
        <v>431</v>
      </c>
      <c r="C14" s="1313"/>
      <c r="D14" s="1313"/>
      <c r="E14" s="1313"/>
      <c r="F14" s="1313"/>
      <c r="G14" s="1313"/>
      <c r="H14" s="1283" t="s">
        <v>167</v>
      </c>
      <c r="I14" s="1284"/>
      <c r="J14" s="1283"/>
      <c r="K14" s="1509" t="s">
        <v>350</v>
      </c>
      <c r="L14" s="1314">
        <f>MOLISA!L14</f>
        <v>35600</v>
      </c>
      <c r="M14" s="1362">
        <f>MOLISA!M14</f>
        <v>47985</v>
      </c>
      <c r="N14" s="1363">
        <f>MOLISA!N14</f>
        <v>83585</v>
      </c>
      <c r="O14" s="1132">
        <f>MOLISA!O14</f>
        <v>82705</v>
      </c>
      <c r="P14" s="1362">
        <f>MOLISA!P14</f>
        <v>48703</v>
      </c>
      <c r="Q14" s="1364">
        <f>MOLISA!Q14</f>
        <v>131408</v>
      </c>
      <c r="R14" s="1912" t="str">
        <f>MOLISA!R14</f>
        <v>ACTIVITY 04</v>
      </c>
      <c r="S14" s="1134">
        <f aca="true" t="shared" si="2" ref="S14:S22">L14-O14</f>
        <v>-47105</v>
      </c>
      <c r="T14" s="1493">
        <f aca="true" t="shared" si="3" ref="T14:T22">M14-P14</f>
        <v>-718</v>
      </c>
      <c r="U14" s="1558">
        <f t="shared" si="1"/>
        <v>-47823</v>
      </c>
      <c r="V14" s="1314">
        <f>MOLISA!V14</f>
        <v>0</v>
      </c>
      <c r="W14" s="1362">
        <f>MOLISA!W14</f>
        <v>5072</v>
      </c>
      <c r="X14" s="1363">
        <f>MOLISA!X14</f>
        <v>5072</v>
      </c>
      <c r="Y14" s="1132">
        <f>MOLISA!Y14</f>
        <v>0</v>
      </c>
      <c r="Z14" s="1362">
        <f>MOLISA!Z14</f>
        <v>0</v>
      </c>
      <c r="AA14" s="1364">
        <f>MOLISA!AA14</f>
        <v>0</v>
      </c>
      <c r="AB14" s="1362">
        <f>MOLISA!AB14</f>
        <v>0</v>
      </c>
      <c r="AC14" s="1362">
        <f>MOLISA!AC14</f>
        <v>5072</v>
      </c>
      <c r="AD14" s="1410">
        <f>MOLISA!AD14</f>
        <v>5072</v>
      </c>
      <c r="AE14" s="1241"/>
      <c r="AF14" s="1241"/>
      <c r="AG14" s="1241"/>
      <c r="AH14" s="1241"/>
      <c r="AI14" s="1240"/>
      <c r="AJ14" s="1240"/>
      <c r="AK14" s="1240"/>
      <c r="AL14" s="1240"/>
      <c r="AM14" s="1240"/>
      <c r="AN14" s="1240"/>
      <c r="AO14" s="1240"/>
      <c r="AP14" s="1240"/>
      <c r="AQ14" s="1240"/>
      <c r="AR14" s="1240"/>
      <c r="AS14" s="1240"/>
    </row>
    <row r="15" spans="1:45" s="1238" customFormat="1" ht="82.5" customHeight="1">
      <c r="A15" s="2032"/>
      <c r="B15" s="908" t="s">
        <v>557</v>
      </c>
      <c r="C15" s="1998" t="s">
        <v>176</v>
      </c>
      <c r="D15" s="2004"/>
      <c r="E15" s="908"/>
      <c r="F15" s="908"/>
      <c r="G15" s="908"/>
      <c r="H15" s="908"/>
      <c r="I15" s="1295" t="s">
        <v>310</v>
      </c>
      <c r="J15" s="1294" t="s">
        <v>183</v>
      </c>
      <c r="K15" s="1508"/>
      <c r="L15" s="1296"/>
      <c r="M15" s="1297"/>
      <c r="N15" s="1298">
        <f>L15+M15</f>
        <v>0</v>
      </c>
      <c r="O15" s="1308"/>
      <c r="P15" s="1297"/>
      <c r="Q15" s="1301">
        <f t="shared" si="0"/>
        <v>0</v>
      </c>
      <c r="R15" s="1293"/>
      <c r="S15" s="1299">
        <f t="shared" si="2"/>
        <v>0</v>
      </c>
      <c r="T15" s="1302">
        <f t="shared" si="3"/>
        <v>0</v>
      </c>
      <c r="U15" s="1303">
        <f t="shared" si="1"/>
        <v>0</v>
      </c>
      <c r="V15" s="1309"/>
      <c r="W15" s="1300"/>
      <c r="X15" s="1306"/>
      <c r="Y15" s="1299"/>
      <c r="Z15" s="1300"/>
      <c r="AA15" s="1301"/>
      <c r="AB15" s="1310"/>
      <c r="AC15" s="1310"/>
      <c r="AD15" s="1311"/>
      <c r="AE15" s="1241"/>
      <c r="AF15" s="1241"/>
      <c r="AG15" s="1241"/>
      <c r="AH15" s="1241"/>
      <c r="AI15" s="1240"/>
      <c r="AJ15" s="1240"/>
      <c r="AK15" s="1240"/>
      <c r="AL15" s="1240"/>
      <c r="AM15" s="1240"/>
      <c r="AN15" s="1240"/>
      <c r="AO15" s="1240"/>
      <c r="AP15" s="1240"/>
      <c r="AQ15" s="1240"/>
      <c r="AR15" s="1240"/>
      <c r="AS15" s="1240"/>
    </row>
    <row r="16" spans="1:45" s="1238" customFormat="1" ht="28.5" customHeight="1">
      <c r="A16" s="1350"/>
      <c r="B16" s="1312" t="s">
        <v>431</v>
      </c>
      <c r="C16" s="1313"/>
      <c r="D16" s="1313"/>
      <c r="E16" s="1313"/>
      <c r="F16" s="1313"/>
      <c r="G16" s="1313"/>
      <c r="H16" s="1283" t="s">
        <v>167</v>
      </c>
      <c r="I16" s="1284"/>
      <c r="J16" s="1283"/>
      <c r="K16" s="1509" t="s">
        <v>350</v>
      </c>
      <c r="L16" s="1314">
        <f>MOLISA!L16</f>
        <v>10000</v>
      </c>
      <c r="M16" s="1362">
        <f>MOLISA!M16</f>
        <v>1500</v>
      </c>
      <c r="N16" s="1363">
        <f>MOLISA!N16</f>
        <v>11500</v>
      </c>
      <c r="O16" s="1132">
        <f>MOLISA!O16</f>
        <v>3947</v>
      </c>
      <c r="P16" s="1362">
        <f>MOLISA!P16</f>
        <v>0</v>
      </c>
      <c r="Q16" s="1364">
        <f>MOLISA!Q16</f>
        <v>3947</v>
      </c>
      <c r="R16" s="1912" t="str">
        <f>MOLISA!R16</f>
        <v>ACTIVITY 04</v>
      </c>
      <c r="S16" s="1134">
        <f t="shared" si="2"/>
        <v>6053</v>
      </c>
      <c r="T16" s="1493">
        <f t="shared" si="3"/>
        <v>1500</v>
      </c>
      <c r="U16" s="1558">
        <f t="shared" si="1"/>
        <v>7553</v>
      </c>
      <c r="V16" s="1314">
        <f>MOLISA!V16</f>
        <v>13112</v>
      </c>
      <c r="W16" s="1362">
        <f>MOLISA!W16</f>
        <v>0</v>
      </c>
      <c r="X16" s="1363">
        <f>MOLISA!X16</f>
        <v>13112</v>
      </c>
      <c r="Y16" s="1132">
        <f>MOLISA!Y16</f>
        <v>0</v>
      </c>
      <c r="Z16" s="1362">
        <f>MOLISA!Z16</f>
        <v>0</v>
      </c>
      <c r="AA16" s="1364">
        <f>MOLISA!AA16</f>
        <v>0</v>
      </c>
      <c r="AB16" s="1362">
        <f>MOLISA!AB16</f>
        <v>13112</v>
      </c>
      <c r="AC16" s="1362">
        <f>MOLISA!AC16</f>
        <v>0</v>
      </c>
      <c r="AD16" s="1410">
        <f>MOLISA!AD16</f>
        <v>13112</v>
      </c>
      <c r="AE16" s="1241"/>
      <c r="AF16" s="1241"/>
      <c r="AG16" s="1241"/>
      <c r="AH16" s="1241"/>
      <c r="AI16" s="1240"/>
      <c r="AJ16" s="1240"/>
      <c r="AK16" s="1240"/>
      <c r="AL16" s="1240"/>
      <c r="AM16" s="1240"/>
      <c r="AN16" s="1240"/>
      <c r="AO16" s="1240"/>
      <c r="AP16" s="1240"/>
      <c r="AQ16" s="1240"/>
      <c r="AR16" s="1240"/>
      <c r="AS16" s="1240"/>
    </row>
    <row r="17" spans="1:45" s="1235" customFormat="1" ht="102.75" customHeight="1">
      <c r="A17" s="1350"/>
      <c r="B17" s="908" t="s">
        <v>558</v>
      </c>
      <c r="C17" s="1999" t="s">
        <v>176</v>
      </c>
      <c r="D17" s="1999"/>
      <c r="E17" s="1315"/>
      <c r="F17" s="1315"/>
      <c r="G17" s="1315"/>
      <c r="H17" s="1315"/>
      <c r="I17" s="1295" t="s">
        <v>157</v>
      </c>
      <c r="J17" s="1294" t="s">
        <v>183</v>
      </c>
      <c r="K17" s="1510"/>
      <c r="L17" s="1316">
        <v>0</v>
      </c>
      <c r="M17" s="1317">
        <v>0</v>
      </c>
      <c r="N17" s="1318">
        <f>SUM(L17:M17)</f>
        <v>0</v>
      </c>
      <c r="O17" s="1299"/>
      <c r="P17" s="1300"/>
      <c r="Q17" s="1301">
        <f t="shared" si="0"/>
        <v>0</v>
      </c>
      <c r="R17" s="1352" t="s">
        <v>345</v>
      </c>
      <c r="S17" s="1299">
        <f t="shared" si="2"/>
        <v>0</v>
      </c>
      <c r="T17" s="1302">
        <f t="shared" si="3"/>
        <v>0</v>
      </c>
      <c r="U17" s="1303">
        <f t="shared" si="1"/>
        <v>0</v>
      </c>
      <c r="V17" s="1309"/>
      <c r="W17" s="1300"/>
      <c r="X17" s="1306"/>
      <c r="Y17" s="1299"/>
      <c r="Z17" s="1300"/>
      <c r="AA17" s="1301"/>
      <c r="AB17" s="908"/>
      <c r="AC17" s="908"/>
      <c r="AD17" s="1311"/>
      <c r="AE17" s="1288"/>
      <c r="AF17" s="1288"/>
      <c r="AG17" s="1288"/>
      <c r="AH17" s="1288"/>
      <c r="AI17" s="1227"/>
      <c r="AJ17" s="1227"/>
      <c r="AK17" s="1227"/>
      <c r="AL17" s="1227"/>
      <c r="AM17" s="1227"/>
      <c r="AN17" s="1227"/>
      <c r="AO17" s="1227"/>
      <c r="AP17" s="1227"/>
      <c r="AQ17" s="1227"/>
      <c r="AR17" s="1227"/>
      <c r="AS17" s="1227"/>
    </row>
    <row r="18" spans="1:45" s="1238" customFormat="1" ht="24" customHeight="1">
      <c r="A18" s="1795"/>
      <c r="B18" s="1312" t="s">
        <v>433</v>
      </c>
      <c r="C18" s="1313"/>
      <c r="D18" s="1313"/>
      <c r="E18" s="1313"/>
      <c r="F18" s="1313"/>
      <c r="G18" s="1313"/>
      <c r="H18" s="1283" t="s">
        <v>157</v>
      </c>
      <c r="I18" s="1284"/>
      <c r="J18" s="1283"/>
      <c r="K18" s="1509" t="s">
        <v>185</v>
      </c>
      <c r="L18" s="1314">
        <f>'MOCST '!L11</f>
        <v>11900</v>
      </c>
      <c r="M18" s="1362">
        <f>'MOCST '!M11</f>
        <v>3000</v>
      </c>
      <c r="N18" s="1363">
        <f>'MOCST '!N11</f>
        <v>14900</v>
      </c>
      <c r="O18" s="1132">
        <f>'MOCST '!O11</f>
        <v>13030</v>
      </c>
      <c r="P18" s="1362">
        <f>'MOCST '!P11</f>
        <v>2790</v>
      </c>
      <c r="Q18" s="1364">
        <f>'MOCST '!Q11</f>
        <v>15820</v>
      </c>
      <c r="R18" s="1912" t="str">
        <f>'MOCST '!R11</f>
        <v>ACTIVITY 08</v>
      </c>
      <c r="S18" s="1134">
        <f t="shared" si="2"/>
        <v>-1130</v>
      </c>
      <c r="T18" s="1493">
        <f t="shared" si="3"/>
        <v>210</v>
      </c>
      <c r="U18" s="1558">
        <f t="shared" si="1"/>
        <v>-920</v>
      </c>
      <c r="V18" s="1314">
        <f>'MOCST '!V11</f>
        <v>1840</v>
      </c>
      <c r="W18" s="1362">
        <f>'MOCST '!W11</f>
        <v>0</v>
      </c>
      <c r="X18" s="1363">
        <f>'MOCST '!X11</f>
        <v>1840</v>
      </c>
      <c r="Y18" s="1132">
        <f>'MOCST '!Y11</f>
        <v>0</v>
      </c>
      <c r="Z18" s="1362">
        <f>'MOCST '!Z11</f>
        <v>0</v>
      </c>
      <c r="AA18" s="1364">
        <f>'MOCST '!AA11</f>
        <v>0</v>
      </c>
      <c r="AB18" s="1362">
        <f>'MOCST '!AB11</f>
        <v>1840</v>
      </c>
      <c r="AC18" s="1362">
        <f>'MOCST '!AC11</f>
        <v>0</v>
      </c>
      <c r="AD18" s="1410">
        <f>'MOCST '!AD11</f>
        <v>1840</v>
      </c>
      <c r="AE18" s="1241"/>
      <c r="AF18" s="1241"/>
      <c r="AG18" s="1241"/>
      <c r="AH18" s="1241"/>
      <c r="AI18" s="1240"/>
      <c r="AJ18" s="1240"/>
      <c r="AK18" s="1240"/>
      <c r="AL18" s="1240"/>
      <c r="AM18" s="1240"/>
      <c r="AN18" s="1240"/>
      <c r="AO18" s="1240"/>
      <c r="AP18" s="1240"/>
      <c r="AQ18" s="1240"/>
      <c r="AR18" s="1240"/>
      <c r="AS18" s="1240"/>
    </row>
    <row r="19" spans="1:45" s="1238" customFormat="1" ht="135.75" customHeight="1">
      <c r="A19" s="1350"/>
      <c r="B19" s="1923" t="s">
        <v>560</v>
      </c>
      <c r="C19" s="2000" t="s">
        <v>176</v>
      </c>
      <c r="D19" s="2000" t="s">
        <v>176</v>
      </c>
      <c r="E19" s="1923" t="s">
        <v>176</v>
      </c>
      <c r="F19" s="1923" t="s">
        <v>176</v>
      </c>
      <c r="G19" s="1923"/>
      <c r="H19" s="1923"/>
      <c r="I19" s="1924" t="s">
        <v>218</v>
      </c>
      <c r="J19" s="1925" t="s">
        <v>179</v>
      </c>
      <c r="K19" s="1926"/>
      <c r="L19" s="1927"/>
      <c r="M19" s="1928"/>
      <c r="N19" s="1929">
        <f>L19+M19</f>
        <v>0</v>
      </c>
      <c r="O19" s="1135"/>
      <c r="P19" s="1930"/>
      <c r="Q19" s="1931">
        <f t="shared" si="0"/>
        <v>0</v>
      </c>
      <c r="R19" s="1932"/>
      <c r="S19" s="1135">
        <f t="shared" si="2"/>
        <v>0</v>
      </c>
      <c r="T19" s="1933">
        <f t="shared" si="3"/>
        <v>0</v>
      </c>
      <c r="U19" s="1934">
        <f t="shared" si="1"/>
        <v>0</v>
      </c>
      <c r="V19" s="1935"/>
      <c r="W19" s="1930"/>
      <c r="X19" s="1936"/>
      <c r="Y19" s="1135"/>
      <c r="Z19" s="1930"/>
      <c r="AA19" s="1931"/>
      <c r="AB19" s="1937"/>
      <c r="AC19" s="1937"/>
      <c r="AD19" s="1938"/>
      <c r="AE19" s="1241"/>
      <c r="AF19" s="1241"/>
      <c r="AG19" s="1241"/>
      <c r="AH19" s="1241"/>
      <c r="AI19" s="1240"/>
      <c r="AJ19" s="1240"/>
      <c r="AK19" s="1240"/>
      <c r="AL19" s="1240"/>
      <c r="AM19" s="1240"/>
      <c r="AN19" s="1240"/>
      <c r="AO19" s="1240"/>
      <c r="AP19" s="1240"/>
      <c r="AQ19" s="1240"/>
      <c r="AR19" s="1240"/>
      <c r="AS19" s="1240"/>
    </row>
    <row r="20" spans="1:45" s="1238" customFormat="1" ht="33.75" customHeight="1">
      <c r="A20" s="1350"/>
      <c r="B20" s="1312" t="s">
        <v>434</v>
      </c>
      <c r="C20" s="1313"/>
      <c r="D20" s="1313"/>
      <c r="E20" s="1313"/>
      <c r="F20" s="1313"/>
      <c r="G20" s="1313"/>
      <c r="H20" s="1283" t="s">
        <v>167</v>
      </c>
      <c r="I20" s="1284"/>
      <c r="J20" s="1283"/>
      <c r="K20" s="1509" t="s">
        <v>185</v>
      </c>
      <c r="L20" s="1314">
        <f>MOLISA!L18</f>
        <v>35000</v>
      </c>
      <c r="M20" s="1362">
        <f>MOLISA!M18</f>
        <v>25000</v>
      </c>
      <c r="N20" s="1363">
        <f>MOLISA!N18</f>
        <v>60000</v>
      </c>
      <c r="O20" s="1132">
        <f>MOLISA!O18</f>
        <v>40507</v>
      </c>
      <c r="P20" s="1362">
        <f>MOLISA!P18</f>
        <v>21397</v>
      </c>
      <c r="Q20" s="1364">
        <f>MOLISA!Q18</f>
        <v>61904</v>
      </c>
      <c r="R20" s="1912" t="str">
        <f>MOLISA!R18</f>
        <v>ACTIVITY 07</v>
      </c>
      <c r="S20" s="1134">
        <f t="shared" si="2"/>
        <v>-5507</v>
      </c>
      <c r="T20" s="1493">
        <f t="shared" si="3"/>
        <v>3603</v>
      </c>
      <c r="U20" s="1558">
        <f t="shared" si="1"/>
        <v>-1904</v>
      </c>
      <c r="V20" s="1314">
        <f>MOLISA!V18</f>
        <v>57707</v>
      </c>
      <c r="W20" s="1362">
        <f>MOLISA!W18</f>
        <v>11800</v>
      </c>
      <c r="X20" s="1363">
        <f>MOLISA!X18</f>
        <v>69507</v>
      </c>
      <c r="Y20" s="1132">
        <f>MOLISA!Y18</f>
        <v>0</v>
      </c>
      <c r="Z20" s="1362">
        <f>MOLISA!Z18</f>
        <v>0</v>
      </c>
      <c r="AA20" s="1364">
        <f>MOLISA!AA18</f>
        <v>0</v>
      </c>
      <c r="AB20" s="1362">
        <f>MOLISA!AB18</f>
        <v>57707</v>
      </c>
      <c r="AC20" s="1362">
        <f>MOLISA!AC18</f>
        <v>11800</v>
      </c>
      <c r="AD20" s="1410">
        <f>MOLISA!AD18</f>
        <v>69507</v>
      </c>
      <c r="AE20" s="1241"/>
      <c r="AF20" s="1241"/>
      <c r="AG20" s="1241"/>
      <c r="AH20" s="1241"/>
      <c r="AI20" s="1240"/>
      <c r="AJ20" s="1240"/>
      <c r="AK20" s="1240"/>
      <c r="AL20" s="1240"/>
      <c r="AM20" s="1240"/>
      <c r="AN20" s="1240"/>
      <c r="AO20" s="1240"/>
      <c r="AP20" s="1240"/>
      <c r="AQ20" s="1240"/>
      <c r="AR20" s="1240"/>
      <c r="AS20" s="1240"/>
    </row>
    <row r="21" spans="1:45" s="1238" customFormat="1" ht="144" customHeight="1">
      <c r="A21" s="1350"/>
      <c r="B21" s="908" t="s">
        <v>559</v>
      </c>
      <c r="C21" s="1998" t="s">
        <v>176</v>
      </c>
      <c r="D21" s="1998" t="s">
        <v>176</v>
      </c>
      <c r="E21" s="908" t="s">
        <v>176</v>
      </c>
      <c r="F21" s="908" t="s">
        <v>176</v>
      </c>
      <c r="G21" s="908"/>
      <c r="H21" s="908" t="s">
        <v>157</v>
      </c>
      <c r="I21" s="1295" t="s">
        <v>346</v>
      </c>
      <c r="J21" s="1294" t="s">
        <v>179</v>
      </c>
      <c r="K21" s="1508"/>
      <c r="L21" s="1296"/>
      <c r="M21" s="1297"/>
      <c r="N21" s="1298">
        <f>L21+M21</f>
        <v>0</v>
      </c>
      <c r="O21" s="1299"/>
      <c r="P21" s="1300"/>
      <c r="Q21" s="1301">
        <f t="shared" si="0"/>
        <v>0</v>
      </c>
      <c r="R21" s="1293"/>
      <c r="S21" s="1299">
        <f t="shared" si="2"/>
        <v>0</v>
      </c>
      <c r="T21" s="1302">
        <f t="shared" si="3"/>
        <v>0</v>
      </c>
      <c r="U21" s="1303">
        <f t="shared" si="1"/>
        <v>0</v>
      </c>
      <c r="V21" s="1309"/>
      <c r="W21" s="1300"/>
      <c r="X21" s="1306"/>
      <c r="Y21" s="1299"/>
      <c r="Z21" s="1300"/>
      <c r="AA21" s="1301"/>
      <c r="AB21" s="1310"/>
      <c r="AC21" s="1310"/>
      <c r="AD21" s="1311"/>
      <c r="AE21" s="1241"/>
      <c r="AF21" s="1241"/>
      <c r="AG21" s="1241"/>
      <c r="AH21" s="1241"/>
      <c r="AI21" s="1240"/>
      <c r="AJ21" s="1240"/>
      <c r="AK21" s="1240"/>
      <c r="AL21" s="1240"/>
      <c r="AM21" s="1240"/>
      <c r="AN21" s="1240"/>
      <c r="AO21" s="1240"/>
      <c r="AP21" s="1240"/>
      <c r="AQ21" s="1240"/>
      <c r="AR21" s="1240"/>
      <c r="AS21" s="1240"/>
    </row>
    <row r="22" spans="1:45" s="1238" customFormat="1" ht="33" customHeight="1">
      <c r="A22" s="1561"/>
      <c r="B22" s="1312" t="s">
        <v>432</v>
      </c>
      <c r="C22" s="1313"/>
      <c r="D22" s="1313"/>
      <c r="E22" s="1313"/>
      <c r="F22" s="1313"/>
      <c r="G22" s="1313"/>
      <c r="H22" s="1283"/>
      <c r="I22" s="1284"/>
      <c r="J22" s="1283"/>
      <c r="K22" s="1509" t="s">
        <v>185</v>
      </c>
      <c r="L22" s="1314">
        <f>'MOCST '!L13</f>
        <v>50000</v>
      </c>
      <c r="M22" s="1362">
        <f>'MOCST '!M13</f>
        <v>14000</v>
      </c>
      <c r="N22" s="1363">
        <f>'MOCST '!N13</f>
        <v>64000</v>
      </c>
      <c r="O22" s="1132">
        <f>'MOCST '!O13</f>
        <v>62022</v>
      </c>
      <c r="P22" s="1362">
        <f>'MOCST '!P13</f>
        <v>10397</v>
      </c>
      <c r="Q22" s="1364">
        <f>'MOCST '!Q13</f>
        <v>72419</v>
      </c>
      <c r="R22" s="1912"/>
      <c r="S22" s="1134">
        <f t="shared" si="2"/>
        <v>-12022</v>
      </c>
      <c r="T22" s="1493">
        <f t="shared" si="3"/>
        <v>3603</v>
      </c>
      <c r="U22" s="1558">
        <f t="shared" si="1"/>
        <v>-8419</v>
      </c>
      <c r="V22" s="1314">
        <f>'MOCST '!V13</f>
        <v>20000</v>
      </c>
      <c r="W22" s="1362">
        <f>'MOCST '!W13</f>
        <v>3603</v>
      </c>
      <c r="X22" s="1363">
        <f>'MOCST '!X13</f>
        <v>23603</v>
      </c>
      <c r="Y22" s="1132">
        <f>'MOCST '!Y13</f>
        <v>5000</v>
      </c>
      <c r="Z22" s="1362">
        <f>'MOCST '!Z13</f>
        <v>0</v>
      </c>
      <c r="AA22" s="1364">
        <f>'MOCST '!AA13</f>
        <v>5000</v>
      </c>
      <c r="AB22" s="1362">
        <f>'MOCST '!AB13</f>
        <v>25000</v>
      </c>
      <c r="AC22" s="1362">
        <f>'MOCST '!AC13</f>
        <v>3603</v>
      </c>
      <c r="AD22" s="1410">
        <f>'MOCST '!AD13</f>
        <v>28603</v>
      </c>
      <c r="AE22" s="1241"/>
      <c r="AF22" s="1241"/>
      <c r="AG22" s="1241"/>
      <c r="AH22" s="1241"/>
      <c r="AI22" s="1240"/>
      <c r="AJ22" s="1240"/>
      <c r="AK22" s="1240"/>
      <c r="AL22" s="1240"/>
      <c r="AM22" s="1240"/>
      <c r="AN22" s="1240"/>
      <c r="AO22" s="1240"/>
      <c r="AP22" s="1240"/>
      <c r="AQ22" s="1240"/>
      <c r="AR22" s="1240"/>
      <c r="AS22" s="1240"/>
    </row>
    <row r="23" spans="1:45" s="1238" customFormat="1" ht="30.75" customHeight="1">
      <c r="A23" s="1417"/>
      <c r="B23" s="1418" t="s">
        <v>336</v>
      </c>
      <c r="C23" s="1420"/>
      <c r="D23" s="1420"/>
      <c r="E23" s="1420"/>
      <c r="F23" s="1420"/>
      <c r="G23" s="1420"/>
      <c r="H23" s="1421"/>
      <c r="I23" s="1425"/>
      <c r="J23" s="1421"/>
      <c r="K23" s="1511"/>
      <c r="L23" s="1535">
        <f>SUM(L13:L22)</f>
        <v>142500</v>
      </c>
      <c r="M23" s="1423">
        <f>SUM(M13:M22)</f>
        <v>91485</v>
      </c>
      <c r="N23" s="1536">
        <f>SUM(N13:N22)</f>
        <v>233985</v>
      </c>
      <c r="O23" s="1527">
        <f aca="true" t="shared" si="4" ref="O23:AD23">SUM(O13:O22)</f>
        <v>202211</v>
      </c>
      <c r="P23" s="1423">
        <f t="shared" si="4"/>
        <v>83287</v>
      </c>
      <c r="Q23" s="1550">
        <f t="shared" si="4"/>
        <v>285498</v>
      </c>
      <c r="R23" s="1423"/>
      <c r="S23" s="1527">
        <f t="shared" si="4"/>
        <v>-59711</v>
      </c>
      <c r="T23" s="1423">
        <f t="shared" si="4"/>
        <v>8198</v>
      </c>
      <c r="U23" s="1550">
        <f t="shared" si="4"/>
        <v>-51513</v>
      </c>
      <c r="V23" s="1535">
        <f t="shared" si="4"/>
        <v>92659</v>
      </c>
      <c r="W23" s="1423">
        <f t="shared" si="4"/>
        <v>20475</v>
      </c>
      <c r="X23" s="1536">
        <f t="shared" si="4"/>
        <v>113134</v>
      </c>
      <c r="Y23" s="1527">
        <f t="shared" si="4"/>
        <v>5000</v>
      </c>
      <c r="Z23" s="1423">
        <f t="shared" si="4"/>
        <v>0</v>
      </c>
      <c r="AA23" s="1550">
        <f t="shared" si="4"/>
        <v>5000</v>
      </c>
      <c r="AB23" s="1423">
        <f t="shared" si="4"/>
        <v>97659</v>
      </c>
      <c r="AC23" s="1423">
        <f t="shared" si="4"/>
        <v>20475</v>
      </c>
      <c r="AD23" s="1426">
        <f t="shared" si="4"/>
        <v>118134</v>
      </c>
      <c r="AE23" s="1241"/>
      <c r="AF23" s="1241"/>
      <c r="AG23" s="1241"/>
      <c r="AH23" s="1241"/>
      <c r="AI23" s="1240"/>
      <c r="AJ23" s="1240"/>
      <c r="AK23" s="1240"/>
      <c r="AL23" s="1240"/>
      <c r="AM23" s="1240"/>
      <c r="AN23" s="1240"/>
      <c r="AO23" s="1240"/>
      <c r="AP23" s="1240"/>
      <c r="AQ23" s="1240"/>
      <c r="AR23" s="1240"/>
      <c r="AS23" s="1240"/>
    </row>
    <row r="24" spans="1:45" s="1238" customFormat="1" ht="57.75" customHeight="1">
      <c r="A24" s="2033" t="s">
        <v>563</v>
      </c>
      <c r="B24" s="908" t="s">
        <v>561</v>
      </c>
      <c r="C24" s="1998" t="s">
        <v>176</v>
      </c>
      <c r="D24" s="1998" t="s">
        <v>176</v>
      </c>
      <c r="E24" s="908" t="s">
        <v>176</v>
      </c>
      <c r="F24" s="908"/>
      <c r="G24" s="908"/>
      <c r="H24" s="908" t="s">
        <v>167</v>
      </c>
      <c r="I24" s="1295" t="s">
        <v>316</v>
      </c>
      <c r="J24" s="1294" t="s">
        <v>183</v>
      </c>
      <c r="K24" s="1508"/>
      <c r="L24" s="1296"/>
      <c r="M24" s="1297"/>
      <c r="N24" s="1298">
        <f>L24+M24</f>
        <v>0</v>
      </c>
      <c r="O24" s="1299"/>
      <c r="P24" s="1300"/>
      <c r="Q24" s="1301">
        <f>O24+P24</f>
        <v>0</v>
      </c>
      <c r="R24" s="1293"/>
      <c r="S24" s="1299">
        <f aca="true" t="shared" si="5" ref="S24:S44">L24-O24</f>
        <v>0</v>
      </c>
      <c r="T24" s="1302">
        <f aca="true" t="shared" si="6" ref="T24:T44">M24-P24</f>
        <v>0</v>
      </c>
      <c r="U24" s="1303">
        <f>S24+T24</f>
        <v>0</v>
      </c>
      <c r="V24" s="1309"/>
      <c r="W24" s="1300"/>
      <c r="X24" s="1306"/>
      <c r="Y24" s="1299"/>
      <c r="Z24" s="1300"/>
      <c r="AA24" s="1301"/>
      <c r="AB24" s="1310"/>
      <c r="AC24" s="1310"/>
      <c r="AD24" s="1311"/>
      <c r="AE24" s="1241"/>
      <c r="AF24" s="1241"/>
      <c r="AG24" s="1241"/>
      <c r="AH24" s="1241"/>
      <c r="AI24" s="1240"/>
      <c r="AJ24" s="1240"/>
      <c r="AK24" s="1240"/>
      <c r="AL24" s="1240"/>
      <c r="AM24" s="1240"/>
      <c r="AN24" s="1240"/>
      <c r="AO24" s="1240"/>
      <c r="AP24" s="1240"/>
      <c r="AQ24" s="1240"/>
      <c r="AR24" s="1240"/>
      <c r="AS24" s="1240"/>
    </row>
    <row r="25" spans="1:34" s="1240" customFormat="1" ht="27.75" customHeight="1">
      <c r="A25" s="2034"/>
      <c r="B25" s="1312" t="s">
        <v>435</v>
      </c>
      <c r="C25" s="1322"/>
      <c r="D25" s="1322"/>
      <c r="E25" s="1322"/>
      <c r="F25" s="1322"/>
      <c r="G25" s="1322"/>
      <c r="H25" s="1283"/>
      <c r="I25" s="1284"/>
      <c r="J25" s="1283"/>
      <c r="K25" s="1509" t="s">
        <v>185</v>
      </c>
      <c r="L25" s="1314">
        <f>MOLISA!L21</f>
        <v>18000</v>
      </c>
      <c r="M25" s="1362">
        <f>MOLISA!M21</f>
        <v>2000</v>
      </c>
      <c r="N25" s="1363">
        <f>MOLISA!N21</f>
        <v>20000</v>
      </c>
      <c r="O25" s="1132">
        <f>MOLISA!O21</f>
        <v>0</v>
      </c>
      <c r="P25" s="1362">
        <f>MOLISA!P21</f>
        <v>0</v>
      </c>
      <c r="Q25" s="1364">
        <f>MOLISA!Q21</f>
        <v>0</v>
      </c>
      <c r="R25" s="1912" t="str">
        <f>MOLISA!R21</f>
        <v>ACTIVITY 07</v>
      </c>
      <c r="S25" s="1132">
        <f>MOLISA!S21</f>
        <v>18000</v>
      </c>
      <c r="T25" s="1362">
        <f>MOLISA!T21</f>
        <v>2000</v>
      </c>
      <c r="U25" s="1364">
        <f>MOLISA!U21</f>
        <v>20000</v>
      </c>
      <c r="V25" s="1314">
        <f>MOLISA!V21</f>
        <v>30000</v>
      </c>
      <c r="W25" s="1362">
        <f>MOLISA!W21</f>
        <v>0</v>
      </c>
      <c r="X25" s="1363">
        <f>MOLISA!X21</f>
        <v>30000</v>
      </c>
      <c r="Y25" s="1132">
        <f>MOLISA!Y21</f>
        <v>0</v>
      </c>
      <c r="Z25" s="1362">
        <f>MOLISA!Z21</f>
        <v>0</v>
      </c>
      <c r="AA25" s="1364">
        <f>MOLISA!AA21</f>
        <v>0</v>
      </c>
      <c r="AB25" s="1362">
        <f>MOLISA!AB21</f>
        <v>30000</v>
      </c>
      <c r="AC25" s="1362">
        <f>MOLISA!AC21</f>
        <v>0</v>
      </c>
      <c r="AD25" s="1410">
        <f>MOLISA!AD21</f>
        <v>30000</v>
      </c>
      <c r="AE25" s="1241"/>
      <c r="AF25" s="1241"/>
      <c r="AG25" s="1241"/>
      <c r="AH25" s="1241"/>
    </row>
    <row r="26" spans="1:34" s="1240" customFormat="1" ht="183" customHeight="1">
      <c r="A26" s="2034"/>
      <c r="B26" s="908" t="s">
        <v>562</v>
      </c>
      <c r="C26" s="908"/>
      <c r="D26" s="1998" t="s">
        <v>176</v>
      </c>
      <c r="E26" s="908" t="s">
        <v>176</v>
      </c>
      <c r="F26" s="908" t="s">
        <v>176</v>
      </c>
      <c r="G26" s="908"/>
      <c r="H26" s="908" t="s">
        <v>157</v>
      </c>
      <c r="I26" s="1295" t="s">
        <v>317</v>
      </c>
      <c r="J26" s="1294" t="s">
        <v>183</v>
      </c>
      <c r="K26" s="1508"/>
      <c r="L26" s="1296">
        <v>0</v>
      </c>
      <c r="M26" s="1297"/>
      <c r="N26" s="1298">
        <f>L26+M26</f>
        <v>0</v>
      </c>
      <c r="O26" s="1299">
        <v>0</v>
      </c>
      <c r="P26" s="1300">
        <v>0</v>
      </c>
      <c r="Q26" s="1301">
        <f>O26+P26</f>
        <v>0</v>
      </c>
      <c r="R26" s="1293"/>
      <c r="S26" s="1299">
        <f t="shared" si="5"/>
        <v>0</v>
      </c>
      <c r="T26" s="1302">
        <f t="shared" si="6"/>
        <v>0</v>
      </c>
      <c r="U26" s="1303">
        <f>S26+T26</f>
        <v>0</v>
      </c>
      <c r="V26" s="1309"/>
      <c r="W26" s="1300"/>
      <c r="X26" s="1306"/>
      <c r="Y26" s="1299"/>
      <c r="Z26" s="1300"/>
      <c r="AA26" s="1301"/>
      <c r="AB26" s="1310"/>
      <c r="AC26" s="1310"/>
      <c r="AD26" s="1311"/>
      <c r="AE26" s="1241"/>
      <c r="AF26" s="1241"/>
      <c r="AG26" s="1241"/>
      <c r="AH26" s="1241"/>
    </row>
    <row r="27" spans="1:34" s="1240" customFormat="1" ht="47.25" customHeight="1">
      <c r="A27" s="2034"/>
      <c r="B27" s="1312" t="s">
        <v>436</v>
      </c>
      <c r="C27" s="1322"/>
      <c r="D27" s="1322"/>
      <c r="E27" s="1322"/>
      <c r="F27" s="1322"/>
      <c r="G27" s="1322"/>
      <c r="H27" s="1283"/>
      <c r="I27" s="1284"/>
      <c r="J27" s="1283"/>
      <c r="K27" s="1509" t="s">
        <v>185</v>
      </c>
      <c r="L27" s="1314">
        <f>'MOCST '!L16</f>
        <v>10000</v>
      </c>
      <c r="M27" s="1362">
        <f>'MOCST '!M16</f>
        <v>2000</v>
      </c>
      <c r="N27" s="1363">
        <f>'MOCST '!N16</f>
        <v>12000</v>
      </c>
      <c r="O27" s="1132">
        <f>'MOCST '!O16</f>
        <v>9392</v>
      </c>
      <c r="P27" s="1362">
        <f>'MOCST '!P16</f>
        <v>0</v>
      </c>
      <c r="Q27" s="1364">
        <f>'MOCST '!Q16</f>
        <v>9392</v>
      </c>
      <c r="R27" s="1912" t="str">
        <f>'MOCST '!R16</f>
        <v>ACTIVITY 08</v>
      </c>
      <c r="S27" s="1132">
        <f>'MOCST '!S16</f>
        <v>608</v>
      </c>
      <c r="T27" s="1362">
        <f>'MOCST '!T16</f>
        <v>2000</v>
      </c>
      <c r="U27" s="1364">
        <f>'MOCST '!U16</f>
        <v>2608</v>
      </c>
      <c r="V27" s="1314">
        <f>'MOCST '!V16</f>
        <v>648</v>
      </c>
      <c r="W27" s="1362">
        <f>'MOCST '!W16</f>
        <v>0</v>
      </c>
      <c r="X27" s="1363">
        <f>'MOCST '!X16</f>
        <v>648</v>
      </c>
      <c r="Y27" s="1132">
        <f>'MOCST '!Y16</f>
        <v>0</v>
      </c>
      <c r="Z27" s="1362">
        <f>'MOCST '!Z16</f>
        <v>0</v>
      </c>
      <c r="AA27" s="1364">
        <f>'MOCST '!AA16</f>
        <v>0</v>
      </c>
      <c r="AB27" s="1362">
        <f>'MOCST '!AB16</f>
        <v>648</v>
      </c>
      <c r="AC27" s="1362">
        <f>'MOCST '!AC16</f>
        <v>0</v>
      </c>
      <c r="AD27" s="1410">
        <f>'MOCST '!AD16</f>
        <v>648</v>
      </c>
      <c r="AE27" s="1241"/>
      <c r="AF27" s="1241"/>
      <c r="AG27" s="1241"/>
      <c r="AH27" s="1241"/>
    </row>
    <row r="28" spans="1:34" s="1240" customFormat="1" ht="131.25" customHeight="1">
      <c r="A28" s="2034"/>
      <c r="B28" s="908" t="s">
        <v>564</v>
      </c>
      <c r="C28" s="1998" t="s">
        <v>176</v>
      </c>
      <c r="D28" s="1998"/>
      <c r="E28" s="908"/>
      <c r="F28" s="908"/>
      <c r="G28" s="908"/>
      <c r="H28" s="908" t="s">
        <v>167</v>
      </c>
      <c r="I28" s="1295"/>
      <c r="J28" s="1294" t="s">
        <v>183</v>
      </c>
      <c r="K28" s="1508"/>
      <c r="L28" s="1296"/>
      <c r="M28" s="1297"/>
      <c r="N28" s="1298">
        <f>L28+M28</f>
        <v>0</v>
      </c>
      <c r="O28" s="1299"/>
      <c r="P28" s="1300"/>
      <c r="Q28" s="1301">
        <f>O28+P28</f>
        <v>0</v>
      </c>
      <c r="R28" s="1352"/>
      <c r="S28" s="1299">
        <f t="shared" si="5"/>
        <v>0</v>
      </c>
      <c r="T28" s="1302">
        <f t="shared" si="6"/>
        <v>0</v>
      </c>
      <c r="U28" s="1303">
        <f aca="true" t="shared" si="7" ref="U28:U58">S28+T28</f>
        <v>0</v>
      </c>
      <c r="V28" s="1309"/>
      <c r="W28" s="1300"/>
      <c r="X28" s="1306"/>
      <c r="Y28" s="1299"/>
      <c r="Z28" s="1300"/>
      <c r="AA28" s="1301"/>
      <c r="AB28" s="1310"/>
      <c r="AC28" s="1310"/>
      <c r="AD28" s="1311"/>
      <c r="AE28" s="1241"/>
      <c r="AF28" s="1241"/>
      <c r="AG28" s="1241"/>
      <c r="AH28" s="1241"/>
    </row>
    <row r="29" spans="1:45" s="1238" customFormat="1" ht="30.75" customHeight="1">
      <c r="A29" s="1562"/>
      <c r="B29" s="1312" t="s">
        <v>437</v>
      </c>
      <c r="C29" s="1322"/>
      <c r="D29" s="1322"/>
      <c r="E29" s="1322"/>
      <c r="F29" s="1322"/>
      <c r="G29" s="1322"/>
      <c r="H29" s="1283"/>
      <c r="I29" s="1284"/>
      <c r="J29" s="1283"/>
      <c r="K29" s="1509" t="s">
        <v>185</v>
      </c>
      <c r="L29" s="1314">
        <f>MOLISA!L23</f>
        <v>0</v>
      </c>
      <c r="M29" s="1362">
        <f>MOLISA!M23</f>
        <v>0</v>
      </c>
      <c r="N29" s="1363">
        <f>MOLISA!N23</f>
        <v>0</v>
      </c>
      <c r="O29" s="1132">
        <f>MOLISA!O23</f>
        <v>22919</v>
      </c>
      <c r="P29" s="1362">
        <f>MOLISA!P23</f>
        <v>2992.7799999999997</v>
      </c>
      <c r="Q29" s="1364">
        <f>MOLISA!Q23</f>
        <v>25911.78</v>
      </c>
      <c r="R29" s="1912" t="str">
        <f>MOLISA!R23</f>
        <v>ACTIVITY 07</v>
      </c>
      <c r="S29" s="1134">
        <f t="shared" si="5"/>
        <v>-22919</v>
      </c>
      <c r="T29" s="1493">
        <f t="shared" si="6"/>
        <v>-2992.7799999999997</v>
      </c>
      <c r="U29" s="1558">
        <f t="shared" si="7"/>
        <v>-25911.78</v>
      </c>
      <c r="V29" s="1314">
        <f>MOLISA!V23</f>
        <v>1290</v>
      </c>
      <c r="W29" s="1362">
        <f>MOLISA!W23</f>
        <v>0</v>
      </c>
      <c r="X29" s="1363">
        <f>MOLISA!X23</f>
        <v>1290</v>
      </c>
      <c r="Y29" s="1132">
        <f>MOLISA!Y23</f>
        <v>0</v>
      </c>
      <c r="Z29" s="1362">
        <f>MOLISA!Z23</f>
        <v>0</v>
      </c>
      <c r="AA29" s="1364">
        <f>MOLISA!AA23</f>
        <v>0</v>
      </c>
      <c r="AB29" s="1362">
        <f>MOLISA!AB23</f>
        <v>1290</v>
      </c>
      <c r="AC29" s="1362">
        <f>MOLISA!AC23</f>
        <v>0</v>
      </c>
      <c r="AD29" s="1410">
        <f>MOLISA!AD23</f>
        <v>1290</v>
      </c>
      <c r="AE29" s="1241"/>
      <c r="AF29" s="1241"/>
      <c r="AG29" s="1241"/>
      <c r="AH29" s="1241"/>
      <c r="AI29" s="1240"/>
      <c r="AJ29" s="1240"/>
      <c r="AK29" s="1240"/>
      <c r="AL29" s="1240"/>
      <c r="AM29" s="1240"/>
      <c r="AN29" s="1240"/>
      <c r="AO29" s="1240"/>
      <c r="AP29" s="1240"/>
      <c r="AQ29" s="1240"/>
      <c r="AR29" s="1240"/>
      <c r="AS29" s="1240"/>
    </row>
    <row r="30" spans="1:45" s="1238" customFormat="1" ht="135.75" customHeight="1">
      <c r="A30" s="1562"/>
      <c r="B30" s="908" t="s">
        <v>41</v>
      </c>
      <c r="C30" s="1998" t="s">
        <v>176</v>
      </c>
      <c r="D30" s="1998"/>
      <c r="E30" s="908"/>
      <c r="F30" s="908"/>
      <c r="G30" s="908"/>
      <c r="H30" s="908" t="s">
        <v>157</v>
      </c>
      <c r="I30" s="1295"/>
      <c r="J30" s="1294" t="s">
        <v>183</v>
      </c>
      <c r="K30" s="1508"/>
      <c r="L30" s="1296"/>
      <c r="M30" s="1297"/>
      <c r="N30" s="1298"/>
      <c r="O30" s="1299"/>
      <c r="P30" s="1300"/>
      <c r="Q30" s="1301"/>
      <c r="R30" s="1293"/>
      <c r="S30" s="1299">
        <f t="shared" si="5"/>
        <v>0</v>
      </c>
      <c r="T30" s="1302">
        <f t="shared" si="6"/>
        <v>0</v>
      </c>
      <c r="U30" s="1303">
        <f t="shared" si="7"/>
        <v>0</v>
      </c>
      <c r="V30" s="1304"/>
      <c r="W30" s="1305"/>
      <c r="X30" s="1330"/>
      <c r="Y30" s="1307"/>
      <c r="Z30" s="1305"/>
      <c r="AA30" s="1904"/>
      <c r="AB30" s="1280"/>
      <c r="AC30" s="1280"/>
      <c r="AD30" s="1281"/>
      <c r="AE30" s="1241"/>
      <c r="AF30" s="1241"/>
      <c r="AG30" s="1241"/>
      <c r="AH30" s="1241"/>
      <c r="AI30" s="1240"/>
      <c r="AJ30" s="1240"/>
      <c r="AK30" s="1240"/>
      <c r="AL30" s="1240"/>
      <c r="AM30" s="1240"/>
      <c r="AN30" s="1240"/>
      <c r="AO30" s="1240"/>
      <c r="AP30" s="1240"/>
      <c r="AQ30" s="1240"/>
      <c r="AR30" s="1240"/>
      <c r="AS30" s="1240"/>
    </row>
    <row r="31" spans="1:45" s="1238" customFormat="1" ht="34.5" customHeight="1">
      <c r="A31" s="1796"/>
      <c r="B31" s="1312" t="s">
        <v>246</v>
      </c>
      <c r="C31" s="1313"/>
      <c r="D31" s="1313"/>
      <c r="E31" s="1313"/>
      <c r="F31" s="1313"/>
      <c r="G31" s="1313"/>
      <c r="H31" s="1283"/>
      <c r="I31" s="1284"/>
      <c r="J31" s="1283"/>
      <c r="K31" s="1509" t="s">
        <v>185</v>
      </c>
      <c r="L31" s="1314">
        <f>'MOCST '!L18</f>
        <v>11400</v>
      </c>
      <c r="M31" s="1362">
        <f>'MOCST '!M18</f>
        <v>2000</v>
      </c>
      <c r="N31" s="1363">
        <f>'MOCST '!N18</f>
        <v>13400</v>
      </c>
      <c r="O31" s="1132">
        <f>'MOCST '!O18</f>
        <v>6970</v>
      </c>
      <c r="P31" s="1362">
        <f>'MOCST '!P18</f>
        <v>0</v>
      </c>
      <c r="Q31" s="1364">
        <f>'MOCST '!Q18</f>
        <v>6970</v>
      </c>
      <c r="R31" s="1912" t="str">
        <f>'MOCST '!R18</f>
        <v>ACTIVITY 08</v>
      </c>
      <c r="S31" s="1327">
        <f t="shared" si="5"/>
        <v>4430</v>
      </c>
      <c r="T31" s="1496">
        <f t="shared" si="6"/>
        <v>2000</v>
      </c>
      <c r="U31" s="1559">
        <f t="shared" si="7"/>
        <v>6430</v>
      </c>
      <c r="V31" s="1314">
        <f>'MOCST '!V18</f>
        <v>3880</v>
      </c>
      <c r="W31" s="1362">
        <f>'MOCST '!W20</f>
        <v>4669</v>
      </c>
      <c r="X31" s="1363">
        <f>'MOCST '!X18</f>
        <v>3880</v>
      </c>
      <c r="Y31" s="1132">
        <f>'MOCST '!Y18</f>
        <v>0</v>
      </c>
      <c r="Z31" s="1362">
        <f>'MOCST '!Z18</f>
        <v>0</v>
      </c>
      <c r="AA31" s="1364">
        <f>'MOCST '!AA18</f>
        <v>0</v>
      </c>
      <c r="AB31" s="1362">
        <f>'MOCST '!AB18</f>
        <v>3880</v>
      </c>
      <c r="AC31" s="1362">
        <f>'MOCST '!AC18</f>
        <v>0</v>
      </c>
      <c r="AD31" s="1410">
        <f>'MOCST '!AD18</f>
        <v>3880</v>
      </c>
      <c r="AE31" s="1241"/>
      <c r="AF31" s="1241"/>
      <c r="AG31" s="1241"/>
      <c r="AH31" s="1241"/>
      <c r="AI31" s="1240"/>
      <c r="AJ31" s="1240"/>
      <c r="AK31" s="1240"/>
      <c r="AL31" s="1240"/>
      <c r="AM31" s="1240"/>
      <c r="AN31" s="1240"/>
      <c r="AO31" s="1240"/>
      <c r="AP31" s="1240"/>
      <c r="AQ31" s="1240"/>
      <c r="AR31" s="1240"/>
      <c r="AS31" s="1240"/>
    </row>
    <row r="32" spans="1:45" s="1238" customFormat="1" ht="101.25" customHeight="1">
      <c r="A32" s="1562"/>
      <c r="B32" s="1923" t="s">
        <v>42</v>
      </c>
      <c r="C32" s="1923"/>
      <c r="D32" s="2007" t="s">
        <v>176</v>
      </c>
      <c r="E32" s="1923" t="s">
        <v>176</v>
      </c>
      <c r="F32" s="1923"/>
      <c r="G32" s="1923"/>
      <c r="H32" s="1923" t="s">
        <v>167</v>
      </c>
      <c r="I32" s="1924" t="s">
        <v>414</v>
      </c>
      <c r="J32" s="1925" t="s">
        <v>183</v>
      </c>
      <c r="K32" s="1926"/>
      <c r="L32" s="1927"/>
      <c r="M32" s="1928"/>
      <c r="N32" s="1929">
        <f>L32+M32</f>
        <v>0</v>
      </c>
      <c r="O32" s="1135"/>
      <c r="P32" s="1930"/>
      <c r="Q32" s="1931">
        <f>O32+P32</f>
        <v>0</v>
      </c>
      <c r="R32" s="1932"/>
      <c r="S32" s="1135">
        <f t="shared" si="5"/>
        <v>0</v>
      </c>
      <c r="T32" s="1933">
        <f t="shared" si="6"/>
        <v>0</v>
      </c>
      <c r="U32" s="1934">
        <f t="shared" si="7"/>
        <v>0</v>
      </c>
      <c r="V32" s="1935"/>
      <c r="W32" s="1930"/>
      <c r="X32" s="1936"/>
      <c r="Y32" s="1135"/>
      <c r="Z32" s="1930"/>
      <c r="AA32" s="1931"/>
      <c r="AB32" s="1937"/>
      <c r="AC32" s="1937"/>
      <c r="AD32" s="1938"/>
      <c r="AE32" s="1241"/>
      <c r="AF32" s="1241"/>
      <c r="AG32" s="1241"/>
      <c r="AH32" s="1241"/>
      <c r="AI32" s="1240"/>
      <c r="AJ32" s="1240"/>
      <c r="AK32" s="1240"/>
      <c r="AL32" s="1240"/>
      <c r="AM32" s="1240"/>
      <c r="AN32" s="1240"/>
      <c r="AO32" s="1240"/>
      <c r="AP32" s="1240"/>
      <c r="AQ32" s="1240"/>
      <c r="AR32" s="1240"/>
      <c r="AS32" s="1240"/>
    </row>
    <row r="33" spans="1:45" s="1238" customFormat="1" ht="28.5" customHeight="1">
      <c r="A33" s="1562"/>
      <c r="B33" s="1312" t="s">
        <v>247</v>
      </c>
      <c r="C33" s="1313"/>
      <c r="D33" s="1313"/>
      <c r="E33" s="1313"/>
      <c r="F33" s="1313"/>
      <c r="G33" s="1313"/>
      <c r="H33" s="1283"/>
      <c r="I33" s="1284"/>
      <c r="J33" s="1283"/>
      <c r="K33" s="1509" t="s">
        <v>350</v>
      </c>
      <c r="L33" s="1314">
        <f>MOLISA!L25</f>
        <v>46330</v>
      </c>
      <c r="M33" s="1362">
        <f>MOLISA!M25</f>
        <v>3000</v>
      </c>
      <c r="N33" s="1363">
        <f>MOLISA!N25</f>
        <v>49330</v>
      </c>
      <c r="O33" s="1132">
        <f>MOLISA!O25</f>
        <v>0</v>
      </c>
      <c r="P33" s="1362">
        <f>MOLISA!P25</f>
        <v>0</v>
      </c>
      <c r="Q33" s="1364">
        <f>MOLISA!Q25</f>
        <v>0</v>
      </c>
      <c r="R33" s="1912" t="str">
        <f>MOLISA!R25</f>
        <v>ACTIVITY 04</v>
      </c>
      <c r="S33" s="1299">
        <f t="shared" si="5"/>
        <v>46330</v>
      </c>
      <c r="T33" s="1302">
        <f t="shared" si="6"/>
        <v>3000</v>
      </c>
      <c r="U33" s="1303">
        <f t="shared" si="7"/>
        <v>49330</v>
      </c>
      <c r="V33" s="1314">
        <f>MOLISA!V25</f>
        <v>45040</v>
      </c>
      <c r="W33" s="1362">
        <f>MOLISA!W25</f>
        <v>0</v>
      </c>
      <c r="X33" s="1363">
        <f>MOLISA!X25</f>
        <v>45040</v>
      </c>
      <c r="Y33" s="1132">
        <f>MOLISA!Y25</f>
        <v>0</v>
      </c>
      <c r="Z33" s="1362">
        <f>MOLISA!Z25</f>
        <v>0</v>
      </c>
      <c r="AA33" s="1364">
        <f>MOLISA!AA25</f>
        <v>0</v>
      </c>
      <c r="AB33" s="1362">
        <f>MOLISA!AB25</f>
        <v>45040</v>
      </c>
      <c r="AC33" s="1362">
        <f>MOLISA!AC25</f>
        <v>0</v>
      </c>
      <c r="AD33" s="1410">
        <f>MOLISA!AD25</f>
        <v>45040</v>
      </c>
      <c r="AE33" s="1241"/>
      <c r="AF33" s="1241"/>
      <c r="AG33" s="1241"/>
      <c r="AH33" s="1241"/>
      <c r="AI33" s="1240"/>
      <c r="AJ33" s="1240"/>
      <c r="AK33" s="1240"/>
      <c r="AL33" s="1240"/>
      <c r="AM33" s="1240"/>
      <c r="AN33" s="1240"/>
      <c r="AO33" s="1240"/>
      <c r="AP33" s="1240"/>
      <c r="AQ33" s="1240"/>
      <c r="AR33" s="1240"/>
      <c r="AS33" s="1240"/>
    </row>
    <row r="34" spans="1:45" s="1238" customFormat="1" ht="168.75" customHeight="1">
      <c r="A34" s="1562"/>
      <c r="B34" s="908" t="s">
        <v>43</v>
      </c>
      <c r="C34" s="908"/>
      <c r="D34" s="2008" t="s">
        <v>176</v>
      </c>
      <c r="E34" s="908" t="s">
        <v>176</v>
      </c>
      <c r="F34" s="908" t="s">
        <v>176</v>
      </c>
      <c r="G34" s="908"/>
      <c r="H34" s="908" t="s">
        <v>157</v>
      </c>
      <c r="I34" s="1295" t="s">
        <v>349</v>
      </c>
      <c r="J34" s="1294" t="s">
        <v>183</v>
      </c>
      <c r="K34" s="1508"/>
      <c r="L34" s="1296"/>
      <c r="M34" s="1297"/>
      <c r="N34" s="1298">
        <f>L34+M34</f>
        <v>0</v>
      </c>
      <c r="O34" s="1299"/>
      <c r="P34" s="1300"/>
      <c r="Q34" s="1301">
        <f>O34+P34</f>
        <v>0</v>
      </c>
      <c r="R34" s="1293"/>
      <c r="S34" s="1299">
        <f t="shared" si="5"/>
        <v>0</v>
      </c>
      <c r="T34" s="1302">
        <f t="shared" si="6"/>
        <v>0</v>
      </c>
      <c r="U34" s="1303">
        <f t="shared" si="7"/>
        <v>0</v>
      </c>
      <c r="V34" s="1309"/>
      <c r="W34" s="1300"/>
      <c r="X34" s="1306"/>
      <c r="Y34" s="1299"/>
      <c r="Z34" s="1300"/>
      <c r="AA34" s="1301"/>
      <c r="AB34" s="1310"/>
      <c r="AC34" s="1310"/>
      <c r="AD34" s="1311"/>
      <c r="AE34" s="1241"/>
      <c r="AF34" s="1241"/>
      <c r="AG34" s="1241"/>
      <c r="AH34" s="1241"/>
      <c r="AI34" s="1240"/>
      <c r="AJ34" s="1240"/>
      <c r="AK34" s="1240"/>
      <c r="AL34" s="1240"/>
      <c r="AM34" s="1240"/>
      <c r="AN34" s="1240"/>
      <c r="AO34" s="1240"/>
      <c r="AP34" s="1240"/>
      <c r="AQ34" s="1240"/>
      <c r="AR34" s="1240"/>
      <c r="AS34" s="1240"/>
    </row>
    <row r="35" spans="1:45" s="1238" customFormat="1" ht="28.5" customHeight="1">
      <c r="A35" s="1562"/>
      <c r="B35" s="1312" t="s">
        <v>438</v>
      </c>
      <c r="C35" s="1313"/>
      <c r="D35" s="1313"/>
      <c r="E35" s="1313"/>
      <c r="F35" s="1313"/>
      <c r="G35" s="1313"/>
      <c r="H35" s="1283"/>
      <c r="I35" s="1284"/>
      <c r="J35" s="1283"/>
      <c r="K35" s="1509" t="s">
        <v>350</v>
      </c>
      <c r="L35" s="1314">
        <f>'MOCST '!L20</f>
        <v>44700</v>
      </c>
      <c r="M35" s="1362">
        <f>'MOCST '!M20</f>
        <v>2000</v>
      </c>
      <c r="N35" s="1363">
        <f>'MOCST '!N20</f>
        <v>46700</v>
      </c>
      <c r="O35" s="1132">
        <f>'MOCST '!O20</f>
        <v>38941</v>
      </c>
      <c r="P35" s="1362">
        <f>'MOCST '!P20</f>
        <v>0</v>
      </c>
      <c r="Q35" s="1364">
        <f>'MOCST '!Q20</f>
        <v>38941</v>
      </c>
      <c r="R35" s="1912" t="str">
        <f>'MOCST '!R20</f>
        <v>ACTIVITY 05 </v>
      </c>
      <c r="S35" s="1134">
        <f t="shared" si="5"/>
        <v>5759</v>
      </c>
      <c r="T35" s="1493">
        <f t="shared" si="6"/>
        <v>2000</v>
      </c>
      <c r="U35" s="1558">
        <f t="shared" si="7"/>
        <v>7759</v>
      </c>
      <c r="V35" s="1314">
        <f>'MOCST '!V20</f>
        <v>15550</v>
      </c>
      <c r="W35" s="1362" t="e">
        <f>'MOCST '!#REF!</f>
        <v>#REF!</v>
      </c>
      <c r="X35" s="1363">
        <f>'MOCST '!X20</f>
        <v>20219</v>
      </c>
      <c r="Y35" s="1132">
        <f>'MOCST '!Y20</f>
        <v>0</v>
      </c>
      <c r="Z35" s="1362">
        <f>'MOCST '!Z20</f>
        <v>0</v>
      </c>
      <c r="AA35" s="1364">
        <f>'MOCST '!AA20</f>
        <v>0</v>
      </c>
      <c r="AB35" s="1362">
        <f>'MOCST '!AB20</f>
        <v>15550</v>
      </c>
      <c r="AC35" s="1362">
        <f>'MOCST '!AC20</f>
        <v>4669</v>
      </c>
      <c r="AD35" s="1410">
        <f>'MOCST '!AD20</f>
        <v>20219</v>
      </c>
      <c r="AE35" s="1241"/>
      <c r="AF35" s="1241"/>
      <c r="AG35" s="1241"/>
      <c r="AH35" s="1241"/>
      <c r="AI35" s="1240"/>
      <c r="AJ35" s="1240"/>
      <c r="AK35" s="1240"/>
      <c r="AL35" s="1240"/>
      <c r="AM35" s="1240"/>
      <c r="AN35" s="1240"/>
      <c r="AO35" s="1240"/>
      <c r="AP35" s="1240"/>
      <c r="AQ35" s="1240"/>
      <c r="AR35" s="1240"/>
      <c r="AS35" s="1240"/>
    </row>
    <row r="36" spans="1:45" s="1238" customFormat="1" ht="139.5" customHeight="1">
      <c r="A36" s="1340"/>
      <c r="B36" s="908" t="s">
        <v>44</v>
      </c>
      <c r="C36" s="908"/>
      <c r="D36" s="1998" t="s">
        <v>176</v>
      </c>
      <c r="E36" s="908" t="s">
        <v>176</v>
      </c>
      <c r="F36" s="908"/>
      <c r="G36" s="908"/>
      <c r="H36" s="908" t="s">
        <v>167</v>
      </c>
      <c r="I36" s="1295" t="s">
        <v>302</v>
      </c>
      <c r="J36" s="1294" t="s">
        <v>183</v>
      </c>
      <c r="K36" s="1508"/>
      <c r="L36" s="1296"/>
      <c r="M36" s="1297"/>
      <c r="N36" s="1298"/>
      <c r="O36" s="1299"/>
      <c r="P36" s="1300"/>
      <c r="Q36" s="1301"/>
      <c r="R36" s="1293"/>
      <c r="S36" s="1299">
        <f t="shared" si="5"/>
        <v>0</v>
      </c>
      <c r="T36" s="1302">
        <f t="shared" si="6"/>
        <v>0</v>
      </c>
      <c r="U36" s="1303">
        <f t="shared" si="7"/>
        <v>0</v>
      </c>
      <c r="V36" s="1309"/>
      <c r="W36" s="1300"/>
      <c r="X36" s="1306"/>
      <c r="Y36" s="1299"/>
      <c r="Z36" s="1300"/>
      <c r="AA36" s="1301"/>
      <c r="AB36" s="1310"/>
      <c r="AC36" s="1310"/>
      <c r="AD36" s="1311"/>
      <c r="AE36" s="1241"/>
      <c r="AF36" s="1241"/>
      <c r="AG36" s="1241"/>
      <c r="AH36" s="1241"/>
      <c r="AI36" s="1240"/>
      <c r="AJ36" s="1240"/>
      <c r="AK36" s="1240"/>
      <c r="AL36" s="1240"/>
      <c r="AM36" s="1240"/>
      <c r="AN36" s="1240"/>
      <c r="AO36" s="1240"/>
      <c r="AP36" s="1240"/>
      <c r="AQ36" s="1240"/>
      <c r="AR36" s="1240"/>
      <c r="AS36" s="1240"/>
    </row>
    <row r="37" spans="1:34" s="1332" customFormat="1" ht="33" customHeight="1">
      <c r="A37" s="1340"/>
      <c r="B37" s="1312" t="s">
        <v>523</v>
      </c>
      <c r="C37" s="1322"/>
      <c r="D37" s="1322"/>
      <c r="E37" s="1322"/>
      <c r="F37" s="1322"/>
      <c r="G37" s="1322"/>
      <c r="H37" s="1283"/>
      <c r="I37" s="1284"/>
      <c r="J37" s="1283"/>
      <c r="K37" s="1509" t="s">
        <v>350</v>
      </c>
      <c r="L37" s="1314">
        <f>MOLISA!L27</f>
        <v>14932</v>
      </c>
      <c r="M37" s="1362">
        <f>MOLISA!M27</f>
        <v>6316</v>
      </c>
      <c r="N37" s="1363">
        <f>MOLISA!N27</f>
        <v>21248</v>
      </c>
      <c r="O37" s="1132">
        <f>MOLISA!O27</f>
        <v>0</v>
      </c>
      <c r="P37" s="1362">
        <f>MOLISA!P27</f>
        <v>0</v>
      </c>
      <c r="Q37" s="1364">
        <f>MOLISA!Q27</f>
        <v>0</v>
      </c>
      <c r="R37" s="1912" t="str">
        <f>MOLISA!R27</f>
        <v>ACTIVITY 04</v>
      </c>
      <c r="S37" s="1134">
        <f t="shared" si="5"/>
        <v>14932</v>
      </c>
      <c r="T37" s="1493">
        <f t="shared" si="6"/>
        <v>6316</v>
      </c>
      <c r="U37" s="1558">
        <f t="shared" si="7"/>
        <v>21248</v>
      </c>
      <c r="V37" s="1314">
        <f>MOLISA!V27</f>
        <v>14930</v>
      </c>
      <c r="W37" s="1362">
        <f>MOLISA!W27</f>
        <v>0</v>
      </c>
      <c r="X37" s="1363">
        <f>MOLISA!X27</f>
        <v>14930</v>
      </c>
      <c r="Y37" s="1132">
        <f>MOLISA!Y27</f>
        <v>0</v>
      </c>
      <c r="Z37" s="1362">
        <f>MOLISA!Z27</f>
        <v>0</v>
      </c>
      <c r="AA37" s="1364">
        <f>MOLISA!AA27</f>
        <v>0</v>
      </c>
      <c r="AB37" s="1362">
        <f>MOLISA!AB27</f>
        <v>14930</v>
      </c>
      <c r="AC37" s="1362">
        <f>MOLISA!AC27</f>
        <v>0</v>
      </c>
      <c r="AD37" s="1410">
        <f>MOLISA!AD27</f>
        <v>14930</v>
      </c>
      <c r="AE37" s="1331"/>
      <c r="AF37" s="1331"/>
      <c r="AG37" s="1331"/>
      <c r="AH37" s="1331"/>
    </row>
    <row r="38" spans="1:34" s="1332" customFormat="1" ht="226.5" customHeight="1">
      <c r="A38" s="1340"/>
      <c r="B38" s="908" t="s">
        <v>45</v>
      </c>
      <c r="C38" s="1998" t="s">
        <v>176</v>
      </c>
      <c r="D38" s="1998" t="s">
        <v>176</v>
      </c>
      <c r="E38" s="908"/>
      <c r="F38" s="908"/>
      <c r="G38" s="908"/>
      <c r="H38" s="908" t="s">
        <v>167</v>
      </c>
      <c r="I38" s="1295" t="s">
        <v>189</v>
      </c>
      <c r="J38" s="1294" t="s">
        <v>153</v>
      </c>
      <c r="K38" s="1508"/>
      <c r="L38" s="1296"/>
      <c r="M38" s="1297"/>
      <c r="N38" s="1298">
        <f>L38+M38</f>
        <v>0</v>
      </c>
      <c r="O38" s="1299"/>
      <c r="P38" s="1300"/>
      <c r="Q38" s="1301">
        <f aca="true" t="shared" si="8" ref="Q38:Q44">O38+P38</f>
        <v>0</v>
      </c>
      <c r="R38" s="1293"/>
      <c r="S38" s="1299">
        <f t="shared" si="5"/>
        <v>0</v>
      </c>
      <c r="T38" s="1302">
        <f t="shared" si="6"/>
        <v>0</v>
      </c>
      <c r="U38" s="1303">
        <f t="shared" si="7"/>
        <v>0</v>
      </c>
      <c r="V38" s="1309"/>
      <c r="W38" s="1300"/>
      <c r="X38" s="1306"/>
      <c r="Y38" s="1299"/>
      <c r="Z38" s="1300"/>
      <c r="AA38" s="1301"/>
      <c r="AB38" s="1494"/>
      <c r="AC38" s="1494"/>
      <c r="AD38" s="1495"/>
      <c r="AE38" s="1331"/>
      <c r="AF38" s="1331"/>
      <c r="AG38" s="1331"/>
      <c r="AH38" s="1331"/>
    </row>
    <row r="39" spans="1:34" s="1332" customFormat="1" ht="33" customHeight="1">
      <c r="A39" s="1340"/>
      <c r="B39" s="1312" t="s">
        <v>524</v>
      </c>
      <c r="C39" s="1322"/>
      <c r="D39" s="1322"/>
      <c r="E39" s="1322"/>
      <c r="F39" s="1322"/>
      <c r="G39" s="1322"/>
      <c r="H39" s="1283"/>
      <c r="I39" s="1284"/>
      <c r="J39" s="1283"/>
      <c r="K39" s="1509" t="s">
        <v>372</v>
      </c>
      <c r="L39" s="1314">
        <f>MOLISA!L29</f>
        <v>25000</v>
      </c>
      <c r="M39" s="1362">
        <f>MOLISA!M29</f>
        <v>2799</v>
      </c>
      <c r="N39" s="1363">
        <f>MOLISA!N29</f>
        <v>27799</v>
      </c>
      <c r="O39" s="1132">
        <f>MOLISA!O29</f>
        <v>33947</v>
      </c>
      <c r="P39" s="1362">
        <f>MOLISA!P29</f>
        <v>2749</v>
      </c>
      <c r="Q39" s="1364">
        <f>MOLISA!Q29</f>
        <v>36696</v>
      </c>
      <c r="R39" s="1912" t="str">
        <f>MOLISA!R29</f>
        <v>ACTIVITY 07</v>
      </c>
      <c r="S39" s="1134">
        <f t="shared" si="5"/>
        <v>-8947</v>
      </c>
      <c r="T39" s="1493">
        <f t="shared" si="6"/>
        <v>50</v>
      </c>
      <c r="U39" s="1558">
        <f t="shared" si="7"/>
        <v>-8897</v>
      </c>
      <c r="V39" s="1314">
        <f>MOLISA!V29</f>
        <v>0</v>
      </c>
      <c r="W39" s="1362">
        <f>MOLISA!W29</f>
        <v>50</v>
      </c>
      <c r="X39" s="1363">
        <f>MOLISA!X29</f>
        <v>50</v>
      </c>
      <c r="Y39" s="1132">
        <f>MOLISA!Y29</f>
        <v>0</v>
      </c>
      <c r="Z39" s="1362">
        <f>MOLISA!Z29</f>
        <v>0</v>
      </c>
      <c r="AA39" s="1364">
        <f>MOLISA!AA29</f>
        <v>0</v>
      </c>
      <c r="AB39" s="1362">
        <f>MOLISA!AB29</f>
        <v>0</v>
      </c>
      <c r="AC39" s="1362">
        <f>MOLISA!AC29</f>
        <v>50</v>
      </c>
      <c r="AD39" s="1410">
        <f>MOLISA!AD29</f>
        <v>50</v>
      </c>
      <c r="AE39" s="1331"/>
      <c r="AF39" s="1331"/>
      <c r="AG39" s="1331"/>
      <c r="AH39" s="1331"/>
    </row>
    <row r="40" spans="1:34" s="1332" customFormat="1" ht="93.75" customHeight="1">
      <c r="A40" s="1340"/>
      <c r="B40" s="908" t="s">
        <v>46</v>
      </c>
      <c r="C40" s="908"/>
      <c r="D40" s="2004" t="s">
        <v>176</v>
      </c>
      <c r="E40" s="908"/>
      <c r="F40" s="908"/>
      <c r="G40" s="908"/>
      <c r="H40" s="908" t="s">
        <v>167</v>
      </c>
      <c r="I40" s="1295" t="s">
        <v>303</v>
      </c>
      <c r="J40" s="1294" t="s">
        <v>611</v>
      </c>
      <c r="K40" s="1508"/>
      <c r="L40" s="1296"/>
      <c r="M40" s="1297"/>
      <c r="N40" s="1298">
        <f>L40+M40</f>
        <v>0</v>
      </c>
      <c r="O40" s="1299"/>
      <c r="P40" s="1300"/>
      <c r="Q40" s="1301">
        <f t="shared" si="8"/>
        <v>0</v>
      </c>
      <c r="R40" s="1293"/>
      <c r="S40" s="1299">
        <f t="shared" si="5"/>
        <v>0</v>
      </c>
      <c r="T40" s="1302">
        <f t="shared" si="6"/>
        <v>0</v>
      </c>
      <c r="U40" s="1303">
        <f t="shared" si="7"/>
        <v>0</v>
      </c>
      <c r="V40" s="1309"/>
      <c r="W40" s="1300"/>
      <c r="X40" s="1306"/>
      <c r="Y40" s="1299"/>
      <c r="Z40" s="1300"/>
      <c r="AA40" s="1301"/>
      <c r="AB40" s="1494"/>
      <c r="AC40" s="1494"/>
      <c r="AD40" s="1495"/>
      <c r="AE40" s="1331"/>
      <c r="AF40" s="1331"/>
      <c r="AG40" s="1331"/>
      <c r="AH40" s="1331"/>
    </row>
    <row r="41" spans="1:45" s="1238" customFormat="1" ht="36" customHeight="1">
      <c r="A41" s="1340"/>
      <c r="B41" s="1312" t="s">
        <v>440</v>
      </c>
      <c r="C41" s="1322"/>
      <c r="D41" s="1322"/>
      <c r="E41" s="1322"/>
      <c r="F41" s="1322"/>
      <c r="G41" s="1322"/>
      <c r="H41" s="1283"/>
      <c r="I41" s="1284"/>
      <c r="J41" s="1283"/>
      <c r="K41" s="1509" t="s">
        <v>350</v>
      </c>
      <c r="L41" s="1314">
        <f>MOLISA!L31</f>
        <v>30000</v>
      </c>
      <c r="M41" s="1362">
        <f>MOLISA!M31</f>
        <v>11132</v>
      </c>
      <c r="N41" s="1363">
        <f>MOLISA!N31</f>
        <v>41132</v>
      </c>
      <c r="O41" s="1132">
        <f>MOLISA!O31</f>
        <v>30764</v>
      </c>
      <c r="P41" s="1362">
        <f>MOLISA!P31</f>
        <v>22378</v>
      </c>
      <c r="Q41" s="1364">
        <f>MOLISA!Q31</f>
        <v>53142</v>
      </c>
      <c r="R41" s="1912" t="str">
        <f>MOLISA!R31</f>
        <v>ACTIVITY 07</v>
      </c>
      <c r="S41" s="1134">
        <f t="shared" si="5"/>
        <v>-764</v>
      </c>
      <c r="T41" s="1493">
        <f t="shared" si="6"/>
        <v>-11246</v>
      </c>
      <c r="U41" s="1558">
        <f t="shared" si="7"/>
        <v>-12010</v>
      </c>
      <c r="V41" s="1314">
        <f>MOLISA!V31</f>
        <v>14460</v>
      </c>
      <c r="W41" s="1362">
        <f>MOLISA!W31</f>
        <v>0</v>
      </c>
      <c r="X41" s="1363">
        <f>MOLISA!X31</f>
        <v>14460</v>
      </c>
      <c r="Y41" s="1132">
        <f>MOLISA!Y31</f>
        <v>0</v>
      </c>
      <c r="Z41" s="1362">
        <f>MOLISA!Z31</f>
        <v>0</v>
      </c>
      <c r="AA41" s="1364">
        <f>MOLISA!AA31</f>
        <v>0</v>
      </c>
      <c r="AB41" s="1362">
        <f>MOLISA!AB31</f>
        <v>14460</v>
      </c>
      <c r="AC41" s="1362">
        <f>MOLISA!AC31</f>
        <v>0</v>
      </c>
      <c r="AD41" s="1410">
        <f>MOLISA!AD31</f>
        <v>14460</v>
      </c>
      <c r="AE41" s="1241"/>
      <c r="AF41" s="1241"/>
      <c r="AG41" s="1241"/>
      <c r="AH41" s="1241"/>
      <c r="AI41" s="1240"/>
      <c r="AJ41" s="1240"/>
      <c r="AK41" s="1240"/>
      <c r="AL41" s="1240"/>
      <c r="AM41" s="1240"/>
      <c r="AN41" s="1240"/>
      <c r="AO41" s="1240"/>
      <c r="AP41" s="1240"/>
      <c r="AQ41" s="1240"/>
      <c r="AR41" s="1240"/>
      <c r="AS41" s="1240"/>
    </row>
    <row r="42" spans="1:45" s="1238" customFormat="1" ht="86.25" customHeight="1" hidden="1">
      <c r="A42" s="1340"/>
      <c r="B42" s="1334" t="s">
        <v>565</v>
      </c>
      <c r="C42" s="1290"/>
      <c r="D42" s="1290"/>
      <c r="E42" s="1290"/>
      <c r="F42" s="1290"/>
      <c r="G42" s="1290"/>
      <c r="H42" s="1291"/>
      <c r="I42" s="1320" t="s">
        <v>364</v>
      </c>
      <c r="J42" s="1291" t="s">
        <v>142</v>
      </c>
      <c r="K42" s="1512" t="s">
        <v>350</v>
      </c>
      <c r="L42" s="1321">
        <f>GSO!L9</f>
        <v>0</v>
      </c>
      <c r="M42" s="1325">
        <v>0</v>
      </c>
      <c r="N42" s="1326">
        <f>L42+M42</f>
        <v>0</v>
      </c>
      <c r="O42" s="1327">
        <f>GSO!O9</f>
        <v>0</v>
      </c>
      <c r="P42" s="1328">
        <f>GSO!P9</f>
        <v>0</v>
      </c>
      <c r="Q42" s="1329">
        <f>GSO!Q9</f>
        <v>0</v>
      </c>
      <c r="R42" s="1914"/>
      <c r="S42" s="1327">
        <f t="shared" si="5"/>
        <v>0</v>
      </c>
      <c r="T42" s="1496">
        <f t="shared" si="6"/>
        <v>0</v>
      </c>
      <c r="U42" s="1559">
        <f t="shared" si="7"/>
        <v>0</v>
      </c>
      <c r="V42" s="1335">
        <f>GSO!V9</f>
        <v>0</v>
      </c>
      <c r="W42" s="1328">
        <f>GSO!W9</f>
        <v>0</v>
      </c>
      <c r="X42" s="1336">
        <f>GSO!X9</f>
        <v>0</v>
      </c>
      <c r="Y42" s="1327">
        <f>GSO!Y9</f>
        <v>0</v>
      </c>
      <c r="Z42" s="1328">
        <f>GSO!Z9</f>
        <v>0</v>
      </c>
      <c r="AA42" s="1329">
        <f>GSO!AA9</f>
        <v>0</v>
      </c>
      <c r="AB42" s="1328">
        <f>GSO!AB9</f>
        <v>0</v>
      </c>
      <c r="AC42" s="1328">
        <f>GSO!AC9</f>
        <v>0</v>
      </c>
      <c r="AD42" s="1674">
        <f>GSO!AD9</f>
        <v>0</v>
      </c>
      <c r="AE42" s="1241"/>
      <c r="AF42" s="1241"/>
      <c r="AG42" s="1241"/>
      <c r="AH42" s="1241"/>
      <c r="AI42" s="1240"/>
      <c r="AJ42" s="1240"/>
      <c r="AK42" s="1240"/>
      <c r="AL42" s="1240"/>
      <c r="AM42" s="1240"/>
      <c r="AN42" s="1240"/>
      <c r="AO42" s="1240"/>
      <c r="AP42" s="1240"/>
      <c r="AQ42" s="1240"/>
      <c r="AR42" s="1240"/>
      <c r="AS42" s="1240"/>
    </row>
    <row r="43" spans="1:45" s="1238" customFormat="1" ht="92.25" customHeight="1" hidden="1">
      <c r="A43" s="1341"/>
      <c r="B43" s="1291" t="s">
        <v>566</v>
      </c>
      <c r="C43" s="1290"/>
      <c r="D43" s="1290"/>
      <c r="E43" s="1290"/>
      <c r="F43" s="1290"/>
      <c r="G43" s="1290"/>
      <c r="H43" s="1291"/>
      <c r="I43" s="1320" t="s">
        <v>364</v>
      </c>
      <c r="J43" s="1291" t="s">
        <v>183</v>
      </c>
      <c r="K43" s="1512" t="s">
        <v>350</v>
      </c>
      <c r="L43" s="1321">
        <f>GSO!L10</f>
        <v>0</v>
      </c>
      <c r="M43" s="1325">
        <f>GSO!M10</f>
        <v>0</v>
      </c>
      <c r="N43" s="1326">
        <f>GSO!N10</f>
        <v>0</v>
      </c>
      <c r="O43" s="1528">
        <f>GSO!O10</f>
        <v>0</v>
      </c>
      <c r="P43" s="1325">
        <f>GSO!P10</f>
        <v>0</v>
      </c>
      <c r="Q43" s="1551">
        <f>GSO!Q10</f>
        <v>0</v>
      </c>
      <c r="R43" s="1914"/>
      <c r="S43" s="1327">
        <f t="shared" si="5"/>
        <v>0</v>
      </c>
      <c r="T43" s="1496">
        <f t="shared" si="6"/>
        <v>0</v>
      </c>
      <c r="U43" s="1559">
        <f t="shared" si="7"/>
        <v>0</v>
      </c>
      <c r="V43" s="1321">
        <f>GSO!V10</f>
        <v>0</v>
      </c>
      <c r="W43" s="1325">
        <f>GSO!W10</f>
        <v>0</v>
      </c>
      <c r="X43" s="1326">
        <f>GSO!X10</f>
        <v>0</v>
      </c>
      <c r="Y43" s="1528">
        <f>GSO!Y10</f>
        <v>0</v>
      </c>
      <c r="Z43" s="1325">
        <f>GSO!Z10</f>
        <v>0</v>
      </c>
      <c r="AA43" s="1551">
        <f>GSO!AA10</f>
        <v>0</v>
      </c>
      <c r="AB43" s="1325">
        <f>GSO!AB10</f>
        <v>0</v>
      </c>
      <c r="AC43" s="1325">
        <f>GSO!AC10</f>
        <v>0</v>
      </c>
      <c r="AD43" s="1411">
        <f>GSO!AD10</f>
        <v>0</v>
      </c>
      <c r="AE43" s="1241"/>
      <c r="AF43" s="1241"/>
      <c r="AG43" s="1241"/>
      <c r="AH43" s="1241"/>
      <c r="AI43" s="1240"/>
      <c r="AJ43" s="1240"/>
      <c r="AK43" s="1240"/>
      <c r="AL43" s="1240"/>
      <c r="AM43" s="1240"/>
      <c r="AN43" s="1240"/>
      <c r="AO43" s="1240"/>
      <c r="AP43" s="1240"/>
      <c r="AQ43" s="1240"/>
      <c r="AR43" s="1240"/>
      <c r="AS43" s="1240"/>
    </row>
    <row r="44" spans="1:45" s="1238" customFormat="1" ht="170.25" customHeight="1">
      <c r="A44" s="1340"/>
      <c r="B44" s="1923" t="s">
        <v>47</v>
      </c>
      <c r="C44" s="2000" t="s">
        <v>176</v>
      </c>
      <c r="D44" s="2000" t="s">
        <v>176</v>
      </c>
      <c r="E44" s="1923" t="s">
        <v>176</v>
      </c>
      <c r="F44" s="1923" t="s">
        <v>176</v>
      </c>
      <c r="G44" s="1923"/>
      <c r="H44" s="1923" t="s">
        <v>167</v>
      </c>
      <c r="I44" s="1924" t="s">
        <v>167</v>
      </c>
      <c r="J44" s="1925" t="s">
        <v>181</v>
      </c>
      <c r="K44" s="1926"/>
      <c r="L44" s="1927">
        <v>0</v>
      </c>
      <c r="M44" s="1928"/>
      <c r="N44" s="1929">
        <f>L44+M44</f>
        <v>0</v>
      </c>
      <c r="O44" s="1135"/>
      <c r="P44" s="1930"/>
      <c r="Q44" s="1931">
        <f t="shared" si="8"/>
        <v>0</v>
      </c>
      <c r="R44" s="1939"/>
      <c r="S44" s="1135">
        <f t="shared" si="5"/>
        <v>0</v>
      </c>
      <c r="T44" s="1933">
        <f t="shared" si="6"/>
        <v>0</v>
      </c>
      <c r="U44" s="1934">
        <f t="shared" si="7"/>
        <v>0</v>
      </c>
      <c r="V44" s="1935"/>
      <c r="W44" s="1930"/>
      <c r="X44" s="1940">
        <f>SUM(V44:W44)</f>
        <v>0</v>
      </c>
      <c r="Y44" s="1135"/>
      <c r="Z44" s="1930"/>
      <c r="AA44" s="1941">
        <f>SUM(Y44:Z44)</f>
        <v>0</v>
      </c>
      <c r="AB44" s="1937"/>
      <c r="AC44" s="1937"/>
      <c r="AD44" s="1938"/>
      <c r="AE44" s="1241"/>
      <c r="AF44" s="1241"/>
      <c r="AG44" s="1241"/>
      <c r="AH44" s="1241"/>
      <c r="AI44" s="1240"/>
      <c r="AJ44" s="1240"/>
      <c r="AK44" s="1240"/>
      <c r="AL44" s="1240"/>
      <c r="AM44" s="1240"/>
      <c r="AN44" s="1240"/>
      <c r="AO44" s="1240"/>
      <c r="AP44" s="1240"/>
      <c r="AQ44" s="1240"/>
      <c r="AR44" s="1240"/>
      <c r="AS44" s="1240"/>
    </row>
    <row r="45" spans="1:45" s="1238" customFormat="1" ht="40.5" customHeight="1">
      <c r="A45" s="1340"/>
      <c r="B45" s="1337" t="s">
        <v>0</v>
      </c>
      <c r="C45" s="1338"/>
      <c r="D45" s="1338"/>
      <c r="E45" s="1338"/>
      <c r="F45" s="1338"/>
      <c r="G45" s="1338"/>
      <c r="H45" s="1339"/>
      <c r="I45" s="1266"/>
      <c r="J45" s="1339"/>
      <c r="K45" s="1513" t="s">
        <v>369</v>
      </c>
      <c r="L45" s="1270">
        <f>MOLISA!L33</f>
        <v>29000</v>
      </c>
      <c r="M45" s="1271">
        <f>MOLISA!M33</f>
        <v>35700</v>
      </c>
      <c r="N45" s="1272">
        <f>MOLISA!N33</f>
        <v>64700</v>
      </c>
      <c r="O45" s="1356">
        <f>MOLISA!O33</f>
        <v>0</v>
      </c>
      <c r="P45" s="1271">
        <f>MOLISA!P33</f>
        <v>39104</v>
      </c>
      <c r="Q45" s="1357">
        <f>MOLISA!Q33</f>
        <v>39104</v>
      </c>
      <c r="R45" s="1915" t="str">
        <f>MOLISA!R33</f>
        <v>ACTIVITY 04</v>
      </c>
      <c r="S45" s="1333">
        <f>L45-O45</f>
        <v>29000</v>
      </c>
      <c r="T45" s="1277">
        <f>M45-P45</f>
        <v>-3404</v>
      </c>
      <c r="U45" s="1278">
        <f t="shared" si="7"/>
        <v>25596</v>
      </c>
      <c r="V45" s="1270">
        <f>MOLISA!V33</f>
        <v>0</v>
      </c>
      <c r="W45" s="1271">
        <f>MOLISA!W33</f>
        <v>32190</v>
      </c>
      <c r="X45" s="1272">
        <f>MOLISA!X33</f>
        <v>32190</v>
      </c>
      <c r="Y45" s="1356">
        <f>MOLISA!Y33</f>
        <v>0</v>
      </c>
      <c r="Z45" s="1271">
        <f>MOLISA!Z33</f>
        <v>8048</v>
      </c>
      <c r="AA45" s="1357">
        <f>MOLISA!AA33</f>
        <v>8048</v>
      </c>
      <c r="AB45" s="1271">
        <f>MOLISA!AB33</f>
        <v>0</v>
      </c>
      <c r="AC45" s="1271">
        <f>MOLISA!AC33</f>
        <v>40238</v>
      </c>
      <c r="AD45" s="1412">
        <f>MOLISA!AD33</f>
        <v>40238</v>
      </c>
      <c r="AE45" s="1241"/>
      <c r="AF45" s="1241"/>
      <c r="AG45" s="1241"/>
      <c r="AH45" s="1241"/>
      <c r="AI45" s="1240"/>
      <c r="AJ45" s="1240"/>
      <c r="AK45" s="1240"/>
      <c r="AL45" s="1240"/>
      <c r="AM45" s="1240"/>
      <c r="AN45" s="1240"/>
      <c r="AO45" s="1240"/>
      <c r="AP45" s="1240"/>
      <c r="AQ45" s="1240"/>
      <c r="AR45" s="1240"/>
      <c r="AS45" s="1240"/>
    </row>
    <row r="46" spans="1:45" s="1238" customFormat="1" ht="25.5" customHeight="1">
      <c r="A46" s="1340"/>
      <c r="B46" s="1312"/>
      <c r="C46" s="1313"/>
      <c r="D46" s="1313"/>
      <c r="E46" s="1313"/>
      <c r="F46" s="1313"/>
      <c r="G46" s="1313"/>
      <c r="H46" s="1283"/>
      <c r="I46" s="1284"/>
      <c r="J46" s="1283"/>
      <c r="K46" s="1509"/>
      <c r="L46" s="1314">
        <f>MOLISA!L34</f>
        <v>10375</v>
      </c>
      <c r="M46" s="1362">
        <f>MOLISA!M34</f>
        <v>0</v>
      </c>
      <c r="N46" s="1363">
        <f>MOLISA!N34</f>
        <v>10375</v>
      </c>
      <c r="O46" s="1132">
        <f>MOLISA!O34</f>
        <v>53526</v>
      </c>
      <c r="P46" s="1362">
        <f>MOLISA!P34</f>
        <v>0</v>
      </c>
      <c r="Q46" s="1364">
        <f>MOLISA!Q34</f>
        <v>53526</v>
      </c>
      <c r="R46" s="1912" t="str">
        <f>MOLISA!R34</f>
        <v>ACTIVITY 07</v>
      </c>
      <c r="S46" s="1134">
        <f aca="true" t="shared" si="9" ref="S46:S58">L46-O46</f>
        <v>-43151</v>
      </c>
      <c r="T46" s="1493">
        <f aca="true" t="shared" si="10" ref="T46:T58">M46-P46</f>
        <v>0</v>
      </c>
      <c r="U46" s="1558">
        <f t="shared" si="7"/>
        <v>-43151</v>
      </c>
      <c r="V46" s="1314">
        <f>MOLISA!V34</f>
        <v>38480</v>
      </c>
      <c r="W46" s="1362">
        <f>MOLISA!W34</f>
        <v>0</v>
      </c>
      <c r="X46" s="1363">
        <f>MOLISA!X34</f>
        <v>38480</v>
      </c>
      <c r="Y46" s="1132">
        <f>MOLISA!Y34</f>
        <v>0</v>
      </c>
      <c r="Z46" s="1362">
        <f>MOLISA!Z34</f>
        <v>0</v>
      </c>
      <c r="AA46" s="1364">
        <f>MOLISA!AA34</f>
        <v>0</v>
      </c>
      <c r="AB46" s="1362">
        <f>MOLISA!AB34</f>
        <v>38480</v>
      </c>
      <c r="AC46" s="1362">
        <f>MOLISA!AC34</f>
        <v>0</v>
      </c>
      <c r="AD46" s="1410">
        <f>MOLISA!AD34</f>
        <v>38480</v>
      </c>
      <c r="AE46" s="1241"/>
      <c r="AF46" s="1241"/>
      <c r="AG46" s="1241"/>
      <c r="AH46" s="1241"/>
      <c r="AI46" s="1240"/>
      <c r="AJ46" s="1240"/>
      <c r="AK46" s="1240"/>
      <c r="AL46" s="1240"/>
      <c r="AM46" s="1240"/>
      <c r="AN46" s="1240"/>
      <c r="AO46" s="1240"/>
      <c r="AP46" s="1240"/>
      <c r="AQ46" s="1240"/>
      <c r="AR46" s="1240"/>
      <c r="AS46" s="1240"/>
    </row>
    <row r="47" spans="1:45" s="1238" customFormat="1" ht="190.5" customHeight="1">
      <c r="A47" s="1340"/>
      <c r="B47" s="908" t="s">
        <v>567</v>
      </c>
      <c r="C47" s="1998" t="s">
        <v>176</v>
      </c>
      <c r="D47" s="1998" t="s">
        <v>176</v>
      </c>
      <c r="E47" s="908"/>
      <c r="F47" s="908"/>
      <c r="G47" s="908"/>
      <c r="H47" s="908" t="s">
        <v>167</v>
      </c>
      <c r="I47" s="1295" t="s">
        <v>167</v>
      </c>
      <c r="J47" s="1294" t="s">
        <v>156</v>
      </c>
      <c r="K47" s="1508"/>
      <c r="L47" s="1296"/>
      <c r="M47" s="1297"/>
      <c r="N47" s="1298">
        <f>L47+M47</f>
        <v>0</v>
      </c>
      <c r="O47" s="1299"/>
      <c r="P47" s="1300"/>
      <c r="Q47" s="1301">
        <f aca="true" t="shared" si="11" ref="Q47:Q63">O47+P47</f>
        <v>0</v>
      </c>
      <c r="R47" s="1293"/>
      <c r="S47" s="1299">
        <f t="shared" si="9"/>
        <v>0</v>
      </c>
      <c r="T47" s="1302">
        <f t="shared" si="10"/>
        <v>0</v>
      </c>
      <c r="U47" s="1303">
        <f t="shared" si="7"/>
        <v>0</v>
      </c>
      <c r="V47" s="1309"/>
      <c r="W47" s="1300"/>
      <c r="X47" s="1306"/>
      <c r="Y47" s="1299"/>
      <c r="Z47" s="1300"/>
      <c r="AA47" s="1301"/>
      <c r="AB47" s="1310"/>
      <c r="AC47" s="1310"/>
      <c r="AD47" s="1311"/>
      <c r="AE47" s="1241"/>
      <c r="AF47" s="1241"/>
      <c r="AG47" s="1241"/>
      <c r="AH47" s="1241"/>
      <c r="AI47" s="1240"/>
      <c r="AJ47" s="1240"/>
      <c r="AK47" s="1240"/>
      <c r="AL47" s="1240"/>
      <c r="AM47" s="1240"/>
      <c r="AN47" s="1240"/>
      <c r="AO47" s="1240"/>
      <c r="AP47" s="1240"/>
      <c r="AQ47" s="1240"/>
      <c r="AR47" s="1240"/>
      <c r="AS47" s="1240"/>
    </row>
    <row r="48" spans="1:45" s="1238" customFormat="1" ht="34.5" customHeight="1">
      <c r="A48" s="1340"/>
      <c r="B48" s="1312" t="s">
        <v>1</v>
      </c>
      <c r="C48" s="1322"/>
      <c r="D48" s="1322"/>
      <c r="E48" s="1322"/>
      <c r="F48" s="1322"/>
      <c r="G48" s="1322"/>
      <c r="H48" s="1283"/>
      <c r="I48" s="1284"/>
      <c r="J48" s="1283"/>
      <c r="K48" s="1509" t="s">
        <v>369</v>
      </c>
      <c r="L48" s="1314">
        <f>MOLISA!L36</f>
        <v>12075</v>
      </c>
      <c r="M48" s="1362">
        <f>MOLISA!M36</f>
        <v>14963</v>
      </c>
      <c r="N48" s="1363">
        <f>MOLISA!N36</f>
        <v>27038</v>
      </c>
      <c r="O48" s="1132">
        <f>MOLISA!O36</f>
        <v>5625</v>
      </c>
      <c r="P48" s="1362">
        <f>MOLISA!P36</f>
        <v>11333</v>
      </c>
      <c r="Q48" s="1364">
        <f>MOLISA!Q36</f>
        <v>16958</v>
      </c>
      <c r="R48" s="1912" t="str">
        <f>MOLISA!R36</f>
        <v>ACTIVITY 04</v>
      </c>
      <c r="S48" s="1134">
        <f t="shared" si="9"/>
        <v>6450</v>
      </c>
      <c r="T48" s="1493">
        <f t="shared" si="10"/>
        <v>3630</v>
      </c>
      <c r="U48" s="1558">
        <f t="shared" si="7"/>
        <v>10080</v>
      </c>
      <c r="V48" s="1314">
        <f>MOLISA!V36</f>
        <v>21675</v>
      </c>
      <c r="W48" s="1362">
        <f>MOLISA!W36</f>
        <v>9026</v>
      </c>
      <c r="X48" s="1363">
        <f>MOLISA!X36</f>
        <v>30701</v>
      </c>
      <c r="Y48" s="1132">
        <f>MOLISA!Y36</f>
        <v>0</v>
      </c>
      <c r="Z48" s="1362">
        <f>MOLISA!Z36</f>
        <v>0</v>
      </c>
      <c r="AA48" s="1364">
        <f>MOLISA!AA36</f>
        <v>0</v>
      </c>
      <c r="AB48" s="1362">
        <f>MOLISA!AB36</f>
        <v>21675</v>
      </c>
      <c r="AC48" s="1362">
        <f>MOLISA!AC36</f>
        <v>9026</v>
      </c>
      <c r="AD48" s="1410">
        <f>MOLISA!AD36</f>
        <v>30701</v>
      </c>
      <c r="AE48" s="1241"/>
      <c r="AF48" s="1241"/>
      <c r="AG48" s="1241"/>
      <c r="AH48" s="1241"/>
      <c r="AI48" s="1240"/>
      <c r="AJ48" s="1240"/>
      <c r="AK48" s="1240"/>
      <c r="AL48" s="1240"/>
      <c r="AM48" s="1240"/>
      <c r="AN48" s="1240"/>
      <c r="AO48" s="1240"/>
      <c r="AP48" s="1240"/>
      <c r="AQ48" s="1240"/>
      <c r="AR48" s="1240"/>
      <c r="AS48" s="1240"/>
    </row>
    <row r="49" spans="1:45" s="1238" customFormat="1" ht="169.5" customHeight="1">
      <c r="A49" s="1340"/>
      <c r="B49" s="908" t="s">
        <v>483</v>
      </c>
      <c r="C49" s="1998" t="s">
        <v>176</v>
      </c>
      <c r="D49" s="1998" t="s">
        <v>176</v>
      </c>
      <c r="E49" s="908" t="s">
        <v>176</v>
      </c>
      <c r="F49" s="908" t="s">
        <v>176</v>
      </c>
      <c r="G49" s="908"/>
      <c r="H49" s="908" t="s">
        <v>167</v>
      </c>
      <c r="I49" s="1295" t="s">
        <v>188</v>
      </c>
      <c r="J49" s="1294" t="s">
        <v>156</v>
      </c>
      <c r="K49" s="1508"/>
      <c r="L49" s="1296"/>
      <c r="M49" s="1297"/>
      <c r="N49" s="1298">
        <f>L49+M49</f>
        <v>0</v>
      </c>
      <c r="O49" s="1299"/>
      <c r="P49" s="1300"/>
      <c r="Q49" s="1301">
        <f t="shared" si="11"/>
        <v>0</v>
      </c>
      <c r="R49" s="1293"/>
      <c r="S49" s="1299">
        <f t="shared" si="9"/>
        <v>0</v>
      </c>
      <c r="T49" s="1302">
        <f t="shared" si="10"/>
        <v>0</v>
      </c>
      <c r="U49" s="1303">
        <f t="shared" si="7"/>
        <v>0</v>
      </c>
      <c r="V49" s="1309"/>
      <c r="W49" s="1300"/>
      <c r="X49" s="1306"/>
      <c r="Y49" s="1299"/>
      <c r="Z49" s="1300"/>
      <c r="AA49" s="1301"/>
      <c r="AB49" s="1310"/>
      <c r="AC49" s="1310"/>
      <c r="AD49" s="1311"/>
      <c r="AE49" s="1241"/>
      <c r="AF49" s="1241"/>
      <c r="AG49" s="1241"/>
      <c r="AH49" s="1241"/>
      <c r="AI49" s="1240"/>
      <c r="AJ49" s="1240"/>
      <c r="AK49" s="1240"/>
      <c r="AL49" s="1240"/>
      <c r="AM49" s="1240"/>
      <c r="AN49" s="1240"/>
      <c r="AO49" s="1240"/>
      <c r="AP49" s="1240"/>
      <c r="AQ49" s="1240"/>
      <c r="AR49" s="1240"/>
      <c r="AS49" s="1240"/>
    </row>
    <row r="50" spans="1:45" s="1238" customFormat="1" ht="33" customHeight="1">
      <c r="A50" s="1340"/>
      <c r="B50" s="1312" t="s">
        <v>19</v>
      </c>
      <c r="C50" s="1313"/>
      <c r="D50" s="1313"/>
      <c r="E50" s="1313"/>
      <c r="F50" s="1313"/>
      <c r="G50" s="1313"/>
      <c r="H50" s="1283"/>
      <c r="I50" s="1284"/>
      <c r="J50" s="1283"/>
      <c r="K50" s="1509" t="s">
        <v>369</v>
      </c>
      <c r="L50" s="1314">
        <f>MOLISA!L38</f>
        <v>29400</v>
      </c>
      <c r="M50" s="1362">
        <f>MOLISA!M38</f>
        <v>47775</v>
      </c>
      <c r="N50" s="1363">
        <f>MOLISA!N38</f>
        <v>77175</v>
      </c>
      <c r="O50" s="1132">
        <f>MOLISA!O38</f>
        <v>10526</v>
      </c>
      <c r="P50" s="1362">
        <f>MOLISA!P38</f>
        <v>32030</v>
      </c>
      <c r="Q50" s="1364">
        <f>MOLISA!Q38</f>
        <v>42556</v>
      </c>
      <c r="R50" s="1912" t="str">
        <f>MOLISA!R38</f>
        <v>ACTIVITY 07</v>
      </c>
      <c r="S50" s="1134">
        <f t="shared" si="9"/>
        <v>18874</v>
      </c>
      <c r="T50" s="1493">
        <f t="shared" si="10"/>
        <v>15745</v>
      </c>
      <c r="U50" s="1558">
        <f t="shared" si="7"/>
        <v>34619</v>
      </c>
      <c r="V50" s="1314">
        <f>MOLISA!V38</f>
        <v>51425</v>
      </c>
      <c r="W50" s="1362">
        <f>MOLISA!W38</f>
        <v>64038</v>
      </c>
      <c r="X50" s="1363">
        <f>MOLISA!X38</f>
        <v>115463</v>
      </c>
      <c r="Y50" s="1132">
        <f>MOLISA!Y38</f>
        <v>0</v>
      </c>
      <c r="Z50" s="1362">
        <f>MOLISA!Z38</f>
        <v>16009</v>
      </c>
      <c r="AA50" s="1364">
        <f>MOLISA!AA38</f>
        <v>16009</v>
      </c>
      <c r="AB50" s="1362">
        <f>MOLISA!AB38</f>
        <v>51425</v>
      </c>
      <c r="AC50" s="1362">
        <f>MOLISA!AC38</f>
        <v>80047</v>
      </c>
      <c r="AD50" s="1410">
        <f>MOLISA!AD38</f>
        <v>131472</v>
      </c>
      <c r="AE50" s="1241"/>
      <c r="AF50" s="1241"/>
      <c r="AG50" s="1241"/>
      <c r="AH50" s="1241"/>
      <c r="AI50" s="1240"/>
      <c r="AJ50" s="1240"/>
      <c r="AK50" s="1240"/>
      <c r="AL50" s="1240"/>
      <c r="AM50" s="1240"/>
      <c r="AN50" s="1240"/>
      <c r="AO50" s="1240"/>
      <c r="AP50" s="1240"/>
      <c r="AQ50" s="1240"/>
      <c r="AR50" s="1240"/>
      <c r="AS50" s="1240"/>
    </row>
    <row r="51" spans="1:45" s="1238" customFormat="1" ht="112.5" customHeight="1" hidden="1">
      <c r="A51" s="1340"/>
      <c r="B51" s="908" t="s">
        <v>568</v>
      </c>
      <c r="C51" s="908" t="s">
        <v>176</v>
      </c>
      <c r="D51" s="908" t="s">
        <v>176</v>
      </c>
      <c r="E51" s="908" t="s">
        <v>176</v>
      </c>
      <c r="F51" s="908" t="s">
        <v>176</v>
      </c>
      <c r="G51" s="908"/>
      <c r="H51" s="908" t="s">
        <v>157</v>
      </c>
      <c r="I51" s="1295" t="s">
        <v>353</v>
      </c>
      <c r="J51" s="1294" t="s">
        <v>351</v>
      </c>
      <c r="K51" s="1508"/>
      <c r="L51" s="1296"/>
      <c r="M51" s="1297"/>
      <c r="N51" s="1298">
        <f>L51+M51</f>
        <v>0</v>
      </c>
      <c r="O51" s="1299"/>
      <c r="P51" s="1300"/>
      <c r="Q51" s="1301">
        <f t="shared" si="11"/>
        <v>0</v>
      </c>
      <c r="R51" s="1293"/>
      <c r="S51" s="1299">
        <f t="shared" si="9"/>
        <v>0</v>
      </c>
      <c r="T51" s="1302">
        <f t="shared" si="10"/>
        <v>0</v>
      </c>
      <c r="U51" s="1303">
        <f t="shared" si="7"/>
        <v>0</v>
      </c>
      <c r="V51" s="1309"/>
      <c r="W51" s="1300"/>
      <c r="X51" s="1306"/>
      <c r="Y51" s="1299"/>
      <c r="Z51" s="1300"/>
      <c r="AA51" s="1301"/>
      <c r="AB51" s="1310"/>
      <c r="AC51" s="1310"/>
      <c r="AD51" s="1311"/>
      <c r="AE51" s="1241"/>
      <c r="AF51" s="1241"/>
      <c r="AG51" s="1241"/>
      <c r="AH51" s="1241"/>
      <c r="AI51" s="1240"/>
      <c r="AJ51" s="1240"/>
      <c r="AK51" s="1240"/>
      <c r="AL51" s="1240"/>
      <c r="AM51" s="1240"/>
      <c r="AN51" s="1240"/>
      <c r="AO51" s="1240"/>
      <c r="AP51" s="1240"/>
      <c r="AQ51" s="1240"/>
      <c r="AR51" s="1240"/>
      <c r="AS51" s="1240"/>
    </row>
    <row r="52" spans="1:45" s="1238" customFormat="1" ht="44.25" customHeight="1" hidden="1">
      <c r="A52" s="1340"/>
      <c r="B52" s="1312" t="s">
        <v>2</v>
      </c>
      <c r="C52" s="1322"/>
      <c r="D52" s="1322"/>
      <c r="E52" s="1322"/>
      <c r="F52" s="1322"/>
      <c r="G52" s="1322"/>
      <c r="H52" s="1283"/>
      <c r="I52" s="1284"/>
      <c r="J52" s="1283"/>
      <c r="K52" s="1509"/>
      <c r="L52" s="1314">
        <f>'MOCST '!L21</f>
        <v>0</v>
      </c>
      <c r="M52" s="1362">
        <f>'MOCST '!M21</f>
        <v>22252</v>
      </c>
      <c r="N52" s="1363">
        <f>'MOCST '!N21</f>
        <v>22252</v>
      </c>
      <c r="O52" s="1132">
        <f>'MOCST '!O21</f>
        <v>0</v>
      </c>
      <c r="P52" s="1362">
        <f>'MOCST '!P21</f>
        <v>50000</v>
      </c>
      <c r="Q52" s="1364">
        <f>'MOCST '!Q21</f>
        <v>50000</v>
      </c>
      <c r="R52" s="1912"/>
      <c r="S52" s="1134">
        <f t="shared" si="9"/>
        <v>0</v>
      </c>
      <c r="T52" s="1493">
        <f t="shared" si="10"/>
        <v>-27748</v>
      </c>
      <c r="U52" s="1558">
        <f t="shared" si="7"/>
        <v>-27748</v>
      </c>
      <c r="V52" s="1314">
        <f>'MOCST '!V21</f>
        <v>0</v>
      </c>
      <c r="W52" s="1362">
        <f>'MOCST '!W21</f>
        <v>0</v>
      </c>
      <c r="X52" s="1363">
        <f>'MOCST '!X21</f>
        <v>0</v>
      </c>
      <c r="Y52" s="1132">
        <f>'MOCST '!Y21</f>
        <v>0</v>
      </c>
      <c r="Z52" s="1362">
        <f>'MOCST '!Z21</f>
        <v>0</v>
      </c>
      <c r="AA52" s="1364">
        <f>'MOCST '!AA21</f>
        <v>0</v>
      </c>
      <c r="AB52" s="1362">
        <f>'MOCST '!AB21</f>
        <v>0</v>
      </c>
      <c r="AC52" s="1362">
        <f>'MOCST '!AC21</f>
        <v>0</v>
      </c>
      <c r="AD52" s="1410">
        <f>'MOCST '!AD21</f>
        <v>0</v>
      </c>
      <c r="AE52" s="1241"/>
      <c r="AF52" s="1241"/>
      <c r="AG52" s="1241"/>
      <c r="AH52" s="1241"/>
      <c r="AI52" s="1240"/>
      <c r="AJ52" s="1240"/>
      <c r="AK52" s="1240"/>
      <c r="AL52" s="1240"/>
      <c r="AM52" s="1240"/>
      <c r="AN52" s="1240"/>
      <c r="AO52" s="1240"/>
      <c r="AP52" s="1240"/>
      <c r="AQ52" s="1240"/>
      <c r="AR52" s="1240"/>
      <c r="AS52" s="1240"/>
    </row>
    <row r="53" spans="1:45" s="1238" customFormat="1" ht="83.25" customHeight="1" hidden="1">
      <c r="A53" s="1340"/>
      <c r="B53" s="908" t="s">
        <v>569</v>
      </c>
      <c r="C53" s="1310" t="s">
        <v>176</v>
      </c>
      <c r="D53" s="1310" t="s">
        <v>176</v>
      </c>
      <c r="E53" s="1310" t="s">
        <v>176</v>
      </c>
      <c r="F53" s="1310" t="s">
        <v>176</v>
      </c>
      <c r="G53" s="1310"/>
      <c r="H53" s="908" t="s">
        <v>157</v>
      </c>
      <c r="I53" s="1295" t="s">
        <v>353</v>
      </c>
      <c r="J53" s="1294" t="s">
        <v>183</v>
      </c>
      <c r="K53" s="1508"/>
      <c r="L53" s="1296"/>
      <c r="M53" s="1297"/>
      <c r="N53" s="1298">
        <f>L53+M53</f>
        <v>0</v>
      </c>
      <c r="O53" s="1299"/>
      <c r="P53" s="1300"/>
      <c r="Q53" s="1301">
        <f t="shared" si="11"/>
        <v>0</v>
      </c>
      <c r="R53" s="1293"/>
      <c r="S53" s="1299">
        <f t="shared" si="9"/>
        <v>0</v>
      </c>
      <c r="T53" s="1302">
        <f t="shared" si="10"/>
        <v>0</v>
      </c>
      <c r="U53" s="1303">
        <f t="shared" si="7"/>
        <v>0</v>
      </c>
      <c r="V53" s="1309"/>
      <c r="W53" s="1300"/>
      <c r="X53" s="1306"/>
      <c r="Y53" s="1299"/>
      <c r="Z53" s="1300"/>
      <c r="AA53" s="1301"/>
      <c r="AB53" s="1310"/>
      <c r="AC53" s="1310"/>
      <c r="AD53" s="1311"/>
      <c r="AE53" s="1241"/>
      <c r="AF53" s="1241"/>
      <c r="AG53" s="1241"/>
      <c r="AH53" s="1241"/>
      <c r="AI53" s="1240"/>
      <c r="AJ53" s="1240"/>
      <c r="AK53" s="1240"/>
      <c r="AL53" s="1240"/>
      <c r="AM53" s="1240"/>
      <c r="AN53" s="1240"/>
      <c r="AO53" s="1240"/>
      <c r="AP53" s="1240"/>
      <c r="AQ53" s="1240"/>
      <c r="AR53" s="1240"/>
      <c r="AS53" s="1240"/>
    </row>
    <row r="54" spans="1:45" s="1238" customFormat="1" ht="39.75" customHeight="1" hidden="1">
      <c r="A54" s="1340"/>
      <c r="B54" s="1312" t="s">
        <v>3</v>
      </c>
      <c r="C54" s="1313"/>
      <c r="D54" s="1313"/>
      <c r="E54" s="1313"/>
      <c r="F54" s="1313"/>
      <c r="G54" s="1313"/>
      <c r="H54" s="1283"/>
      <c r="I54" s="1284"/>
      <c r="J54" s="1283"/>
      <c r="K54" s="1509" t="s">
        <v>185</v>
      </c>
      <c r="L54" s="1314">
        <f>'MOCST '!L22</f>
        <v>0</v>
      </c>
      <c r="M54" s="1362">
        <f>'MOCST '!M22</f>
        <v>8953</v>
      </c>
      <c r="N54" s="1363">
        <f>'MOCST '!N22</f>
        <v>8953</v>
      </c>
      <c r="O54" s="1132">
        <f>'MOCST '!O22</f>
        <v>0</v>
      </c>
      <c r="P54" s="1362">
        <f>'MOCST '!P22</f>
        <v>10011.97</v>
      </c>
      <c r="Q54" s="1364">
        <f>'MOCST '!Q22</f>
        <v>10011.97</v>
      </c>
      <c r="R54" s="1912" t="str">
        <f>'MOCST '!R22</f>
        <v>ACTIVITY 08</v>
      </c>
      <c r="S54" s="1134">
        <f t="shared" si="9"/>
        <v>0</v>
      </c>
      <c r="T54" s="1493">
        <f t="shared" si="10"/>
        <v>-1058.9699999999993</v>
      </c>
      <c r="U54" s="1558">
        <f t="shared" si="7"/>
        <v>-1058.9699999999993</v>
      </c>
      <c r="V54" s="1314">
        <f>'MOCST '!V22</f>
        <v>0</v>
      </c>
      <c r="W54" s="1362">
        <f>'MOCST '!W22</f>
        <v>0</v>
      </c>
      <c r="X54" s="1363">
        <f>'MOCST '!X22</f>
        <v>0</v>
      </c>
      <c r="Y54" s="1132">
        <f>'MOCST '!Y22</f>
        <v>0</v>
      </c>
      <c r="Z54" s="1362">
        <f>'MOCST '!Z22</f>
        <v>0</v>
      </c>
      <c r="AA54" s="1364">
        <f>'MOCST '!AA22</f>
        <v>0</v>
      </c>
      <c r="AB54" s="1362">
        <f>'MOCST '!AB22</f>
        <v>0</v>
      </c>
      <c r="AC54" s="1362">
        <f>'MOCST '!AC22</f>
        <v>0</v>
      </c>
      <c r="AD54" s="1410">
        <f>'MOCST '!AD22</f>
        <v>0</v>
      </c>
      <c r="AE54" s="1241"/>
      <c r="AF54" s="1241"/>
      <c r="AG54" s="1241"/>
      <c r="AH54" s="1241"/>
      <c r="AI54" s="1240"/>
      <c r="AJ54" s="1240"/>
      <c r="AK54" s="1240"/>
      <c r="AL54" s="1240"/>
      <c r="AM54" s="1240"/>
      <c r="AN54" s="1240"/>
      <c r="AO54" s="1240"/>
      <c r="AP54" s="1240"/>
      <c r="AQ54" s="1240"/>
      <c r="AR54" s="1240"/>
      <c r="AS54" s="1240"/>
    </row>
    <row r="55" spans="1:45" s="1238" customFormat="1" ht="120" customHeight="1">
      <c r="A55" s="1341"/>
      <c r="B55" s="1292" t="s">
        <v>570</v>
      </c>
      <c r="C55" s="1292"/>
      <c r="D55" s="1292"/>
      <c r="E55" s="1292" t="s">
        <v>176</v>
      </c>
      <c r="F55" s="1292" t="s">
        <v>176</v>
      </c>
      <c r="G55" s="1292"/>
      <c r="H55" s="1292" t="s">
        <v>157</v>
      </c>
      <c r="I55" s="1320" t="s">
        <v>355</v>
      </c>
      <c r="J55" s="1291" t="s">
        <v>354</v>
      </c>
      <c r="K55" s="1512"/>
      <c r="L55" s="1321"/>
      <c r="M55" s="1325"/>
      <c r="N55" s="1326">
        <f>L55+M55</f>
        <v>0</v>
      </c>
      <c r="O55" s="1327"/>
      <c r="P55" s="1328"/>
      <c r="Q55" s="1329">
        <f t="shared" si="11"/>
        <v>0</v>
      </c>
      <c r="R55" s="1290"/>
      <c r="S55" s="1327">
        <f t="shared" si="9"/>
        <v>0</v>
      </c>
      <c r="T55" s="1496">
        <f t="shared" si="10"/>
        <v>0</v>
      </c>
      <c r="U55" s="1559">
        <f t="shared" si="7"/>
        <v>0</v>
      </c>
      <c r="V55" s="1335"/>
      <c r="W55" s="1328"/>
      <c r="X55" s="1336"/>
      <c r="Y55" s="1327"/>
      <c r="Z55" s="1328"/>
      <c r="AA55" s="1329"/>
      <c r="AB55" s="1956"/>
      <c r="AC55" s="1956"/>
      <c r="AD55" s="1957"/>
      <c r="AE55" s="1241"/>
      <c r="AF55" s="1241"/>
      <c r="AG55" s="1241"/>
      <c r="AH55" s="1241"/>
      <c r="AI55" s="1240"/>
      <c r="AJ55" s="1240"/>
      <c r="AK55" s="1240"/>
      <c r="AL55" s="1240"/>
      <c r="AM55" s="1240"/>
      <c r="AN55" s="1240"/>
      <c r="AO55" s="1240"/>
      <c r="AP55" s="1240"/>
      <c r="AQ55" s="1240"/>
      <c r="AR55" s="1240"/>
      <c r="AS55" s="1240"/>
    </row>
    <row r="56" spans="1:45" s="1238" customFormat="1" ht="32.25" customHeight="1">
      <c r="A56" s="1340"/>
      <c r="B56" s="1942" t="s">
        <v>4</v>
      </c>
      <c r="C56" s="1943"/>
      <c r="D56" s="1943"/>
      <c r="E56" s="1943"/>
      <c r="F56" s="1943"/>
      <c r="G56" s="1943"/>
      <c r="H56" s="1943"/>
      <c r="I56" s="1943"/>
      <c r="J56" s="1944"/>
      <c r="K56" s="1945"/>
      <c r="L56" s="1946">
        <f>'MOCST '!L23</f>
        <v>0</v>
      </c>
      <c r="M56" s="1947">
        <f>'MOCST '!M23</f>
        <v>10763</v>
      </c>
      <c r="N56" s="1948">
        <f>'MOCST '!N23</f>
        <v>10763</v>
      </c>
      <c r="O56" s="1949">
        <f>'MOCST '!O23</f>
        <v>0</v>
      </c>
      <c r="P56" s="1947">
        <f>'MOCST '!P23</f>
        <v>10763</v>
      </c>
      <c r="Q56" s="1950">
        <f>'MOCST '!Q23</f>
        <v>10763</v>
      </c>
      <c r="R56" s="1951"/>
      <c r="S56" s="1952">
        <f t="shared" si="9"/>
        <v>0</v>
      </c>
      <c r="T56" s="1953">
        <f t="shared" si="10"/>
        <v>0</v>
      </c>
      <c r="U56" s="1954">
        <f t="shared" si="7"/>
        <v>0</v>
      </c>
      <c r="V56" s="1946">
        <f>'MOCST '!V23</f>
        <v>0</v>
      </c>
      <c r="W56" s="1947">
        <f>'MOCST '!W23</f>
        <v>0</v>
      </c>
      <c r="X56" s="1948">
        <f>'MOCST '!X23</f>
        <v>0</v>
      </c>
      <c r="Y56" s="1949">
        <f>'MOCST '!Y23</f>
        <v>0</v>
      </c>
      <c r="Z56" s="1947">
        <f>'MOCST '!Z23</f>
        <v>0</v>
      </c>
      <c r="AA56" s="1950">
        <f>'MOCST '!AA23</f>
        <v>0</v>
      </c>
      <c r="AB56" s="1947">
        <f>'MOCST '!AB23</f>
        <v>0</v>
      </c>
      <c r="AC56" s="1947">
        <f>'MOCST '!AC23</f>
        <v>0</v>
      </c>
      <c r="AD56" s="1955">
        <f>'MOCST '!AD23</f>
        <v>0</v>
      </c>
      <c r="AE56" s="1241"/>
      <c r="AF56" s="1241"/>
      <c r="AG56" s="1241"/>
      <c r="AH56" s="1241"/>
      <c r="AI56" s="1240"/>
      <c r="AJ56" s="1240"/>
      <c r="AK56" s="1240"/>
      <c r="AL56" s="1240"/>
      <c r="AM56" s="1240"/>
      <c r="AN56" s="1240"/>
      <c r="AO56" s="1240"/>
      <c r="AP56" s="1240"/>
      <c r="AQ56" s="1240"/>
      <c r="AR56" s="1240"/>
      <c r="AS56" s="1240"/>
    </row>
    <row r="57" spans="1:45" s="1238" customFormat="1" ht="117" customHeight="1">
      <c r="A57" s="1340"/>
      <c r="B57" s="908" t="s">
        <v>51</v>
      </c>
      <c r="C57" s="1998" t="s">
        <v>176</v>
      </c>
      <c r="D57" s="1998" t="s">
        <v>176</v>
      </c>
      <c r="E57" s="908" t="s">
        <v>176</v>
      </c>
      <c r="F57" s="908" t="s">
        <v>176</v>
      </c>
      <c r="G57" s="908"/>
      <c r="H57" s="908" t="s">
        <v>157</v>
      </c>
      <c r="I57" s="1295" t="s">
        <v>355</v>
      </c>
      <c r="J57" s="1294" t="s">
        <v>354</v>
      </c>
      <c r="K57" s="1508"/>
      <c r="L57" s="1296"/>
      <c r="M57" s="1297"/>
      <c r="N57" s="1298">
        <f>L57+M57</f>
        <v>0</v>
      </c>
      <c r="O57" s="1299"/>
      <c r="P57" s="1300"/>
      <c r="Q57" s="1301">
        <f t="shared" si="11"/>
        <v>0</v>
      </c>
      <c r="R57" s="1293"/>
      <c r="S57" s="1299">
        <f t="shared" si="9"/>
        <v>0</v>
      </c>
      <c r="T57" s="1302">
        <f t="shared" si="10"/>
        <v>0</v>
      </c>
      <c r="U57" s="1303">
        <f t="shared" si="7"/>
        <v>0</v>
      </c>
      <c r="V57" s="1309"/>
      <c r="W57" s="1300"/>
      <c r="X57" s="1306"/>
      <c r="Y57" s="1299"/>
      <c r="Z57" s="1300"/>
      <c r="AA57" s="1301"/>
      <c r="AB57" s="1310"/>
      <c r="AC57" s="1310"/>
      <c r="AD57" s="1311"/>
      <c r="AE57" s="1241"/>
      <c r="AF57" s="1241"/>
      <c r="AG57" s="1241"/>
      <c r="AH57" s="1241"/>
      <c r="AI57" s="1240"/>
      <c r="AJ57" s="1240"/>
      <c r="AK57" s="1240"/>
      <c r="AL57" s="1240"/>
      <c r="AM57" s="1240"/>
      <c r="AN57" s="1240"/>
      <c r="AO57" s="1240"/>
      <c r="AP57" s="1240"/>
      <c r="AQ57" s="1240"/>
      <c r="AR57" s="1240"/>
      <c r="AS57" s="1240"/>
    </row>
    <row r="58" spans="1:45" s="1238" customFormat="1" ht="33" customHeight="1">
      <c r="A58" s="1340"/>
      <c r="B58" s="1312" t="s">
        <v>5</v>
      </c>
      <c r="C58" s="1322"/>
      <c r="D58" s="1322"/>
      <c r="E58" s="1322"/>
      <c r="F58" s="1322"/>
      <c r="G58" s="1322"/>
      <c r="H58" s="1283"/>
      <c r="I58" s="1284"/>
      <c r="J58" s="1283"/>
      <c r="K58" s="1509"/>
      <c r="L58" s="1314">
        <f>'MOCST '!L24</f>
        <v>0</v>
      </c>
      <c r="M58" s="1362">
        <f>'MOCST '!M24</f>
        <v>36605</v>
      </c>
      <c r="N58" s="1363">
        <f>'MOCST '!N24</f>
        <v>36605</v>
      </c>
      <c r="O58" s="1132">
        <f>'MOCST '!O24</f>
        <v>0</v>
      </c>
      <c r="P58" s="1362">
        <f>'MOCST '!P24</f>
        <v>8573</v>
      </c>
      <c r="Q58" s="1364">
        <f>'MOCST '!Q24</f>
        <v>8573</v>
      </c>
      <c r="R58" s="1912"/>
      <c r="S58" s="1134">
        <f t="shared" si="9"/>
        <v>0</v>
      </c>
      <c r="T58" s="1493">
        <f t="shared" si="10"/>
        <v>28032</v>
      </c>
      <c r="U58" s="1558">
        <f t="shared" si="7"/>
        <v>28032</v>
      </c>
      <c r="V58" s="1314">
        <f>'MOCST '!V24</f>
        <v>0</v>
      </c>
      <c r="W58" s="1362">
        <f>'MOCST '!W24</f>
        <v>28032</v>
      </c>
      <c r="X58" s="1363">
        <f>'MOCST '!X24</f>
        <v>28032</v>
      </c>
      <c r="Y58" s="1132">
        <f>'MOCST '!Y24</f>
        <v>0</v>
      </c>
      <c r="Z58" s="1362">
        <f>'MOCST '!Z24</f>
        <v>0</v>
      </c>
      <c r="AA58" s="1364">
        <f>'MOCST '!AA24</f>
        <v>0</v>
      </c>
      <c r="AB58" s="1362">
        <f>'MOCST '!AB24</f>
        <v>0</v>
      </c>
      <c r="AC58" s="1362">
        <f>'MOCST '!AC24</f>
        <v>28032</v>
      </c>
      <c r="AD58" s="1410">
        <f>'MOCST '!AD24</f>
        <v>28032</v>
      </c>
      <c r="AE58" s="1241"/>
      <c r="AF58" s="1241"/>
      <c r="AG58" s="1241"/>
      <c r="AH58" s="1241"/>
      <c r="AI58" s="1240"/>
      <c r="AJ58" s="1240"/>
      <c r="AK58" s="1240"/>
      <c r="AL58" s="1240"/>
      <c r="AM58" s="1240"/>
      <c r="AN58" s="1240"/>
      <c r="AO58" s="1240"/>
      <c r="AP58" s="1240"/>
      <c r="AQ58" s="1240"/>
      <c r="AR58" s="1240"/>
      <c r="AS58" s="1240"/>
    </row>
    <row r="59" spans="1:45" s="1238" customFormat="1" ht="78.75" customHeight="1">
      <c r="A59" s="1340"/>
      <c r="B59" s="908" t="s">
        <v>571</v>
      </c>
      <c r="C59" s="2005" t="s">
        <v>176</v>
      </c>
      <c r="D59" s="2009" t="s">
        <v>176</v>
      </c>
      <c r="E59" s="1310" t="s">
        <v>176</v>
      </c>
      <c r="F59" s="1310" t="s">
        <v>176</v>
      </c>
      <c r="G59" s="1310"/>
      <c r="H59" s="908" t="s">
        <v>167</v>
      </c>
      <c r="I59" s="1295" t="s">
        <v>330</v>
      </c>
      <c r="J59" s="1294" t="s">
        <v>178</v>
      </c>
      <c r="K59" s="1508"/>
      <c r="L59" s="1296"/>
      <c r="M59" s="1297"/>
      <c r="N59" s="1298">
        <f>L59+M59</f>
        <v>0</v>
      </c>
      <c r="O59" s="1299"/>
      <c r="P59" s="1300"/>
      <c r="Q59" s="1301">
        <f t="shared" si="11"/>
        <v>0</v>
      </c>
      <c r="R59" s="1293"/>
      <c r="S59" s="1299">
        <f aca="true" t="shared" si="12" ref="S59:S64">L59-O59</f>
        <v>0</v>
      </c>
      <c r="T59" s="1302">
        <f aca="true" t="shared" si="13" ref="T59:T64">M59-P59</f>
        <v>0</v>
      </c>
      <c r="U59" s="1303">
        <f aca="true" t="shared" si="14" ref="U59:U64">S59+T59</f>
        <v>0</v>
      </c>
      <c r="V59" s="1309"/>
      <c r="W59" s="1300"/>
      <c r="X59" s="1306"/>
      <c r="Y59" s="1299"/>
      <c r="Z59" s="1300"/>
      <c r="AA59" s="1301"/>
      <c r="AB59" s="1310"/>
      <c r="AC59" s="1310"/>
      <c r="AD59" s="1311"/>
      <c r="AE59" s="1241"/>
      <c r="AF59" s="1241"/>
      <c r="AG59" s="1241"/>
      <c r="AH59" s="1241"/>
      <c r="AI59" s="1240"/>
      <c r="AJ59" s="1240"/>
      <c r="AK59" s="1240"/>
      <c r="AL59" s="1240"/>
      <c r="AM59" s="1240"/>
      <c r="AN59" s="1240"/>
      <c r="AO59" s="1240"/>
      <c r="AP59" s="1240"/>
      <c r="AQ59" s="1240"/>
      <c r="AR59" s="1240"/>
      <c r="AS59" s="1240"/>
    </row>
    <row r="60" spans="1:45" s="1238" customFormat="1" ht="30.75" customHeight="1">
      <c r="A60" s="1340"/>
      <c r="B60" s="1312" t="s">
        <v>7</v>
      </c>
      <c r="C60" s="1313"/>
      <c r="D60" s="1313"/>
      <c r="E60" s="1313"/>
      <c r="F60" s="1313"/>
      <c r="G60" s="1313"/>
      <c r="H60" s="1283"/>
      <c r="I60" s="1284"/>
      <c r="J60" s="1283"/>
      <c r="K60" s="1509" t="s">
        <v>185</v>
      </c>
      <c r="L60" s="1314">
        <f>MOLISA!L40</f>
        <v>21400</v>
      </c>
      <c r="M60" s="1362">
        <f>MOLISA!M40</f>
        <v>42708</v>
      </c>
      <c r="N60" s="1363">
        <f>MOLISA!N40</f>
        <v>64108</v>
      </c>
      <c r="O60" s="1132">
        <f>MOLISA!O40</f>
        <v>0</v>
      </c>
      <c r="P60" s="1362">
        <f>MOLISA!P40</f>
        <v>10626</v>
      </c>
      <c r="Q60" s="1364">
        <f>MOLISA!Q40</f>
        <v>10626</v>
      </c>
      <c r="R60" s="1912" t="str">
        <f>MOLISA!R40</f>
        <v>ACTIVITY 07</v>
      </c>
      <c r="S60" s="1134">
        <f t="shared" si="12"/>
        <v>21400</v>
      </c>
      <c r="T60" s="1493">
        <f t="shared" si="13"/>
        <v>32082</v>
      </c>
      <c r="U60" s="1558">
        <f t="shared" si="14"/>
        <v>53482</v>
      </c>
      <c r="V60" s="1314">
        <f>MOLISA!V40</f>
        <v>30000</v>
      </c>
      <c r="W60" s="1362">
        <f>MOLISA!W40</f>
        <v>15196</v>
      </c>
      <c r="X60" s="1363">
        <f>MOLISA!X40</f>
        <v>45196</v>
      </c>
      <c r="Y60" s="1132">
        <f>MOLISA!Y40</f>
        <v>0</v>
      </c>
      <c r="Z60" s="1362">
        <f>MOLISA!Z40</f>
        <v>0</v>
      </c>
      <c r="AA60" s="1364">
        <f>MOLISA!AA40</f>
        <v>0</v>
      </c>
      <c r="AB60" s="1362">
        <f>MOLISA!AB40</f>
        <v>30000</v>
      </c>
      <c r="AC60" s="1362">
        <f>MOLISA!AC40</f>
        <v>15196</v>
      </c>
      <c r="AD60" s="1410">
        <f>MOLISA!AD40</f>
        <v>45196</v>
      </c>
      <c r="AE60" s="1241"/>
      <c r="AF60" s="1241"/>
      <c r="AG60" s="1241"/>
      <c r="AH60" s="1241"/>
      <c r="AI60" s="1240"/>
      <c r="AJ60" s="1240"/>
      <c r="AK60" s="1240"/>
      <c r="AL60" s="1240"/>
      <c r="AM60" s="1240"/>
      <c r="AN60" s="1240"/>
      <c r="AO60" s="1240"/>
      <c r="AP60" s="1240"/>
      <c r="AQ60" s="1240"/>
      <c r="AR60" s="1240"/>
      <c r="AS60" s="1240"/>
    </row>
    <row r="61" spans="1:45" s="1238" customFormat="1" ht="91.5" customHeight="1">
      <c r="A61" s="1340"/>
      <c r="B61" s="908" t="s">
        <v>572</v>
      </c>
      <c r="C61" s="1310"/>
      <c r="D61" s="2014" t="s">
        <v>176</v>
      </c>
      <c r="E61" s="1310" t="s">
        <v>176</v>
      </c>
      <c r="F61" s="1310" t="s">
        <v>176</v>
      </c>
      <c r="G61" s="1310"/>
      <c r="H61" s="908" t="s">
        <v>167</v>
      </c>
      <c r="I61" s="1295" t="s">
        <v>331</v>
      </c>
      <c r="J61" s="1294" t="s">
        <v>178</v>
      </c>
      <c r="K61" s="1508"/>
      <c r="L61" s="1296"/>
      <c r="M61" s="1297"/>
      <c r="N61" s="1298">
        <f>L61+M61</f>
        <v>0</v>
      </c>
      <c r="O61" s="1299"/>
      <c r="P61" s="1300"/>
      <c r="Q61" s="1301">
        <f t="shared" si="11"/>
        <v>0</v>
      </c>
      <c r="R61" s="1293"/>
      <c r="S61" s="1299">
        <f t="shared" si="12"/>
        <v>0</v>
      </c>
      <c r="T61" s="1302">
        <f t="shared" si="13"/>
        <v>0</v>
      </c>
      <c r="U61" s="1303">
        <f t="shared" si="14"/>
        <v>0</v>
      </c>
      <c r="V61" s="1309"/>
      <c r="W61" s="1300"/>
      <c r="X61" s="1306"/>
      <c r="Y61" s="1299"/>
      <c r="Z61" s="1300"/>
      <c r="AA61" s="1301"/>
      <c r="AB61" s="1310"/>
      <c r="AC61" s="1310"/>
      <c r="AD61" s="1311"/>
      <c r="AE61" s="1241"/>
      <c r="AF61" s="1241"/>
      <c r="AG61" s="1241"/>
      <c r="AH61" s="1241"/>
      <c r="AI61" s="1240"/>
      <c r="AJ61" s="1240"/>
      <c r="AK61" s="1240"/>
      <c r="AL61" s="1240"/>
      <c r="AM61" s="1240"/>
      <c r="AN61" s="1240"/>
      <c r="AO61" s="1240"/>
      <c r="AP61" s="1240"/>
      <c r="AQ61" s="1240"/>
      <c r="AR61" s="1240"/>
      <c r="AS61" s="1240"/>
    </row>
    <row r="62" spans="1:45" s="1238" customFormat="1" ht="29.25" customHeight="1">
      <c r="A62" s="1340"/>
      <c r="B62" s="1312" t="s">
        <v>6</v>
      </c>
      <c r="C62" s="1313"/>
      <c r="D62" s="1313"/>
      <c r="E62" s="1313"/>
      <c r="F62" s="1313"/>
      <c r="G62" s="1313"/>
      <c r="H62" s="1283"/>
      <c r="I62" s="1284"/>
      <c r="J62" s="1283"/>
      <c r="K62" s="1509" t="s">
        <v>185</v>
      </c>
      <c r="L62" s="1314">
        <f>MOLISA!L42</f>
        <v>26750</v>
      </c>
      <c r="M62" s="1362">
        <f>MOLISA!M42</f>
        <v>14000</v>
      </c>
      <c r="N62" s="1363">
        <f>MOLISA!N42</f>
        <v>40750</v>
      </c>
      <c r="O62" s="1132">
        <f>MOLISA!O42</f>
        <v>26405</v>
      </c>
      <c r="P62" s="1362">
        <f>MOLISA!P42</f>
        <v>28641</v>
      </c>
      <c r="Q62" s="1364">
        <f>MOLISA!Q42</f>
        <v>55046</v>
      </c>
      <c r="R62" s="1912" t="str">
        <f>MOLISA!R42</f>
        <v>ACTIVITY 07</v>
      </c>
      <c r="S62" s="1134">
        <f t="shared" si="12"/>
        <v>345</v>
      </c>
      <c r="T62" s="1493">
        <f t="shared" si="13"/>
        <v>-14641</v>
      </c>
      <c r="U62" s="1558">
        <f t="shared" si="14"/>
        <v>-14296</v>
      </c>
      <c r="V62" s="1314">
        <f>MOLISA!V42</f>
        <v>0</v>
      </c>
      <c r="W62" s="1362">
        <f>MOLISA!W42</f>
        <v>3900</v>
      </c>
      <c r="X62" s="1363">
        <f>MOLISA!X42</f>
        <v>3900</v>
      </c>
      <c r="Y62" s="1132">
        <f>MOLISA!Y42</f>
        <v>0</v>
      </c>
      <c r="Z62" s="1362">
        <f>MOLISA!Z42</f>
        <v>0</v>
      </c>
      <c r="AA62" s="1364">
        <f>MOLISA!AA42</f>
        <v>0</v>
      </c>
      <c r="AB62" s="1362">
        <f>MOLISA!AB42</f>
        <v>0</v>
      </c>
      <c r="AC62" s="1362">
        <f>MOLISA!AC42</f>
        <v>3900</v>
      </c>
      <c r="AD62" s="1410">
        <f>MOLISA!AD42</f>
        <v>3900</v>
      </c>
      <c r="AE62" s="1241"/>
      <c r="AF62" s="1241"/>
      <c r="AG62" s="1241"/>
      <c r="AH62" s="1241"/>
      <c r="AI62" s="1240"/>
      <c r="AJ62" s="1240"/>
      <c r="AK62" s="1240"/>
      <c r="AL62" s="1240"/>
      <c r="AM62" s="1240"/>
      <c r="AN62" s="1240"/>
      <c r="AO62" s="1240"/>
      <c r="AP62" s="1240"/>
      <c r="AQ62" s="1240"/>
      <c r="AR62" s="1240"/>
      <c r="AS62" s="1240"/>
    </row>
    <row r="63" spans="1:45" s="1238" customFormat="1" ht="124.5" customHeight="1">
      <c r="A63" s="1340"/>
      <c r="B63" s="908" t="s">
        <v>23</v>
      </c>
      <c r="C63" s="2005"/>
      <c r="D63" s="2009" t="s">
        <v>176</v>
      </c>
      <c r="E63" s="1310" t="s">
        <v>176</v>
      </c>
      <c r="F63" s="1310" t="s">
        <v>176</v>
      </c>
      <c r="G63" s="1310"/>
      <c r="H63" s="908" t="s">
        <v>167</v>
      </c>
      <c r="I63" s="1295" t="s">
        <v>331</v>
      </c>
      <c r="J63" s="1294" t="s">
        <v>178</v>
      </c>
      <c r="K63" s="1508"/>
      <c r="L63" s="1296"/>
      <c r="M63" s="1297"/>
      <c r="N63" s="1298">
        <f>L63+M63</f>
        <v>0</v>
      </c>
      <c r="O63" s="1299"/>
      <c r="P63" s="1300"/>
      <c r="Q63" s="1301">
        <f t="shared" si="11"/>
        <v>0</v>
      </c>
      <c r="R63" s="1293"/>
      <c r="S63" s="1299">
        <f t="shared" si="12"/>
        <v>0</v>
      </c>
      <c r="T63" s="1302">
        <f t="shared" si="13"/>
        <v>0</v>
      </c>
      <c r="U63" s="1303">
        <f t="shared" si="14"/>
        <v>0</v>
      </c>
      <c r="V63" s="1309"/>
      <c r="W63" s="1300"/>
      <c r="X63" s="1306"/>
      <c r="Y63" s="1299"/>
      <c r="Z63" s="1300"/>
      <c r="AA63" s="1301"/>
      <c r="AB63" s="1310"/>
      <c r="AC63" s="1310"/>
      <c r="AD63" s="1311"/>
      <c r="AE63" s="1241"/>
      <c r="AF63" s="1241"/>
      <c r="AG63" s="1241"/>
      <c r="AH63" s="1241"/>
      <c r="AI63" s="1240"/>
      <c r="AJ63" s="1240"/>
      <c r="AK63" s="1240"/>
      <c r="AL63" s="1240"/>
      <c r="AM63" s="1240"/>
      <c r="AN63" s="1240"/>
      <c r="AO63" s="1240"/>
      <c r="AP63" s="1240"/>
      <c r="AQ63" s="1240"/>
      <c r="AR63" s="1240"/>
      <c r="AS63" s="1240"/>
    </row>
    <row r="64" spans="1:45" s="1238" customFormat="1" ht="45.75" customHeight="1">
      <c r="A64" s="1341"/>
      <c r="B64" s="1312" t="s">
        <v>8</v>
      </c>
      <c r="C64" s="1313"/>
      <c r="D64" s="1313"/>
      <c r="E64" s="1313"/>
      <c r="F64" s="1313"/>
      <c r="G64" s="1313"/>
      <c r="H64" s="1283"/>
      <c r="I64" s="1284"/>
      <c r="J64" s="1283"/>
      <c r="K64" s="1509" t="s">
        <v>185</v>
      </c>
      <c r="L64" s="1314">
        <f>MOLISA!L44</f>
        <v>32100</v>
      </c>
      <c r="M64" s="1362">
        <f>MOLISA!M44</f>
        <v>81895</v>
      </c>
      <c r="N64" s="1363">
        <f>MOLISA!N44</f>
        <v>113995</v>
      </c>
      <c r="O64" s="1132">
        <f>MOLISA!O44</f>
        <v>11789</v>
      </c>
      <c r="P64" s="1362">
        <f>MOLISA!P44</f>
        <v>90819</v>
      </c>
      <c r="Q64" s="1364">
        <f>MOLISA!Q44</f>
        <v>102608</v>
      </c>
      <c r="R64" s="1912" t="str">
        <f>MOLISA!R44</f>
        <v>ACTIVITY 07</v>
      </c>
      <c r="S64" s="1134">
        <f t="shared" si="12"/>
        <v>20311</v>
      </c>
      <c r="T64" s="1493">
        <f t="shared" si="13"/>
        <v>-8924</v>
      </c>
      <c r="U64" s="1558">
        <f t="shared" si="14"/>
        <v>11387</v>
      </c>
      <c r="V64" s="1314">
        <f>MOLISA!V44</f>
        <v>20863</v>
      </c>
      <c r="W64" s="1362">
        <f>MOLISA!W44</f>
        <v>1839</v>
      </c>
      <c r="X64" s="1363">
        <f>MOLISA!X44</f>
        <v>22702</v>
      </c>
      <c r="Y64" s="1132">
        <f>MOLISA!Y44</f>
        <v>0</v>
      </c>
      <c r="Z64" s="1362">
        <f>MOLISA!Z44</f>
        <v>0</v>
      </c>
      <c r="AA64" s="1364">
        <f>MOLISA!AA44</f>
        <v>0</v>
      </c>
      <c r="AB64" s="1362">
        <f>MOLISA!AB44</f>
        <v>20863</v>
      </c>
      <c r="AC64" s="1362">
        <f>MOLISA!AC44</f>
        <v>1839</v>
      </c>
      <c r="AD64" s="1410">
        <f>MOLISA!AD44</f>
        <v>22702</v>
      </c>
      <c r="AE64" s="1241"/>
      <c r="AF64" s="1241"/>
      <c r="AG64" s="1241"/>
      <c r="AH64" s="1241"/>
      <c r="AI64" s="1240"/>
      <c r="AJ64" s="1240"/>
      <c r="AK64" s="1240"/>
      <c r="AL64" s="1240"/>
      <c r="AM64" s="1240"/>
      <c r="AN64" s="1240"/>
      <c r="AO64" s="1240"/>
      <c r="AP64" s="1240"/>
      <c r="AQ64" s="1240"/>
      <c r="AR64" s="1240"/>
      <c r="AS64" s="1240"/>
    </row>
    <row r="65" spans="1:45" s="1238" customFormat="1" ht="31.5" customHeight="1">
      <c r="A65" s="1427"/>
      <c r="B65" s="1428" t="s">
        <v>338</v>
      </c>
      <c r="C65" s="1429"/>
      <c r="D65" s="1429"/>
      <c r="E65" s="1429"/>
      <c r="F65" s="1429"/>
      <c r="G65" s="1429"/>
      <c r="H65" s="1430"/>
      <c r="I65" s="1431"/>
      <c r="J65" s="1430"/>
      <c r="K65" s="1514"/>
      <c r="L65" s="1537">
        <f>SUM(L24:L64)</f>
        <v>361462</v>
      </c>
      <c r="M65" s="1432">
        <f aca="true" t="shared" si="15" ref="M65:AD65">SUM(M24:M64)</f>
        <v>346861</v>
      </c>
      <c r="N65" s="1538">
        <f t="shared" si="15"/>
        <v>708323</v>
      </c>
      <c r="O65" s="1529">
        <f t="shared" si="15"/>
        <v>250804</v>
      </c>
      <c r="P65" s="1432">
        <f t="shared" si="15"/>
        <v>320020.75</v>
      </c>
      <c r="Q65" s="1552">
        <f t="shared" si="15"/>
        <v>570824.75</v>
      </c>
      <c r="R65" s="1432">
        <f t="shared" si="15"/>
        <v>0</v>
      </c>
      <c r="S65" s="1529">
        <f t="shared" si="15"/>
        <v>110658</v>
      </c>
      <c r="T65" s="1432">
        <f t="shared" si="15"/>
        <v>26840.25</v>
      </c>
      <c r="U65" s="1552">
        <f t="shared" si="15"/>
        <v>137498.25</v>
      </c>
      <c r="V65" s="1537">
        <f t="shared" si="15"/>
        <v>288241</v>
      </c>
      <c r="W65" s="1432" t="e">
        <f t="shared" si="15"/>
        <v>#REF!</v>
      </c>
      <c r="X65" s="1538">
        <f t="shared" si="15"/>
        <v>447181</v>
      </c>
      <c r="Y65" s="1529">
        <f t="shared" si="15"/>
        <v>0</v>
      </c>
      <c r="Z65" s="1432">
        <f t="shared" si="15"/>
        <v>24057</v>
      </c>
      <c r="AA65" s="1552">
        <f t="shared" si="15"/>
        <v>24057</v>
      </c>
      <c r="AB65" s="1432">
        <f t="shared" si="15"/>
        <v>288241</v>
      </c>
      <c r="AC65" s="1432">
        <f t="shared" si="15"/>
        <v>182997</v>
      </c>
      <c r="AD65" s="1433">
        <f t="shared" si="15"/>
        <v>471238</v>
      </c>
      <c r="AE65" s="1241"/>
      <c r="AF65" s="1241"/>
      <c r="AG65" s="1241"/>
      <c r="AH65" s="1241"/>
      <c r="AI65" s="1240"/>
      <c r="AJ65" s="1240"/>
      <c r="AK65" s="1240"/>
      <c r="AL65" s="1240"/>
      <c r="AM65" s="1240"/>
      <c r="AN65" s="1240"/>
      <c r="AO65" s="1240"/>
      <c r="AP65" s="1240"/>
      <c r="AQ65" s="1240"/>
      <c r="AR65" s="1240"/>
      <c r="AS65" s="1240"/>
    </row>
    <row r="66" spans="1:45" s="1238" customFormat="1" ht="117" customHeight="1">
      <c r="A66" s="2040" t="s">
        <v>96</v>
      </c>
      <c r="B66" s="2041"/>
      <c r="C66" s="2041"/>
      <c r="D66" s="2041"/>
      <c r="E66" s="2041"/>
      <c r="F66" s="2041"/>
      <c r="G66" s="2041"/>
      <c r="H66" s="1497"/>
      <c r="I66" s="1498"/>
      <c r="J66" s="1497"/>
      <c r="K66" s="1347"/>
      <c r="L66" s="1539"/>
      <c r="M66" s="1499"/>
      <c r="N66" s="1540"/>
      <c r="O66" s="1499"/>
      <c r="P66" s="1499"/>
      <c r="Q66" s="1499"/>
      <c r="R66" s="1916"/>
      <c r="S66" s="1500">
        <f aca="true" t="shared" si="16" ref="S66:S74">L66-O66</f>
        <v>0</v>
      </c>
      <c r="T66" s="1501">
        <f aca="true" t="shared" si="17" ref="T66:T74">M66-P66</f>
        <v>0</v>
      </c>
      <c r="U66" s="1501">
        <f aca="true" t="shared" si="18" ref="U66:U74">S66+T66</f>
        <v>0</v>
      </c>
      <c r="V66" s="1539"/>
      <c r="W66" s="1499"/>
      <c r="X66" s="1540"/>
      <c r="Y66" s="1499"/>
      <c r="Z66" s="1499"/>
      <c r="AA66" s="1499"/>
      <c r="AB66" s="1908"/>
      <c r="AC66" s="1499"/>
      <c r="AD66" s="1675"/>
      <c r="AE66" s="1241"/>
      <c r="AF66" s="1241"/>
      <c r="AG66" s="1241"/>
      <c r="AH66" s="1241"/>
      <c r="AI66" s="1240"/>
      <c r="AJ66" s="1240"/>
      <c r="AK66" s="1240"/>
      <c r="AL66" s="1240"/>
      <c r="AM66" s="1240"/>
      <c r="AN66" s="1240"/>
      <c r="AO66" s="1240"/>
      <c r="AP66" s="1240"/>
      <c r="AQ66" s="1240"/>
      <c r="AR66" s="1240"/>
      <c r="AS66" s="1240"/>
    </row>
    <row r="67" spans="1:45" s="1238" customFormat="1" ht="81" customHeight="1">
      <c r="A67" s="2046" t="s">
        <v>573</v>
      </c>
      <c r="B67" s="908" t="s">
        <v>24</v>
      </c>
      <c r="C67" s="1310"/>
      <c r="D67" s="2005" t="s">
        <v>176</v>
      </c>
      <c r="E67" s="1310"/>
      <c r="F67" s="1310" t="s">
        <v>176</v>
      </c>
      <c r="G67" s="1310"/>
      <c r="H67" s="908" t="s">
        <v>167</v>
      </c>
      <c r="I67" s="1295" t="s">
        <v>304</v>
      </c>
      <c r="J67" s="1294" t="s">
        <v>611</v>
      </c>
      <c r="K67" s="1508"/>
      <c r="L67" s="1296"/>
      <c r="M67" s="1297"/>
      <c r="N67" s="1298">
        <f>L67+M67</f>
        <v>0</v>
      </c>
      <c r="O67" s="1299"/>
      <c r="P67" s="1300"/>
      <c r="Q67" s="1301">
        <f aca="true" t="shared" si="19" ref="Q67:Q73">O67+P67</f>
        <v>0</v>
      </c>
      <c r="R67" s="1293"/>
      <c r="S67" s="1299">
        <f t="shared" si="16"/>
        <v>0</v>
      </c>
      <c r="T67" s="1302">
        <f t="shared" si="17"/>
        <v>0</v>
      </c>
      <c r="U67" s="1303">
        <f t="shared" si="18"/>
        <v>0</v>
      </c>
      <c r="V67" s="1309"/>
      <c r="W67" s="1300"/>
      <c r="X67" s="1306"/>
      <c r="Y67" s="1299"/>
      <c r="Z67" s="1300"/>
      <c r="AA67" s="1301"/>
      <c r="AB67" s="1310"/>
      <c r="AC67" s="1310"/>
      <c r="AD67" s="1311"/>
      <c r="AE67" s="1241"/>
      <c r="AF67" s="1241"/>
      <c r="AG67" s="1241"/>
      <c r="AH67" s="1241"/>
      <c r="AI67" s="1240"/>
      <c r="AJ67" s="1240"/>
      <c r="AK67" s="1240"/>
      <c r="AL67" s="1240"/>
      <c r="AM67" s="1240"/>
      <c r="AN67" s="1240"/>
      <c r="AO67" s="1240"/>
      <c r="AP67" s="1240"/>
      <c r="AQ67" s="1240"/>
      <c r="AR67" s="1240"/>
      <c r="AS67" s="1240"/>
    </row>
    <row r="68" spans="1:45" s="1238" customFormat="1" ht="30" customHeight="1">
      <c r="A68" s="2032"/>
      <c r="B68" s="1312" t="s">
        <v>297</v>
      </c>
      <c r="C68" s="1313"/>
      <c r="D68" s="1313"/>
      <c r="E68" s="1313"/>
      <c r="F68" s="1313"/>
      <c r="G68" s="1313"/>
      <c r="H68" s="1283"/>
      <c r="I68" s="1284"/>
      <c r="J68" s="1283"/>
      <c r="K68" s="1509" t="s">
        <v>154</v>
      </c>
      <c r="L68" s="1314">
        <f>MOLISA!L48</f>
        <v>21000</v>
      </c>
      <c r="M68" s="1362">
        <f>MOLISA!M48</f>
        <v>10615</v>
      </c>
      <c r="N68" s="1363">
        <f>MOLISA!N48</f>
        <v>31615</v>
      </c>
      <c r="O68" s="1132">
        <f>MOLISA!O48</f>
        <v>0</v>
      </c>
      <c r="P68" s="1362">
        <f>MOLISA!P48</f>
        <v>0</v>
      </c>
      <c r="Q68" s="1364">
        <f>MOLISA!Q48</f>
        <v>0</v>
      </c>
      <c r="R68" s="1912" t="str">
        <f>MOLISA!R48</f>
        <v>ACTIVITY 04</v>
      </c>
      <c r="S68" s="1134">
        <f t="shared" si="16"/>
        <v>21000</v>
      </c>
      <c r="T68" s="1493">
        <f t="shared" si="17"/>
        <v>10615</v>
      </c>
      <c r="U68" s="1558">
        <f t="shared" si="18"/>
        <v>31615</v>
      </c>
      <c r="V68" s="1314">
        <f>MOLISA!V48</f>
        <v>44058</v>
      </c>
      <c r="W68" s="1362">
        <f>MOLISA!W48</f>
        <v>0</v>
      </c>
      <c r="X68" s="1363">
        <f>MOLISA!X48</f>
        <v>44058</v>
      </c>
      <c r="Y68" s="1132">
        <f>MOLISA!Y48</f>
        <v>0</v>
      </c>
      <c r="Z68" s="1362">
        <f>MOLISA!Z48</f>
        <v>0</v>
      </c>
      <c r="AA68" s="1364">
        <f>MOLISA!AA48</f>
        <v>0</v>
      </c>
      <c r="AB68" s="1362">
        <f>MOLISA!AB48</f>
        <v>44058</v>
      </c>
      <c r="AC68" s="1362">
        <f>MOLISA!AC48</f>
        <v>0</v>
      </c>
      <c r="AD68" s="1410">
        <f>MOLISA!AD48</f>
        <v>44058</v>
      </c>
      <c r="AE68" s="1241"/>
      <c r="AF68" s="1241"/>
      <c r="AG68" s="1241"/>
      <c r="AH68" s="1241"/>
      <c r="AI68" s="1240"/>
      <c r="AJ68" s="1240"/>
      <c r="AK68" s="1240"/>
      <c r="AL68" s="1240"/>
      <c r="AM68" s="1240"/>
      <c r="AN68" s="1240"/>
      <c r="AO68" s="1240"/>
      <c r="AP68" s="1240"/>
      <c r="AQ68" s="1240"/>
      <c r="AR68" s="1240"/>
      <c r="AS68" s="1240"/>
    </row>
    <row r="69" spans="1:45" s="1238" customFormat="1" ht="156" customHeight="1">
      <c r="A69" s="2032"/>
      <c r="B69" s="908" t="s">
        <v>574</v>
      </c>
      <c r="C69" s="2004" t="s">
        <v>176</v>
      </c>
      <c r="D69" s="1998" t="s">
        <v>176</v>
      </c>
      <c r="E69" s="908" t="s">
        <v>176</v>
      </c>
      <c r="F69" s="908" t="s">
        <v>176</v>
      </c>
      <c r="G69" s="908"/>
      <c r="H69" s="908" t="s">
        <v>167</v>
      </c>
      <c r="I69" s="1295" t="s">
        <v>216</v>
      </c>
      <c r="J69" s="1294" t="s">
        <v>611</v>
      </c>
      <c r="K69" s="1508"/>
      <c r="L69" s="1296"/>
      <c r="M69" s="1297"/>
      <c r="N69" s="1298">
        <f>L69+M69</f>
        <v>0</v>
      </c>
      <c r="O69" s="1299"/>
      <c r="P69" s="1300"/>
      <c r="Q69" s="1301">
        <f t="shared" si="19"/>
        <v>0</v>
      </c>
      <c r="R69" s="1293"/>
      <c r="S69" s="1299">
        <f t="shared" si="16"/>
        <v>0</v>
      </c>
      <c r="T69" s="1302">
        <f t="shared" si="17"/>
        <v>0</v>
      </c>
      <c r="U69" s="1303">
        <f t="shared" si="18"/>
        <v>0</v>
      </c>
      <c r="V69" s="1309"/>
      <c r="W69" s="1300"/>
      <c r="X69" s="1306"/>
      <c r="Y69" s="1299"/>
      <c r="Z69" s="1300"/>
      <c r="AA69" s="1301"/>
      <c r="AB69" s="1310"/>
      <c r="AC69" s="1310"/>
      <c r="AD69" s="1311"/>
      <c r="AE69" s="1241"/>
      <c r="AF69" s="1241"/>
      <c r="AG69" s="1241"/>
      <c r="AH69" s="1241"/>
      <c r="AI69" s="1240"/>
      <c r="AJ69" s="1240"/>
      <c r="AK69" s="1240"/>
      <c r="AL69" s="1240"/>
      <c r="AM69" s="1240"/>
      <c r="AN69" s="1240"/>
      <c r="AO69" s="1240"/>
      <c r="AP69" s="1240"/>
      <c r="AQ69" s="1240"/>
      <c r="AR69" s="1240"/>
      <c r="AS69" s="1240"/>
    </row>
    <row r="70" spans="1:45" s="1238" customFormat="1" ht="29.25" customHeight="1">
      <c r="A70" s="2032"/>
      <c r="B70" s="1312" t="s">
        <v>262</v>
      </c>
      <c r="C70" s="1313"/>
      <c r="D70" s="1313"/>
      <c r="E70" s="1313"/>
      <c r="F70" s="1313"/>
      <c r="G70" s="1313"/>
      <c r="H70" s="1283"/>
      <c r="I70" s="1284"/>
      <c r="J70" s="1283"/>
      <c r="K70" s="1509" t="s">
        <v>154</v>
      </c>
      <c r="L70" s="1541">
        <f>MOLISA!L50</f>
        <v>0</v>
      </c>
      <c r="M70" s="1502">
        <f>MOLISA!M50</f>
        <v>18900</v>
      </c>
      <c r="N70" s="1542">
        <f>MOLISA!N50</f>
        <v>18900</v>
      </c>
      <c r="O70" s="1530">
        <f>MOLISA!O50</f>
        <v>0</v>
      </c>
      <c r="P70" s="1502">
        <f>MOLISA!P50</f>
        <v>22370</v>
      </c>
      <c r="Q70" s="1553">
        <f>MOLISA!Q50</f>
        <v>22370</v>
      </c>
      <c r="R70" s="1912" t="str">
        <f>MOLISA!R50</f>
        <v>ACTIVITY 04</v>
      </c>
      <c r="S70" s="1134">
        <f t="shared" si="16"/>
        <v>0</v>
      </c>
      <c r="T70" s="1493">
        <f t="shared" si="17"/>
        <v>-3470</v>
      </c>
      <c r="U70" s="1558">
        <f t="shared" si="18"/>
        <v>-3470</v>
      </c>
      <c r="V70" s="1541">
        <f>MOLISA!V50</f>
        <v>0</v>
      </c>
      <c r="W70" s="1502">
        <f>MOLISA!W50</f>
        <v>16500</v>
      </c>
      <c r="X70" s="1542">
        <f>MOLISA!X50</f>
        <v>16500</v>
      </c>
      <c r="Y70" s="1530">
        <f>MOLISA!Y50</f>
        <v>0</v>
      </c>
      <c r="Z70" s="1502">
        <f>MOLISA!Z50</f>
        <v>0</v>
      </c>
      <c r="AA70" s="1553">
        <f>MOLISA!AA50</f>
        <v>0</v>
      </c>
      <c r="AB70" s="1502">
        <f>MOLISA!AB50</f>
        <v>0</v>
      </c>
      <c r="AC70" s="1502">
        <f>MOLISA!AC50</f>
        <v>16500</v>
      </c>
      <c r="AD70" s="1503">
        <f>MOLISA!AD50</f>
        <v>16500</v>
      </c>
      <c r="AE70" s="1241"/>
      <c r="AF70" s="1241"/>
      <c r="AG70" s="1241"/>
      <c r="AH70" s="1241"/>
      <c r="AI70" s="1240"/>
      <c r="AJ70" s="1240"/>
      <c r="AK70" s="1240"/>
      <c r="AL70" s="1240"/>
      <c r="AM70" s="1240"/>
      <c r="AN70" s="1240"/>
      <c r="AO70" s="1240"/>
      <c r="AP70" s="1240"/>
      <c r="AQ70" s="1240"/>
      <c r="AR70" s="1240"/>
      <c r="AS70" s="1240"/>
    </row>
    <row r="71" spans="1:45" s="1238" customFormat="1" ht="50.25" customHeight="1">
      <c r="A71" s="2032"/>
      <c r="B71" s="908" t="s">
        <v>575</v>
      </c>
      <c r="C71" s="908"/>
      <c r="D71" s="1998" t="s">
        <v>176</v>
      </c>
      <c r="E71" s="908" t="s">
        <v>176</v>
      </c>
      <c r="F71" s="908" t="s">
        <v>176</v>
      </c>
      <c r="G71" s="908"/>
      <c r="H71" s="908" t="s">
        <v>167</v>
      </c>
      <c r="I71" s="1295" t="s">
        <v>155</v>
      </c>
      <c r="J71" s="1342" t="s">
        <v>611</v>
      </c>
      <c r="K71" s="1508"/>
      <c r="L71" s="1296"/>
      <c r="M71" s="1297"/>
      <c r="N71" s="1298">
        <f>L71+M71</f>
        <v>0</v>
      </c>
      <c r="O71" s="1299"/>
      <c r="P71" s="1300"/>
      <c r="Q71" s="1301">
        <f t="shared" si="19"/>
        <v>0</v>
      </c>
      <c r="R71" s="1293"/>
      <c r="S71" s="1299">
        <f t="shared" si="16"/>
        <v>0</v>
      </c>
      <c r="T71" s="1302">
        <f t="shared" si="17"/>
        <v>0</v>
      </c>
      <c r="U71" s="1303">
        <f t="shared" si="18"/>
        <v>0</v>
      </c>
      <c r="V71" s="1309"/>
      <c r="W71" s="1300"/>
      <c r="X71" s="1306"/>
      <c r="Y71" s="1299"/>
      <c r="Z71" s="1300"/>
      <c r="AA71" s="1301"/>
      <c r="AB71" s="1310"/>
      <c r="AC71" s="1310"/>
      <c r="AD71" s="1311"/>
      <c r="AE71" s="1241"/>
      <c r="AF71" s="1241"/>
      <c r="AG71" s="1241"/>
      <c r="AH71" s="1241"/>
      <c r="AI71" s="1240"/>
      <c r="AJ71" s="1240"/>
      <c r="AK71" s="1240"/>
      <c r="AL71" s="1240"/>
      <c r="AM71" s="1240"/>
      <c r="AN71" s="1240"/>
      <c r="AO71" s="1240"/>
      <c r="AP71" s="1240"/>
      <c r="AQ71" s="1240"/>
      <c r="AR71" s="1240"/>
      <c r="AS71" s="1240"/>
    </row>
    <row r="72" spans="1:45" s="1238" customFormat="1" ht="42" customHeight="1">
      <c r="A72" s="1344"/>
      <c r="B72" s="1312" t="s">
        <v>264</v>
      </c>
      <c r="C72" s="1313"/>
      <c r="D72" s="1313"/>
      <c r="E72" s="1313"/>
      <c r="F72" s="1313"/>
      <c r="G72" s="1313"/>
      <c r="H72" s="1283"/>
      <c r="I72" s="1284"/>
      <c r="J72" s="1283"/>
      <c r="K72" s="1509" t="s">
        <v>154</v>
      </c>
      <c r="L72" s="1314">
        <f>MOLISA!L52</f>
        <v>4000</v>
      </c>
      <c r="M72" s="1362">
        <f>MOLISA!M52</f>
        <v>1120</v>
      </c>
      <c r="N72" s="1363">
        <f>MOLISA!N52</f>
        <v>5120</v>
      </c>
      <c r="O72" s="1132">
        <f>MOLISA!O52</f>
        <v>3728</v>
      </c>
      <c r="P72" s="1362">
        <f>MOLISA!P52</f>
        <v>2567</v>
      </c>
      <c r="Q72" s="1364">
        <f>MOLISA!Q52</f>
        <v>6295</v>
      </c>
      <c r="R72" s="1917" t="str">
        <f>MOLISA!R52</f>
        <v>ACTIVITY 04</v>
      </c>
      <c r="S72" s="1134">
        <f t="shared" si="16"/>
        <v>272</v>
      </c>
      <c r="T72" s="1493">
        <f t="shared" si="17"/>
        <v>-1447</v>
      </c>
      <c r="U72" s="1558">
        <f t="shared" si="18"/>
        <v>-1175</v>
      </c>
      <c r="V72" s="1314">
        <f>MOLISA!V52</f>
        <v>4705</v>
      </c>
      <c r="W72" s="1362">
        <f>MOLISA!W52</f>
        <v>1120</v>
      </c>
      <c r="X72" s="1363">
        <f>MOLISA!X52</f>
        <v>5825</v>
      </c>
      <c r="Y72" s="1132">
        <f>MOLISA!Y52</f>
        <v>0</v>
      </c>
      <c r="Z72" s="1362">
        <f>MOLISA!Z52</f>
        <v>0</v>
      </c>
      <c r="AA72" s="1364">
        <f>MOLISA!AA52</f>
        <v>0</v>
      </c>
      <c r="AB72" s="1362">
        <f>MOLISA!AB52</f>
        <v>4705</v>
      </c>
      <c r="AC72" s="1362">
        <f>MOLISA!AC52</f>
        <v>1120</v>
      </c>
      <c r="AD72" s="1410">
        <f>MOLISA!AD52</f>
        <v>5825</v>
      </c>
      <c r="AE72" s="1241"/>
      <c r="AF72" s="1241"/>
      <c r="AG72" s="1241"/>
      <c r="AH72" s="1241"/>
      <c r="AI72" s="1240"/>
      <c r="AJ72" s="1240"/>
      <c r="AK72" s="1240"/>
      <c r="AL72" s="1240"/>
      <c r="AM72" s="1240"/>
      <c r="AN72" s="1240"/>
      <c r="AO72" s="1240"/>
      <c r="AP72" s="1240"/>
      <c r="AQ72" s="1240"/>
      <c r="AR72" s="1240"/>
      <c r="AS72" s="1240"/>
    </row>
    <row r="73" spans="1:45" s="1238" customFormat="1" ht="125.25" customHeight="1" hidden="1">
      <c r="A73" s="1343"/>
      <c r="B73" s="908" t="s">
        <v>576</v>
      </c>
      <c r="C73" s="908"/>
      <c r="D73" s="908"/>
      <c r="E73" s="908"/>
      <c r="F73" s="908"/>
      <c r="G73" s="908"/>
      <c r="H73" s="908" t="s">
        <v>157</v>
      </c>
      <c r="I73" s="1295" t="s">
        <v>356</v>
      </c>
      <c r="J73" s="1342" t="s">
        <v>182</v>
      </c>
      <c r="K73" s="1508"/>
      <c r="L73" s="1296"/>
      <c r="M73" s="1297"/>
      <c r="N73" s="1298">
        <f>L73+M73</f>
        <v>0</v>
      </c>
      <c r="O73" s="1299"/>
      <c r="P73" s="1300"/>
      <c r="Q73" s="1301">
        <f t="shared" si="19"/>
        <v>0</v>
      </c>
      <c r="R73" s="1293"/>
      <c r="S73" s="1299">
        <f t="shared" si="16"/>
        <v>0</v>
      </c>
      <c r="T73" s="1302">
        <f t="shared" si="17"/>
        <v>0</v>
      </c>
      <c r="U73" s="1303">
        <f t="shared" si="18"/>
        <v>0</v>
      </c>
      <c r="V73" s="1309"/>
      <c r="W73" s="1300"/>
      <c r="X73" s="1306"/>
      <c r="Y73" s="1299"/>
      <c r="Z73" s="1300"/>
      <c r="AA73" s="1301"/>
      <c r="AB73" s="1310"/>
      <c r="AC73" s="1310"/>
      <c r="AD73" s="1311"/>
      <c r="AE73" s="1241"/>
      <c r="AF73" s="1241"/>
      <c r="AG73" s="1241"/>
      <c r="AH73" s="1241"/>
      <c r="AI73" s="1240"/>
      <c r="AJ73" s="1240"/>
      <c r="AK73" s="1240"/>
      <c r="AL73" s="1240"/>
      <c r="AM73" s="1240"/>
      <c r="AN73" s="1240"/>
      <c r="AO73" s="1240"/>
      <c r="AP73" s="1240"/>
      <c r="AQ73" s="1240"/>
      <c r="AR73" s="1240"/>
      <c r="AS73" s="1240"/>
    </row>
    <row r="74" spans="1:45" s="1238" customFormat="1" ht="32.25" customHeight="1" hidden="1">
      <c r="A74" s="1344"/>
      <c r="B74" s="1312" t="s">
        <v>25</v>
      </c>
      <c r="C74" s="1313"/>
      <c r="D74" s="1313"/>
      <c r="E74" s="1313"/>
      <c r="F74" s="1313"/>
      <c r="G74" s="1313"/>
      <c r="H74" s="1283"/>
      <c r="I74" s="1284"/>
      <c r="J74" s="1283"/>
      <c r="K74" s="1509" t="s">
        <v>154</v>
      </c>
      <c r="L74" s="1314">
        <f>'MOCST '!L28</f>
        <v>5588</v>
      </c>
      <c r="M74" s="1362">
        <f>'MOCST '!M28</f>
        <v>2065</v>
      </c>
      <c r="N74" s="1363">
        <f>'MOCST '!N28</f>
        <v>7653</v>
      </c>
      <c r="O74" s="1132">
        <f>'MOCST '!O28</f>
        <v>5588</v>
      </c>
      <c r="P74" s="1362">
        <f>'MOCST '!P28</f>
        <v>2065</v>
      </c>
      <c r="Q74" s="1364">
        <f>'MOCST '!Q28</f>
        <v>7653</v>
      </c>
      <c r="R74" s="1912" t="str">
        <f>'MOCST '!R28</f>
        <v>ACTIVITY 05 </v>
      </c>
      <c r="S74" s="1134">
        <f t="shared" si="16"/>
        <v>0</v>
      </c>
      <c r="T74" s="1493">
        <f t="shared" si="17"/>
        <v>0</v>
      </c>
      <c r="U74" s="1558">
        <f t="shared" si="18"/>
        <v>0</v>
      </c>
      <c r="V74" s="1314">
        <f>'MOCST '!V28</f>
        <v>0</v>
      </c>
      <c r="W74" s="1362">
        <f>'MOCST '!W28</f>
        <v>0</v>
      </c>
      <c r="X74" s="1363">
        <f>'MOCST '!X28</f>
        <v>0</v>
      </c>
      <c r="Y74" s="1132">
        <f>'MOCST '!Y28</f>
        <v>0</v>
      </c>
      <c r="Z74" s="1362">
        <f>'MOCST '!Z28</f>
        <v>0</v>
      </c>
      <c r="AA74" s="1364">
        <f>'MOCST '!AA28</f>
        <v>0</v>
      </c>
      <c r="AB74" s="1362">
        <f>'MOCST '!AB28</f>
        <v>0</v>
      </c>
      <c r="AC74" s="1362">
        <f>'MOCST '!AC28</f>
        <v>0</v>
      </c>
      <c r="AD74" s="1410">
        <f>'MOCST '!AD28</f>
        <v>0</v>
      </c>
      <c r="AE74" s="1241"/>
      <c r="AF74" s="1241"/>
      <c r="AG74" s="1241"/>
      <c r="AH74" s="1241"/>
      <c r="AI74" s="1240"/>
      <c r="AJ74" s="1240"/>
      <c r="AK74" s="1240"/>
      <c r="AL74" s="1240"/>
      <c r="AM74" s="1240"/>
      <c r="AN74" s="1240"/>
      <c r="AO74" s="1240"/>
      <c r="AP74" s="1240"/>
      <c r="AQ74" s="1240"/>
      <c r="AR74" s="1240"/>
      <c r="AS74" s="1240"/>
    </row>
    <row r="75" spans="1:45" s="1238" customFormat="1" ht="30" customHeight="1">
      <c r="A75" s="1427"/>
      <c r="B75" s="1418" t="s">
        <v>337</v>
      </c>
      <c r="C75" s="1434"/>
      <c r="D75" s="1434"/>
      <c r="E75" s="1434"/>
      <c r="F75" s="1434"/>
      <c r="G75" s="1434"/>
      <c r="H75" s="1421"/>
      <c r="I75" s="1425"/>
      <c r="J75" s="1421"/>
      <c r="K75" s="1511"/>
      <c r="L75" s="1535">
        <f>SUM(L67:L74)</f>
        <v>30588</v>
      </c>
      <c r="M75" s="1423">
        <f aca="true" t="shared" si="20" ref="M75:AD75">SUM(M67:M74)</f>
        <v>32700</v>
      </c>
      <c r="N75" s="1536">
        <f t="shared" si="20"/>
        <v>63288</v>
      </c>
      <c r="O75" s="1527">
        <f t="shared" si="20"/>
        <v>9316</v>
      </c>
      <c r="P75" s="1423">
        <f t="shared" si="20"/>
        <v>27002</v>
      </c>
      <c r="Q75" s="1550">
        <f t="shared" si="20"/>
        <v>36318</v>
      </c>
      <c r="R75" s="1423">
        <f t="shared" si="20"/>
        <v>0</v>
      </c>
      <c r="S75" s="1527">
        <f t="shared" si="20"/>
        <v>21272</v>
      </c>
      <c r="T75" s="1423">
        <f t="shared" si="20"/>
        <v>5698</v>
      </c>
      <c r="U75" s="1550">
        <f t="shared" si="20"/>
        <v>26970</v>
      </c>
      <c r="V75" s="1535">
        <f t="shared" si="20"/>
        <v>48763</v>
      </c>
      <c r="W75" s="1423">
        <f t="shared" si="20"/>
        <v>17620</v>
      </c>
      <c r="X75" s="1536">
        <f t="shared" si="20"/>
        <v>66383</v>
      </c>
      <c r="Y75" s="1527">
        <f t="shared" si="20"/>
        <v>0</v>
      </c>
      <c r="Z75" s="1423">
        <f t="shared" si="20"/>
        <v>0</v>
      </c>
      <c r="AA75" s="1550">
        <f t="shared" si="20"/>
        <v>0</v>
      </c>
      <c r="AB75" s="1423">
        <f t="shared" si="20"/>
        <v>48763</v>
      </c>
      <c r="AC75" s="1423">
        <f t="shared" si="20"/>
        <v>17620</v>
      </c>
      <c r="AD75" s="1426">
        <f t="shared" si="20"/>
        <v>66383</v>
      </c>
      <c r="AE75" s="1241"/>
      <c r="AF75" s="1241"/>
      <c r="AG75" s="1241"/>
      <c r="AH75" s="1241"/>
      <c r="AI75" s="1240"/>
      <c r="AJ75" s="1240"/>
      <c r="AK75" s="1240"/>
      <c r="AL75" s="1240"/>
      <c r="AM75" s="1240"/>
      <c r="AN75" s="1240"/>
      <c r="AO75" s="1240"/>
      <c r="AP75" s="1240"/>
      <c r="AQ75" s="1240"/>
      <c r="AR75" s="1240"/>
      <c r="AS75" s="1240"/>
    </row>
    <row r="76" spans="1:45" s="1238" customFormat="1" ht="156.75" customHeight="1">
      <c r="A76" s="2031" t="s">
        <v>578</v>
      </c>
      <c r="B76" s="1984" t="s">
        <v>577</v>
      </c>
      <c r="C76" s="1998" t="s">
        <v>176</v>
      </c>
      <c r="D76" s="1998"/>
      <c r="E76" s="908"/>
      <c r="F76" s="908"/>
      <c r="G76" s="908"/>
      <c r="H76" s="908" t="s">
        <v>167</v>
      </c>
      <c r="I76" s="1295" t="s">
        <v>305</v>
      </c>
      <c r="J76" s="1294" t="s">
        <v>177</v>
      </c>
      <c r="K76" s="1508"/>
      <c r="L76" s="1296"/>
      <c r="M76" s="1297"/>
      <c r="N76" s="1298">
        <f>L76+M76</f>
        <v>0</v>
      </c>
      <c r="O76" s="1299"/>
      <c r="P76" s="1300"/>
      <c r="Q76" s="1301">
        <f aca="true" t="shared" si="21" ref="Q76:Q82">O76+P76</f>
        <v>0</v>
      </c>
      <c r="R76" s="1293"/>
      <c r="S76" s="1299">
        <f aca="true" t="shared" si="22" ref="S76:S83">L76-O76</f>
        <v>0</v>
      </c>
      <c r="T76" s="1302">
        <f aca="true" t="shared" si="23" ref="T76:T83">M76-P76</f>
        <v>0</v>
      </c>
      <c r="U76" s="1303">
        <f aca="true" t="shared" si="24" ref="U76:U83">S76+T76</f>
        <v>0</v>
      </c>
      <c r="V76" s="1309"/>
      <c r="W76" s="1300"/>
      <c r="X76" s="1306"/>
      <c r="Y76" s="1299"/>
      <c r="Z76" s="1300"/>
      <c r="AA76" s="1301"/>
      <c r="AB76" s="1310"/>
      <c r="AC76" s="1310"/>
      <c r="AD76" s="1311"/>
      <c r="AE76" s="1241"/>
      <c r="AF76" s="1241"/>
      <c r="AG76" s="1241"/>
      <c r="AH76" s="1241"/>
      <c r="AI76" s="1240"/>
      <c r="AJ76" s="1240"/>
      <c r="AK76" s="1240"/>
      <c r="AL76" s="1240"/>
      <c r="AM76" s="1240"/>
      <c r="AN76" s="1240"/>
      <c r="AO76" s="1240"/>
      <c r="AP76" s="1240"/>
      <c r="AQ76" s="1240"/>
      <c r="AR76" s="1240"/>
      <c r="AS76" s="1240"/>
    </row>
    <row r="77" spans="1:45" s="1238" customFormat="1" ht="21" customHeight="1">
      <c r="A77" s="2032"/>
      <c r="B77" s="1312" t="s">
        <v>26</v>
      </c>
      <c r="C77" s="1313"/>
      <c r="D77" s="1313"/>
      <c r="E77" s="1313"/>
      <c r="F77" s="1313"/>
      <c r="G77" s="1313"/>
      <c r="H77" s="1283"/>
      <c r="I77" s="1284"/>
      <c r="J77" s="1283"/>
      <c r="K77" s="1509" t="s">
        <v>328</v>
      </c>
      <c r="L77" s="1314">
        <f>MOLISA!L55</f>
        <v>0</v>
      </c>
      <c r="M77" s="1362">
        <f>MOLISA!M55</f>
        <v>11524</v>
      </c>
      <c r="N77" s="1363">
        <f>MOLISA!N55</f>
        <v>11524</v>
      </c>
      <c r="O77" s="1132">
        <f>MOLISA!O55</f>
        <v>0</v>
      </c>
      <c r="P77" s="1362">
        <f>MOLISA!P55</f>
        <v>16008</v>
      </c>
      <c r="Q77" s="1364">
        <f>MOLISA!Q55</f>
        <v>16008</v>
      </c>
      <c r="R77" s="1912"/>
      <c r="S77" s="1134">
        <f t="shared" si="22"/>
        <v>0</v>
      </c>
      <c r="T77" s="1493">
        <f t="shared" si="23"/>
        <v>-4484</v>
      </c>
      <c r="U77" s="1558">
        <f t="shared" si="24"/>
        <v>-4484</v>
      </c>
      <c r="V77" s="1314">
        <f>MOLISA!V55</f>
        <v>0</v>
      </c>
      <c r="W77" s="1362">
        <f>MOLISA!W55</f>
        <v>4484</v>
      </c>
      <c r="X77" s="1363">
        <f>MOLISA!X55</f>
        <v>4484</v>
      </c>
      <c r="Y77" s="1132">
        <f>MOLISA!Y55</f>
        <v>0</v>
      </c>
      <c r="Z77" s="1362">
        <f>MOLISA!Z55</f>
        <v>0</v>
      </c>
      <c r="AA77" s="1364">
        <f>MOLISA!AA55</f>
        <v>0</v>
      </c>
      <c r="AB77" s="1362">
        <f>MOLISA!AB55</f>
        <v>0</v>
      </c>
      <c r="AC77" s="1362">
        <f>MOLISA!AC55</f>
        <v>4484</v>
      </c>
      <c r="AD77" s="1410">
        <f>MOLISA!AD55</f>
        <v>4484</v>
      </c>
      <c r="AE77" s="1241"/>
      <c r="AF77" s="1241"/>
      <c r="AG77" s="1241"/>
      <c r="AH77" s="1241"/>
      <c r="AI77" s="1240"/>
      <c r="AJ77" s="1240"/>
      <c r="AK77" s="1240"/>
      <c r="AL77" s="1240"/>
      <c r="AM77" s="1240"/>
      <c r="AN77" s="1240"/>
      <c r="AO77" s="1240"/>
      <c r="AP77" s="1240"/>
      <c r="AQ77" s="1240"/>
      <c r="AR77" s="1240"/>
      <c r="AS77" s="1240"/>
    </row>
    <row r="78" spans="1:45" s="1238" customFormat="1" ht="171" customHeight="1">
      <c r="A78" s="2032"/>
      <c r="B78" s="908" t="s">
        <v>55</v>
      </c>
      <c r="C78" s="1998" t="s">
        <v>176</v>
      </c>
      <c r="D78" s="2004" t="s">
        <v>176</v>
      </c>
      <c r="E78" s="908"/>
      <c r="F78" s="908"/>
      <c r="G78" s="908"/>
      <c r="H78" s="908" t="s">
        <v>167</v>
      </c>
      <c r="I78" s="1295" t="s">
        <v>306</v>
      </c>
      <c r="J78" s="1294" t="s">
        <v>156</v>
      </c>
      <c r="K78" s="1508"/>
      <c r="L78" s="1296"/>
      <c r="M78" s="1297"/>
      <c r="N78" s="1298">
        <f>L78+M78</f>
        <v>0</v>
      </c>
      <c r="O78" s="1299"/>
      <c r="P78" s="1300"/>
      <c r="Q78" s="1301">
        <f t="shared" si="21"/>
        <v>0</v>
      </c>
      <c r="R78" s="1293"/>
      <c r="S78" s="1299">
        <f t="shared" si="22"/>
        <v>0</v>
      </c>
      <c r="T78" s="1302">
        <f t="shared" si="23"/>
        <v>0</v>
      </c>
      <c r="U78" s="1303">
        <f t="shared" si="24"/>
        <v>0</v>
      </c>
      <c r="V78" s="1309"/>
      <c r="W78" s="1300"/>
      <c r="X78" s="1306"/>
      <c r="Y78" s="1299"/>
      <c r="Z78" s="1300"/>
      <c r="AA78" s="1301"/>
      <c r="AB78" s="1310"/>
      <c r="AC78" s="1310"/>
      <c r="AD78" s="1311"/>
      <c r="AE78" s="1241"/>
      <c r="AF78" s="1241"/>
      <c r="AG78" s="1241"/>
      <c r="AH78" s="1241"/>
      <c r="AI78" s="1240"/>
      <c r="AJ78" s="1240"/>
      <c r="AK78" s="1240"/>
      <c r="AL78" s="1240"/>
      <c r="AM78" s="1240"/>
      <c r="AN78" s="1240"/>
      <c r="AO78" s="1240"/>
      <c r="AP78" s="1240"/>
      <c r="AQ78" s="1240"/>
      <c r="AR78" s="1240"/>
      <c r="AS78" s="1240"/>
    </row>
    <row r="79" spans="1:45" s="1238" customFormat="1" ht="33.75" customHeight="1">
      <c r="A79" s="2032"/>
      <c r="B79" s="1312" t="s">
        <v>268</v>
      </c>
      <c r="C79" s="1313"/>
      <c r="D79" s="1313"/>
      <c r="E79" s="1313"/>
      <c r="F79" s="1313"/>
      <c r="G79" s="1313"/>
      <c r="H79" s="1283"/>
      <c r="I79" s="1284"/>
      <c r="J79" s="1283"/>
      <c r="K79" s="1509" t="s">
        <v>217</v>
      </c>
      <c r="L79" s="1314">
        <f>MOLISA!L57</f>
        <v>0</v>
      </c>
      <c r="M79" s="1362">
        <f>MOLISA!M57</f>
        <v>22260</v>
      </c>
      <c r="N79" s="1363">
        <f>MOLISA!N57</f>
        <v>22260</v>
      </c>
      <c r="O79" s="1132">
        <f>MOLISA!O57</f>
        <v>0</v>
      </c>
      <c r="P79" s="1362">
        <f>MOLISA!P57</f>
        <v>33396</v>
      </c>
      <c r="Q79" s="1364">
        <f>MOLISA!Q57</f>
        <v>33396</v>
      </c>
      <c r="R79" s="1133"/>
      <c r="S79" s="1134">
        <f t="shared" si="22"/>
        <v>0</v>
      </c>
      <c r="T79" s="1493">
        <f t="shared" si="23"/>
        <v>-11136</v>
      </c>
      <c r="U79" s="1558">
        <f t="shared" si="24"/>
        <v>-11136</v>
      </c>
      <c r="V79" s="1314">
        <f>MOLISA!V57</f>
        <v>0</v>
      </c>
      <c r="W79" s="1362">
        <f>MOLISA!W57</f>
        <v>12956</v>
      </c>
      <c r="X79" s="1363">
        <f>MOLISA!X57</f>
        <v>12956</v>
      </c>
      <c r="Y79" s="1132">
        <f>MOLISA!Y57</f>
        <v>0</v>
      </c>
      <c r="Z79" s="1362">
        <f>MOLISA!Z57</f>
        <v>0</v>
      </c>
      <c r="AA79" s="1364">
        <f>MOLISA!AA57</f>
        <v>0</v>
      </c>
      <c r="AB79" s="1362">
        <f>MOLISA!AB57</f>
        <v>0</v>
      </c>
      <c r="AC79" s="1362">
        <f>MOLISA!AC57</f>
        <v>12956</v>
      </c>
      <c r="AD79" s="1410">
        <f>MOLISA!AD57</f>
        <v>12956</v>
      </c>
      <c r="AE79" s="1241"/>
      <c r="AF79" s="1241"/>
      <c r="AG79" s="1241"/>
      <c r="AH79" s="1241"/>
      <c r="AI79" s="1240"/>
      <c r="AJ79" s="1240"/>
      <c r="AK79" s="1240"/>
      <c r="AL79" s="1240"/>
      <c r="AM79" s="1240"/>
      <c r="AN79" s="1240"/>
      <c r="AO79" s="1240"/>
      <c r="AP79" s="1240"/>
      <c r="AQ79" s="1240"/>
      <c r="AR79" s="1240"/>
      <c r="AS79" s="1240"/>
    </row>
    <row r="80" spans="1:45" s="1238" customFormat="1" ht="153.75" customHeight="1">
      <c r="A80" s="2032"/>
      <c r="B80" s="908" t="s">
        <v>56</v>
      </c>
      <c r="C80" s="1998" t="s">
        <v>176</v>
      </c>
      <c r="D80" s="1998" t="s">
        <v>176</v>
      </c>
      <c r="E80" s="908"/>
      <c r="F80" s="908"/>
      <c r="G80" s="908"/>
      <c r="H80" s="908" t="s">
        <v>167</v>
      </c>
      <c r="I80" s="1295" t="s">
        <v>305</v>
      </c>
      <c r="J80" s="1294" t="s">
        <v>177</v>
      </c>
      <c r="K80" s="1508"/>
      <c r="L80" s="1296"/>
      <c r="M80" s="1297"/>
      <c r="N80" s="1298">
        <f>L80+M80</f>
        <v>0</v>
      </c>
      <c r="O80" s="1299"/>
      <c r="P80" s="1300"/>
      <c r="Q80" s="1301">
        <f t="shared" si="21"/>
        <v>0</v>
      </c>
      <c r="R80" s="1918"/>
      <c r="S80" s="1299">
        <f t="shared" si="22"/>
        <v>0</v>
      </c>
      <c r="T80" s="1302">
        <f t="shared" si="23"/>
        <v>0</v>
      </c>
      <c r="U80" s="1303">
        <f t="shared" si="24"/>
        <v>0</v>
      </c>
      <c r="V80" s="1309"/>
      <c r="W80" s="1300"/>
      <c r="X80" s="1306"/>
      <c r="Y80" s="1299"/>
      <c r="Z80" s="1300"/>
      <c r="AA80" s="1301"/>
      <c r="AB80" s="1310"/>
      <c r="AC80" s="1310"/>
      <c r="AD80" s="1311"/>
      <c r="AE80" s="1241"/>
      <c r="AF80" s="1241"/>
      <c r="AG80" s="1241"/>
      <c r="AH80" s="1241"/>
      <c r="AI80" s="1240"/>
      <c r="AJ80" s="1240"/>
      <c r="AK80" s="1240"/>
      <c r="AL80" s="1240"/>
      <c r="AM80" s="1240"/>
      <c r="AN80" s="1240"/>
      <c r="AO80" s="1240"/>
      <c r="AP80" s="1240"/>
      <c r="AQ80" s="1240"/>
      <c r="AR80" s="1240"/>
      <c r="AS80" s="1240"/>
    </row>
    <row r="81" spans="1:45" s="1238" customFormat="1" ht="37.5" customHeight="1">
      <c r="A81" s="1343"/>
      <c r="B81" s="1312" t="s">
        <v>11</v>
      </c>
      <c r="C81" s="1313"/>
      <c r="D81" s="1313"/>
      <c r="E81" s="1313"/>
      <c r="F81" s="1313"/>
      <c r="G81" s="1313"/>
      <c r="H81" s="1283"/>
      <c r="I81" s="1284"/>
      <c r="J81" s="1283"/>
      <c r="K81" s="1509" t="s">
        <v>329</v>
      </c>
      <c r="L81" s="1314">
        <f>MOLISA!L59</f>
        <v>0</v>
      </c>
      <c r="M81" s="1362">
        <f>MOLISA!M59</f>
        <v>29600</v>
      </c>
      <c r="N81" s="1363">
        <f>MOLISA!N59</f>
        <v>29600</v>
      </c>
      <c r="O81" s="1132">
        <f>MOLISA!O59</f>
        <v>0</v>
      </c>
      <c r="P81" s="1362">
        <f>MOLISA!P59</f>
        <v>27902</v>
      </c>
      <c r="Q81" s="1364">
        <f>MOLISA!Q59</f>
        <v>27902</v>
      </c>
      <c r="R81" s="1912"/>
      <c r="S81" s="1134">
        <f t="shared" si="22"/>
        <v>0</v>
      </c>
      <c r="T81" s="1493">
        <f t="shared" si="23"/>
        <v>1698</v>
      </c>
      <c r="U81" s="1558">
        <f t="shared" si="24"/>
        <v>1698</v>
      </c>
      <c r="V81" s="1314">
        <f>MOLISA!V59</f>
        <v>0</v>
      </c>
      <c r="W81" s="1362">
        <f>MOLISA!W59</f>
        <v>1698</v>
      </c>
      <c r="X81" s="1363">
        <f>MOLISA!X59</f>
        <v>1698</v>
      </c>
      <c r="Y81" s="1132">
        <f>MOLISA!Y59</f>
        <v>0</v>
      </c>
      <c r="Z81" s="1362">
        <f>MOLISA!Z59</f>
        <v>0</v>
      </c>
      <c r="AA81" s="1364">
        <f>MOLISA!AA59</f>
        <v>0</v>
      </c>
      <c r="AB81" s="1362">
        <f>MOLISA!AB59</f>
        <v>0</v>
      </c>
      <c r="AC81" s="1362">
        <f>MOLISA!AC59</f>
        <v>1698</v>
      </c>
      <c r="AD81" s="1410">
        <f>MOLISA!AD59</f>
        <v>1698</v>
      </c>
      <c r="AE81" s="1241"/>
      <c r="AF81" s="1241"/>
      <c r="AG81" s="1241"/>
      <c r="AH81" s="1241"/>
      <c r="AI81" s="1240"/>
      <c r="AJ81" s="1240"/>
      <c r="AK81" s="1240"/>
      <c r="AL81" s="1240"/>
      <c r="AM81" s="1240"/>
      <c r="AN81" s="1240"/>
      <c r="AO81" s="1240"/>
      <c r="AP81" s="1240"/>
      <c r="AQ81" s="1240"/>
      <c r="AR81" s="1240"/>
      <c r="AS81" s="1240"/>
    </row>
    <row r="82" spans="1:45" s="1238" customFormat="1" ht="158.25" customHeight="1">
      <c r="A82" s="1343"/>
      <c r="B82" s="908" t="s">
        <v>56</v>
      </c>
      <c r="C82" s="1998" t="s">
        <v>176</v>
      </c>
      <c r="D82" s="2004" t="s">
        <v>176</v>
      </c>
      <c r="E82" s="908"/>
      <c r="F82" s="908"/>
      <c r="G82" s="908"/>
      <c r="H82" s="908" t="s">
        <v>167</v>
      </c>
      <c r="I82" s="1295" t="s">
        <v>306</v>
      </c>
      <c r="J82" s="1294" t="s">
        <v>156</v>
      </c>
      <c r="K82" s="1508"/>
      <c r="L82" s="1296"/>
      <c r="M82" s="1297"/>
      <c r="N82" s="1298">
        <f>L82+M82</f>
        <v>0</v>
      </c>
      <c r="O82" s="1299"/>
      <c r="P82" s="1300"/>
      <c r="Q82" s="1301">
        <f t="shared" si="21"/>
        <v>0</v>
      </c>
      <c r="R82" s="1293"/>
      <c r="S82" s="1299">
        <f t="shared" si="22"/>
        <v>0</v>
      </c>
      <c r="T82" s="1302">
        <f t="shared" si="23"/>
        <v>0</v>
      </c>
      <c r="U82" s="1303">
        <f t="shared" si="24"/>
        <v>0</v>
      </c>
      <c r="V82" s="1309"/>
      <c r="W82" s="1300"/>
      <c r="X82" s="1306"/>
      <c r="Y82" s="1299"/>
      <c r="Z82" s="1300"/>
      <c r="AA82" s="1301"/>
      <c r="AB82" s="1310"/>
      <c r="AC82" s="1310"/>
      <c r="AD82" s="1311"/>
      <c r="AE82" s="1241"/>
      <c r="AF82" s="1241"/>
      <c r="AG82" s="1241"/>
      <c r="AH82" s="1241"/>
      <c r="AI82" s="1240"/>
      <c r="AJ82" s="1240"/>
      <c r="AK82" s="1240"/>
      <c r="AL82" s="1240"/>
      <c r="AM82" s="1240"/>
      <c r="AN82" s="1240"/>
      <c r="AO82" s="1240"/>
      <c r="AP82" s="1240"/>
      <c r="AQ82" s="1240"/>
      <c r="AR82" s="1240"/>
      <c r="AS82" s="1240"/>
    </row>
    <row r="83" spans="1:45" s="1238" customFormat="1" ht="34.5" customHeight="1">
      <c r="A83" s="1344"/>
      <c r="B83" s="1312" t="s">
        <v>11</v>
      </c>
      <c r="C83" s="1313"/>
      <c r="D83" s="1313"/>
      <c r="E83" s="1313"/>
      <c r="F83" s="1313"/>
      <c r="G83" s="1313"/>
      <c r="H83" s="1322"/>
      <c r="I83" s="1284"/>
      <c r="J83" s="1283"/>
      <c r="K83" s="1509" t="s">
        <v>185</v>
      </c>
      <c r="L83" s="1314">
        <f>MOLISA!L61</f>
        <v>0</v>
      </c>
      <c r="M83" s="1362">
        <f>MOLISA!M61</f>
        <v>23048</v>
      </c>
      <c r="N83" s="1363">
        <f>MOLISA!N61</f>
        <v>23048</v>
      </c>
      <c r="O83" s="1132">
        <f>MOLISA!O61</f>
        <v>0</v>
      </c>
      <c r="P83" s="1362">
        <f>MOLISA!P61</f>
        <v>11780</v>
      </c>
      <c r="Q83" s="1364">
        <f>MOLISA!Q61</f>
        <v>11780</v>
      </c>
      <c r="R83" s="1133"/>
      <c r="S83" s="1134">
        <f t="shared" si="22"/>
        <v>0</v>
      </c>
      <c r="T83" s="1493">
        <f t="shared" si="23"/>
        <v>11268</v>
      </c>
      <c r="U83" s="1558">
        <f t="shared" si="24"/>
        <v>11268</v>
      </c>
      <c r="V83" s="1314">
        <f>MOLISA!V61</f>
        <v>0</v>
      </c>
      <c r="W83" s="1362">
        <f>MOLISA!W61</f>
        <v>8376</v>
      </c>
      <c r="X83" s="1363">
        <f>MOLISA!X61</f>
        <v>8376</v>
      </c>
      <c r="Y83" s="1132">
        <f>MOLISA!Y61</f>
        <v>0</v>
      </c>
      <c r="Z83" s="1362">
        <f>MOLISA!Z61</f>
        <v>0</v>
      </c>
      <c r="AA83" s="1364">
        <f>MOLISA!AA61</f>
        <v>0</v>
      </c>
      <c r="AB83" s="1362">
        <f>MOLISA!AB61</f>
        <v>0</v>
      </c>
      <c r="AC83" s="1362">
        <f>MOLISA!AC61</f>
        <v>8376</v>
      </c>
      <c r="AD83" s="1410">
        <f>MOLISA!AD61</f>
        <v>8376</v>
      </c>
      <c r="AE83" s="1241"/>
      <c r="AF83" s="1241"/>
      <c r="AG83" s="1241"/>
      <c r="AH83" s="1241"/>
      <c r="AI83" s="1240"/>
      <c r="AJ83" s="1240"/>
      <c r="AK83" s="1240"/>
      <c r="AL83" s="1240"/>
      <c r="AM83" s="1240"/>
      <c r="AN83" s="1240"/>
      <c r="AO83" s="1240"/>
      <c r="AP83" s="1240"/>
      <c r="AQ83" s="1240"/>
      <c r="AR83" s="1240"/>
      <c r="AS83" s="1240"/>
    </row>
    <row r="84" spans="1:45" s="1238" customFormat="1" ht="29.25" customHeight="1">
      <c r="A84" s="1435"/>
      <c r="B84" s="1418" t="s">
        <v>339</v>
      </c>
      <c r="C84" s="1434"/>
      <c r="D84" s="1434"/>
      <c r="E84" s="1434"/>
      <c r="F84" s="1434"/>
      <c r="G84" s="1434"/>
      <c r="H84" s="1421"/>
      <c r="I84" s="1425"/>
      <c r="J84" s="1421"/>
      <c r="K84" s="1515"/>
      <c r="L84" s="1535">
        <f>SUM(L76:L83)</f>
        <v>0</v>
      </c>
      <c r="M84" s="1423">
        <f aca="true" t="shared" si="25" ref="M84:AD84">SUM(M76:M83)</f>
        <v>86432</v>
      </c>
      <c r="N84" s="1536">
        <f t="shared" si="25"/>
        <v>86432</v>
      </c>
      <c r="O84" s="1527">
        <f t="shared" si="25"/>
        <v>0</v>
      </c>
      <c r="P84" s="1423">
        <f t="shared" si="25"/>
        <v>89086</v>
      </c>
      <c r="Q84" s="1550">
        <f t="shared" si="25"/>
        <v>89086</v>
      </c>
      <c r="R84" s="1423">
        <f t="shared" si="25"/>
        <v>0</v>
      </c>
      <c r="S84" s="1527">
        <f t="shared" si="25"/>
        <v>0</v>
      </c>
      <c r="T84" s="1423">
        <f t="shared" si="25"/>
        <v>-2654</v>
      </c>
      <c r="U84" s="1550">
        <f t="shared" si="25"/>
        <v>-2654</v>
      </c>
      <c r="V84" s="1535">
        <f t="shared" si="25"/>
        <v>0</v>
      </c>
      <c r="W84" s="1423">
        <f t="shared" si="25"/>
        <v>27514</v>
      </c>
      <c r="X84" s="1536">
        <f t="shared" si="25"/>
        <v>27514</v>
      </c>
      <c r="Y84" s="1527">
        <f t="shared" si="25"/>
        <v>0</v>
      </c>
      <c r="Z84" s="1423">
        <f t="shared" si="25"/>
        <v>0</v>
      </c>
      <c r="AA84" s="1550">
        <f t="shared" si="25"/>
        <v>0</v>
      </c>
      <c r="AB84" s="1423">
        <f t="shared" si="25"/>
        <v>0</v>
      </c>
      <c r="AC84" s="1423">
        <f t="shared" si="25"/>
        <v>27514</v>
      </c>
      <c r="AD84" s="1426">
        <f t="shared" si="25"/>
        <v>27514</v>
      </c>
      <c r="AE84" s="1241"/>
      <c r="AF84" s="1241"/>
      <c r="AG84" s="1241"/>
      <c r="AH84" s="1241"/>
      <c r="AI84" s="1240"/>
      <c r="AJ84" s="1240"/>
      <c r="AK84" s="1240"/>
      <c r="AL84" s="1240"/>
      <c r="AM84" s="1240"/>
      <c r="AN84" s="1240"/>
      <c r="AO84" s="1240"/>
      <c r="AP84" s="1240"/>
      <c r="AQ84" s="1240"/>
      <c r="AR84" s="1240"/>
      <c r="AS84" s="1240"/>
    </row>
    <row r="85" spans="1:45" s="1238" customFormat="1" ht="54" customHeight="1">
      <c r="A85" s="1351"/>
      <c r="B85" s="908" t="s">
        <v>579</v>
      </c>
      <c r="C85" s="908"/>
      <c r="D85" s="908"/>
      <c r="E85" s="908" t="s">
        <v>176</v>
      </c>
      <c r="F85" s="908"/>
      <c r="G85" s="908"/>
      <c r="H85" s="908" t="s">
        <v>167</v>
      </c>
      <c r="I85" s="1295" t="s">
        <v>167</v>
      </c>
      <c r="J85" s="1294" t="s">
        <v>183</v>
      </c>
      <c r="K85" s="1508"/>
      <c r="L85" s="1296"/>
      <c r="M85" s="1297"/>
      <c r="N85" s="1298">
        <f>L85+M85</f>
        <v>0</v>
      </c>
      <c r="O85" s="1299"/>
      <c r="P85" s="1300"/>
      <c r="Q85" s="1301">
        <f>O85+P85</f>
        <v>0</v>
      </c>
      <c r="R85" s="1293"/>
      <c r="S85" s="1299">
        <f aca="true" t="shared" si="26" ref="S85:S90">L85-O85</f>
        <v>0</v>
      </c>
      <c r="T85" s="1302">
        <f aca="true" t="shared" si="27" ref="T85:T90">M85-P85</f>
        <v>0</v>
      </c>
      <c r="U85" s="1303">
        <f aca="true" t="shared" si="28" ref="U85:U90">S85+T85</f>
        <v>0</v>
      </c>
      <c r="V85" s="1309"/>
      <c r="W85" s="1300"/>
      <c r="X85" s="1306"/>
      <c r="Y85" s="1299"/>
      <c r="Z85" s="1300"/>
      <c r="AA85" s="1301"/>
      <c r="AB85" s="1310"/>
      <c r="AC85" s="1310"/>
      <c r="AD85" s="1311"/>
      <c r="AE85" s="1241"/>
      <c r="AF85" s="1241"/>
      <c r="AG85" s="1241"/>
      <c r="AH85" s="1241"/>
      <c r="AI85" s="1240"/>
      <c r="AJ85" s="1240"/>
      <c r="AK85" s="1240"/>
      <c r="AL85" s="1240"/>
      <c r="AM85" s="1240"/>
      <c r="AN85" s="1240"/>
      <c r="AO85" s="1240"/>
      <c r="AP85" s="1240"/>
      <c r="AQ85" s="1240"/>
      <c r="AR85" s="1240"/>
      <c r="AS85" s="1240"/>
    </row>
    <row r="86" spans="1:45" s="1346" customFormat="1" ht="23.25" customHeight="1">
      <c r="A86" s="1341"/>
      <c r="B86" s="1312" t="s">
        <v>298</v>
      </c>
      <c r="C86" s="1313"/>
      <c r="D86" s="1313"/>
      <c r="E86" s="1313"/>
      <c r="F86" s="1313"/>
      <c r="G86" s="1313"/>
      <c r="H86" s="1322"/>
      <c r="I86" s="1284"/>
      <c r="J86" s="1283"/>
      <c r="K86" s="1509" t="s">
        <v>154</v>
      </c>
      <c r="L86" s="1345">
        <f>MOLISA!L64</f>
        <v>4000</v>
      </c>
      <c r="M86" s="1133">
        <f>MOLISA!M64</f>
        <v>1000</v>
      </c>
      <c r="N86" s="1543">
        <f>MOLISA!N64</f>
        <v>5000</v>
      </c>
      <c r="O86" s="1134">
        <f>MOLISA!O64</f>
        <v>0</v>
      </c>
      <c r="P86" s="1133">
        <f>MOLISA!P64</f>
        <v>0</v>
      </c>
      <c r="Q86" s="1554">
        <f>MOLISA!Q64</f>
        <v>0</v>
      </c>
      <c r="R86" s="1912" t="str">
        <f>MOLISA!R64</f>
        <v>ACTIVITY 04</v>
      </c>
      <c r="S86" s="1134">
        <f t="shared" si="26"/>
        <v>4000</v>
      </c>
      <c r="T86" s="1493">
        <f t="shared" si="27"/>
        <v>1000</v>
      </c>
      <c r="U86" s="1558">
        <f t="shared" si="28"/>
        <v>5000</v>
      </c>
      <c r="V86" s="1345">
        <f>MOLISA!V64</f>
        <v>4361</v>
      </c>
      <c r="W86" s="1133">
        <f>MOLISA!W64</f>
        <v>1000</v>
      </c>
      <c r="X86" s="1543">
        <f>MOLISA!X64</f>
        <v>5361</v>
      </c>
      <c r="Y86" s="1134">
        <f>MOLISA!Y64</f>
        <v>0</v>
      </c>
      <c r="Z86" s="1133">
        <f>MOLISA!Z64</f>
        <v>0</v>
      </c>
      <c r="AA86" s="1554">
        <f>MOLISA!AA64</f>
        <v>0</v>
      </c>
      <c r="AB86" s="1133">
        <f>MOLISA!AB64</f>
        <v>4361</v>
      </c>
      <c r="AC86" s="1133">
        <f>MOLISA!AC64</f>
        <v>1000</v>
      </c>
      <c r="AD86" s="1413">
        <f>MOLISA!AD64</f>
        <v>5361</v>
      </c>
      <c r="AE86" s="1241"/>
      <c r="AF86" s="1241"/>
      <c r="AG86" s="1241"/>
      <c r="AH86" s="1241"/>
      <c r="AI86" s="1240"/>
      <c r="AJ86" s="1240"/>
      <c r="AK86" s="1240"/>
      <c r="AL86" s="1240"/>
      <c r="AM86" s="1240"/>
      <c r="AN86" s="1240"/>
      <c r="AO86" s="1240"/>
      <c r="AP86" s="1240"/>
      <c r="AQ86" s="1240"/>
      <c r="AR86" s="1240"/>
      <c r="AS86" s="1240"/>
    </row>
    <row r="87" spans="1:45" s="1346" customFormat="1" ht="111.75" customHeight="1">
      <c r="A87" s="2033" t="s">
        <v>580</v>
      </c>
      <c r="B87" s="1923" t="s">
        <v>58</v>
      </c>
      <c r="C87" s="1923"/>
      <c r="D87" s="1923"/>
      <c r="E87" s="1923"/>
      <c r="F87" s="1923"/>
      <c r="G87" s="1923"/>
      <c r="H87" s="1923" t="s">
        <v>157</v>
      </c>
      <c r="I87" s="1924" t="s">
        <v>415</v>
      </c>
      <c r="J87" s="1925" t="s">
        <v>183</v>
      </c>
      <c r="K87" s="1926"/>
      <c r="L87" s="1927"/>
      <c r="M87" s="1928"/>
      <c r="N87" s="1929">
        <f>L87+M87</f>
        <v>0</v>
      </c>
      <c r="O87" s="1135"/>
      <c r="P87" s="1930"/>
      <c r="Q87" s="1931">
        <f>O87+P87</f>
        <v>0</v>
      </c>
      <c r="R87" s="1939"/>
      <c r="S87" s="1135">
        <f t="shared" si="26"/>
        <v>0</v>
      </c>
      <c r="T87" s="1933">
        <f t="shared" si="27"/>
        <v>0</v>
      </c>
      <c r="U87" s="1934">
        <f t="shared" si="28"/>
        <v>0</v>
      </c>
      <c r="V87" s="1935"/>
      <c r="W87" s="1930"/>
      <c r="X87" s="1936"/>
      <c r="Y87" s="1135"/>
      <c r="Z87" s="1930"/>
      <c r="AA87" s="1931"/>
      <c r="AB87" s="1937"/>
      <c r="AC87" s="1937"/>
      <c r="AD87" s="1938"/>
      <c r="AE87" s="1241"/>
      <c r="AF87" s="1241"/>
      <c r="AG87" s="1241"/>
      <c r="AH87" s="1241"/>
      <c r="AI87" s="1240"/>
      <c r="AJ87" s="1240"/>
      <c r="AK87" s="1240"/>
      <c r="AL87" s="1240"/>
      <c r="AM87" s="1240"/>
      <c r="AN87" s="1240"/>
      <c r="AO87" s="1240"/>
      <c r="AP87" s="1240"/>
      <c r="AQ87" s="1240"/>
      <c r="AR87" s="1240"/>
      <c r="AS87" s="1240"/>
    </row>
    <row r="88" spans="1:45" s="1347" customFormat="1" ht="23.25" customHeight="1">
      <c r="A88" s="2034"/>
      <c r="B88" s="1312" t="s">
        <v>12</v>
      </c>
      <c r="C88" s="1313"/>
      <c r="D88" s="1313"/>
      <c r="E88" s="1313"/>
      <c r="F88" s="1313"/>
      <c r="G88" s="1313"/>
      <c r="H88" s="1322"/>
      <c r="I88" s="1284"/>
      <c r="J88" s="1283"/>
      <c r="K88" s="1509" t="s">
        <v>185</v>
      </c>
      <c r="L88" s="1314">
        <f>'MOCST '!L31</f>
        <v>0</v>
      </c>
      <c r="M88" s="1362">
        <f>'MOCST '!M31</f>
        <v>7730</v>
      </c>
      <c r="N88" s="1363">
        <f>'MOCST '!N31</f>
        <v>7730</v>
      </c>
      <c r="O88" s="1132">
        <f>'MOCST '!O31</f>
        <v>0</v>
      </c>
      <c r="P88" s="1362">
        <f>'MOCST '!P31</f>
        <v>7696.25</v>
      </c>
      <c r="Q88" s="1364">
        <f>'MOCST '!Q31</f>
        <v>7696.25</v>
      </c>
      <c r="R88" s="1912" t="str">
        <f>'MOCST '!R31</f>
        <v>ACTIVITY 08</v>
      </c>
      <c r="S88" s="1134">
        <f t="shared" si="26"/>
        <v>0</v>
      </c>
      <c r="T88" s="1493">
        <f t="shared" si="27"/>
        <v>33.75</v>
      </c>
      <c r="U88" s="1558">
        <f t="shared" si="28"/>
        <v>33.75</v>
      </c>
      <c r="V88" s="1314">
        <f>'MOCST '!V31</f>
        <v>0</v>
      </c>
      <c r="W88" s="1362">
        <f>'MOCST '!W31</f>
        <v>0</v>
      </c>
      <c r="X88" s="1363">
        <f>'MOCST '!X31</f>
        <v>0</v>
      </c>
      <c r="Y88" s="1132">
        <f>'MOCST '!Y31</f>
        <v>0</v>
      </c>
      <c r="Z88" s="1362">
        <f>'MOCST '!Z31</f>
        <v>0</v>
      </c>
      <c r="AA88" s="1364">
        <f>'MOCST '!AA31</f>
        <v>0</v>
      </c>
      <c r="AB88" s="1362">
        <f>'MOCST '!AB31</f>
        <v>0</v>
      </c>
      <c r="AC88" s="1362">
        <f>'MOCST '!AC31</f>
        <v>0</v>
      </c>
      <c r="AD88" s="1410">
        <f>'MOCST '!AD31</f>
        <v>0</v>
      </c>
      <c r="AE88" s="1241"/>
      <c r="AF88" s="1241"/>
      <c r="AG88" s="1241"/>
      <c r="AH88" s="1241"/>
      <c r="AI88" s="1240"/>
      <c r="AJ88" s="1240"/>
      <c r="AK88" s="1240"/>
      <c r="AL88" s="1240"/>
      <c r="AM88" s="1240"/>
      <c r="AN88" s="1240"/>
      <c r="AO88" s="1240"/>
      <c r="AP88" s="1240"/>
      <c r="AQ88" s="1240"/>
      <c r="AR88" s="1240"/>
      <c r="AS88" s="1240"/>
    </row>
    <row r="89" spans="1:45" s="1347" customFormat="1" ht="197.25" customHeight="1">
      <c r="A89" s="2034"/>
      <c r="B89" s="908" t="s">
        <v>584</v>
      </c>
      <c r="C89" s="2004" t="s">
        <v>176</v>
      </c>
      <c r="D89" s="1998" t="s">
        <v>176</v>
      </c>
      <c r="E89" s="908" t="s">
        <v>176</v>
      </c>
      <c r="F89" s="908" t="s">
        <v>176</v>
      </c>
      <c r="G89" s="908"/>
      <c r="H89" s="908" t="s">
        <v>167</v>
      </c>
      <c r="I89" s="1295" t="s">
        <v>416</v>
      </c>
      <c r="J89" s="1294" t="s">
        <v>183</v>
      </c>
      <c r="K89" s="1508"/>
      <c r="L89" s="1296"/>
      <c r="M89" s="1297"/>
      <c r="N89" s="1298">
        <f>L89+M89</f>
        <v>0</v>
      </c>
      <c r="O89" s="1299"/>
      <c r="P89" s="1300"/>
      <c r="Q89" s="1301">
        <f>O89+P89</f>
        <v>0</v>
      </c>
      <c r="R89" s="1293"/>
      <c r="S89" s="1299">
        <f t="shared" si="26"/>
        <v>0</v>
      </c>
      <c r="T89" s="1302">
        <f t="shared" si="27"/>
        <v>0</v>
      </c>
      <c r="U89" s="1303">
        <f t="shared" si="28"/>
        <v>0</v>
      </c>
      <c r="V89" s="1309"/>
      <c r="W89" s="1300"/>
      <c r="X89" s="1306"/>
      <c r="Y89" s="1299"/>
      <c r="Z89" s="1300"/>
      <c r="AA89" s="1301"/>
      <c r="AB89" s="1310"/>
      <c r="AC89" s="1310"/>
      <c r="AD89" s="1311"/>
      <c r="AE89" s="1241"/>
      <c r="AF89" s="1241"/>
      <c r="AG89" s="1241"/>
      <c r="AH89" s="1241"/>
      <c r="AI89" s="1240"/>
      <c r="AJ89" s="1240"/>
      <c r="AK89" s="1240"/>
      <c r="AL89" s="1240"/>
      <c r="AM89" s="1240"/>
      <c r="AN89" s="1240"/>
      <c r="AO89" s="1240"/>
      <c r="AP89" s="1240"/>
      <c r="AQ89" s="1240"/>
      <c r="AR89" s="1240"/>
      <c r="AS89" s="1240"/>
    </row>
    <row r="90" spans="1:45" s="1347" customFormat="1" ht="30.75" customHeight="1">
      <c r="A90" s="2035"/>
      <c r="B90" s="1312" t="s">
        <v>13</v>
      </c>
      <c r="C90" s="1313"/>
      <c r="D90" s="1313"/>
      <c r="E90" s="1313"/>
      <c r="F90" s="1313"/>
      <c r="G90" s="1313"/>
      <c r="H90" s="1322"/>
      <c r="I90" s="1284"/>
      <c r="J90" s="1283"/>
      <c r="K90" s="1509" t="s">
        <v>185</v>
      </c>
      <c r="L90" s="1314">
        <f>MOLISA!L66</f>
        <v>36680</v>
      </c>
      <c r="M90" s="1362">
        <f>MOLISA!M66</f>
        <v>30000</v>
      </c>
      <c r="N90" s="1363">
        <f>MOLISA!N66</f>
        <v>66680</v>
      </c>
      <c r="O90" s="1132">
        <f>MOLISA!O66</f>
        <v>34649</v>
      </c>
      <c r="P90" s="1362">
        <f>MOLISA!P66</f>
        <v>3016</v>
      </c>
      <c r="Q90" s="1364">
        <f>MOLISA!Q66</f>
        <v>37665</v>
      </c>
      <c r="R90" s="1912" t="str">
        <f>MOLISA!R66</f>
        <v>ACTIVITY 07</v>
      </c>
      <c r="S90" s="1134">
        <f t="shared" si="26"/>
        <v>2031</v>
      </c>
      <c r="T90" s="1493">
        <f t="shared" si="27"/>
        <v>26984</v>
      </c>
      <c r="U90" s="1558">
        <f t="shared" si="28"/>
        <v>29015</v>
      </c>
      <c r="V90" s="1314">
        <f>MOLISA!V66</f>
        <v>15030</v>
      </c>
      <c r="W90" s="1362">
        <f>MOLISA!W66</f>
        <v>12064</v>
      </c>
      <c r="X90" s="1363">
        <f>MOLISA!X66</f>
        <v>27094</v>
      </c>
      <c r="Y90" s="1132">
        <f>MOLISA!Y66</f>
        <v>0</v>
      </c>
      <c r="Z90" s="1362">
        <f>MOLISA!Z66</f>
        <v>0</v>
      </c>
      <c r="AA90" s="1364">
        <f>MOLISA!AA66</f>
        <v>0</v>
      </c>
      <c r="AB90" s="1362">
        <f>MOLISA!AB66</f>
        <v>15030</v>
      </c>
      <c r="AC90" s="1362">
        <f>MOLISA!AC66</f>
        <v>12064</v>
      </c>
      <c r="AD90" s="1410">
        <f>MOLISA!AD66</f>
        <v>27094</v>
      </c>
      <c r="AE90" s="1241"/>
      <c r="AF90" s="1241"/>
      <c r="AG90" s="1241"/>
      <c r="AH90" s="1241"/>
      <c r="AI90" s="1240"/>
      <c r="AJ90" s="1240"/>
      <c r="AK90" s="1240"/>
      <c r="AL90" s="1240"/>
      <c r="AM90" s="1240"/>
      <c r="AN90" s="1240"/>
      <c r="AO90" s="1240"/>
      <c r="AP90" s="1240"/>
      <c r="AQ90" s="1240"/>
      <c r="AR90" s="1240"/>
      <c r="AS90" s="1240"/>
    </row>
    <row r="91" spans="1:45" s="1348" customFormat="1" ht="25.5" customHeight="1">
      <c r="A91" s="1436"/>
      <c r="B91" s="1418" t="s">
        <v>340</v>
      </c>
      <c r="C91" s="1434"/>
      <c r="D91" s="1434"/>
      <c r="E91" s="1434"/>
      <c r="F91" s="1434"/>
      <c r="G91" s="1434"/>
      <c r="H91" s="1421"/>
      <c r="I91" s="1425"/>
      <c r="J91" s="1421"/>
      <c r="K91" s="1516"/>
      <c r="L91" s="1535">
        <f>SUM(L85:L90)</f>
        <v>40680</v>
      </c>
      <c r="M91" s="1423">
        <f aca="true" t="shared" si="29" ref="M91:AD91">SUM(M85:M90)</f>
        <v>38730</v>
      </c>
      <c r="N91" s="1536">
        <f t="shared" si="29"/>
        <v>79410</v>
      </c>
      <c r="O91" s="1527">
        <f t="shared" si="29"/>
        <v>34649</v>
      </c>
      <c r="P91" s="1423">
        <f t="shared" si="29"/>
        <v>10712.25</v>
      </c>
      <c r="Q91" s="1550">
        <f t="shared" si="29"/>
        <v>45361.25</v>
      </c>
      <c r="R91" s="1423"/>
      <c r="S91" s="1527">
        <f t="shared" si="29"/>
        <v>6031</v>
      </c>
      <c r="T91" s="1423">
        <f t="shared" si="29"/>
        <v>28017.75</v>
      </c>
      <c r="U91" s="1550">
        <f t="shared" si="29"/>
        <v>34048.75</v>
      </c>
      <c r="V91" s="1535">
        <f t="shared" si="29"/>
        <v>19391</v>
      </c>
      <c r="W91" s="1423">
        <f t="shared" si="29"/>
        <v>13064</v>
      </c>
      <c r="X91" s="1536">
        <f t="shared" si="29"/>
        <v>32455</v>
      </c>
      <c r="Y91" s="1527">
        <f t="shared" si="29"/>
        <v>0</v>
      </c>
      <c r="Z91" s="1423">
        <f t="shared" si="29"/>
        <v>0</v>
      </c>
      <c r="AA91" s="1550">
        <f t="shared" si="29"/>
        <v>0</v>
      </c>
      <c r="AB91" s="1423">
        <f t="shared" si="29"/>
        <v>19391</v>
      </c>
      <c r="AC91" s="1423">
        <f t="shared" si="29"/>
        <v>13064</v>
      </c>
      <c r="AD91" s="1426">
        <f t="shared" si="29"/>
        <v>32455</v>
      </c>
      <c r="AE91" s="1241"/>
      <c r="AF91" s="1241"/>
      <c r="AG91" s="1241"/>
      <c r="AH91" s="1241"/>
      <c r="AI91" s="1240"/>
      <c r="AJ91" s="1240"/>
      <c r="AK91" s="1240"/>
      <c r="AL91" s="1240"/>
      <c r="AM91" s="1240"/>
      <c r="AN91" s="1240"/>
      <c r="AO91" s="1240"/>
      <c r="AP91" s="1240"/>
      <c r="AQ91" s="1240"/>
      <c r="AR91" s="1240"/>
      <c r="AS91" s="1240"/>
    </row>
    <row r="92" spans="1:34" s="1240" customFormat="1" ht="98.25" customHeight="1">
      <c r="A92" s="2040" t="s">
        <v>581</v>
      </c>
      <c r="B92" s="2041"/>
      <c r="C92" s="2041"/>
      <c r="D92" s="2041"/>
      <c r="E92" s="2041"/>
      <c r="F92" s="2041"/>
      <c r="G92" s="2041"/>
      <c r="H92" s="2041"/>
      <c r="I92" s="2041"/>
      <c r="J92" s="2042"/>
      <c r="K92" s="1517"/>
      <c r="L92" s="1537"/>
      <c r="M92" s="1432"/>
      <c r="N92" s="1538"/>
      <c r="O92" s="1529"/>
      <c r="P92" s="1432"/>
      <c r="Q92" s="1552"/>
      <c r="R92" s="1985"/>
      <c r="S92" s="1986"/>
      <c r="T92" s="1985"/>
      <c r="U92" s="1987"/>
      <c r="V92" s="1988"/>
      <c r="W92" s="1985"/>
      <c r="X92" s="1989"/>
      <c r="Y92" s="1986"/>
      <c r="Z92" s="1985"/>
      <c r="AA92" s="1987"/>
      <c r="AB92" s="1985"/>
      <c r="AC92" s="1985"/>
      <c r="AD92" s="1990"/>
      <c r="AE92" s="1241"/>
      <c r="AF92" s="1241"/>
      <c r="AG92" s="1241"/>
      <c r="AH92" s="1241"/>
    </row>
    <row r="93" spans="1:45" s="1238" customFormat="1" ht="243" customHeight="1">
      <c r="A93" s="2001" t="s">
        <v>582</v>
      </c>
      <c r="B93" s="908" t="s">
        <v>486</v>
      </c>
      <c r="C93" s="1998" t="s">
        <v>176</v>
      </c>
      <c r="D93" s="1998" t="s">
        <v>176</v>
      </c>
      <c r="E93" s="908" t="s">
        <v>176</v>
      </c>
      <c r="F93" s="908" t="s">
        <v>176</v>
      </c>
      <c r="G93" s="908"/>
      <c r="H93" s="908" t="s">
        <v>364</v>
      </c>
      <c r="I93" s="1295" t="s">
        <v>364</v>
      </c>
      <c r="J93" s="1294" t="s">
        <v>179</v>
      </c>
      <c r="K93" s="1508"/>
      <c r="L93" s="1296"/>
      <c r="M93" s="1297"/>
      <c r="N93" s="1298">
        <f>L93+M93</f>
        <v>0</v>
      </c>
      <c r="O93" s="1299"/>
      <c r="P93" s="1300"/>
      <c r="Q93" s="1301">
        <f>O93+P93</f>
        <v>0</v>
      </c>
      <c r="R93" s="1293"/>
      <c r="S93" s="1299">
        <f aca="true" t="shared" si="30" ref="S93:T96">L93-O93</f>
        <v>0</v>
      </c>
      <c r="T93" s="1302">
        <f t="shared" si="30"/>
        <v>0</v>
      </c>
      <c r="U93" s="1303">
        <f>S93+T93</f>
        <v>0</v>
      </c>
      <c r="V93" s="1309"/>
      <c r="W93" s="1300"/>
      <c r="X93" s="1306"/>
      <c r="Y93" s="1299"/>
      <c r="Z93" s="1300"/>
      <c r="AA93" s="1301"/>
      <c r="AB93" s="1310"/>
      <c r="AC93" s="1310"/>
      <c r="AD93" s="1311"/>
      <c r="AE93" s="1241"/>
      <c r="AF93" s="1241"/>
      <c r="AG93" s="1241"/>
      <c r="AH93" s="1241"/>
      <c r="AI93" s="1240"/>
      <c r="AJ93" s="1240"/>
      <c r="AK93" s="1240"/>
      <c r="AL93" s="1240"/>
      <c r="AM93" s="1240"/>
      <c r="AN93" s="1240"/>
      <c r="AO93" s="1240"/>
      <c r="AP93" s="1240"/>
      <c r="AQ93" s="1240"/>
      <c r="AR93" s="1240"/>
      <c r="AS93" s="1240"/>
    </row>
    <row r="94" spans="1:45" s="1238" customFormat="1" ht="30" customHeight="1">
      <c r="A94" s="1340"/>
      <c r="B94" s="1312" t="s">
        <v>9</v>
      </c>
      <c r="C94" s="1313"/>
      <c r="D94" s="1313"/>
      <c r="E94" s="1313"/>
      <c r="F94" s="1313"/>
      <c r="G94" s="1313"/>
      <c r="H94" s="1322"/>
      <c r="I94" s="1284"/>
      <c r="J94" s="1283"/>
      <c r="K94" s="1509" t="s">
        <v>185</v>
      </c>
      <c r="L94" s="1314">
        <f>GSO!L13</f>
        <v>10000</v>
      </c>
      <c r="M94" s="1362">
        <f>GSO!M13</f>
        <v>25000</v>
      </c>
      <c r="N94" s="1363">
        <f>GSO!N13</f>
        <v>35000</v>
      </c>
      <c r="O94" s="1132">
        <f>GSO!O13</f>
        <v>0</v>
      </c>
      <c r="P94" s="1362">
        <f>GSO!P13</f>
        <v>21467</v>
      </c>
      <c r="Q94" s="1364">
        <f>GSO!Q13</f>
        <v>21467</v>
      </c>
      <c r="R94" s="1912" t="str">
        <f>GSO!R13</f>
        <v>ACTIVITY 09
</v>
      </c>
      <c r="S94" s="1134">
        <f t="shared" si="30"/>
        <v>10000</v>
      </c>
      <c r="T94" s="1493">
        <f t="shared" si="30"/>
        <v>3533</v>
      </c>
      <c r="U94" s="1558">
        <f>S94+T94</f>
        <v>13533</v>
      </c>
      <c r="V94" s="1314">
        <f>GSO!V13</f>
        <v>19280</v>
      </c>
      <c r="W94" s="1362">
        <f>GSO!W13</f>
        <v>8500</v>
      </c>
      <c r="X94" s="1363">
        <f>GSO!X13</f>
        <v>27780</v>
      </c>
      <c r="Y94" s="1132">
        <f>GSO!Y13</f>
        <v>0</v>
      </c>
      <c r="Z94" s="1362">
        <f>GSO!Z13</f>
        <v>0</v>
      </c>
      <c r="AA94" s="1364">
        <f>GSO!AA13</f>
        <v>0</v>
      </c>
      <c r="AB94" s="1362">
        <f>GSO!AB13</f>
        <v>19280</v>
      </c>
      <c r="AC94" s="1362">
        <f>GSO!AC13</f>
        <v>8500</v>
      </c>
      <c r="AD94" s="1410">
        <f>GSO!AD13</f>
        <v>27780</v>
      </c>
      <c r="AE94" s="1241"/>
      <c r="AF94" s="1241"/>
      <c r="AG94" s="1241"/>
      <c r="AH94" s="1241"/>
      <c r="AI94" s="1240"/>
      <c r="AJ94" s="1240"/>
      <c r="AK94" s="1240"/>
      <c r="AL94" s="1240"/>
      <c r="AM94" s="1240"/>
      <c r="AN94" s="1240"/>
      <c r="AO94" s="1240"/>
      <c r="AP94" s="1240"/>
      <c r="AQ94" s="1240"/>
      <c r="AR94" s="1240"/>
      <c r="AS94" s="1240"/>
    </row>
    <row r="95" spans="1:45" s="1238" customFormat="1" ht="93.75" customHeight="1" hidden="1">
      <c r="A95" s="1340"/>
      <c r="B95" s="908" t="s">
        <v>527</v>
      </c>
      <c r="C95" s="908"/>
      <c r="D95" s="908"/>
      <c r="E95" s="908"/>
      <c r="F95" s="908"/>
      <c r="G95" s="908"/>
      <c r="H95" s="908" t="s">
        <v>364</v>
      </c>
      <c r="I95" s="1295" t="s">
        <v>365</v>
      </c>
      <c r="J95" s="1294" t="s">
        <v>351</v>
      </c>
      <c r="K95" s="1508"/>
      <c r="L95" s="1296"/>
      <c r="M95" s="1297"/>
      <c r="N95" s="1298">
        <f>L95+M95</f>
        <v>0</v>
      </c>
      <c r="O95" s="1299"/>
      <c r="P95" s="1300"/>
      <c r="Q95" s="1301">
        <f>O95+P95</f>
        <v>0</v>
      </c>
      <c r="R95" s="1293"/>
      <c r="S95" s="1299">
        <f t="shared" si="30"/>
        <v>0</v>
      </c>
      <c r="T95" s="1302">
        <f t="shared" si="30"/>
        <v>0</v>
      </c>
      <c r="U95" s="1303">
        <f>S95+T95</f>
        <v>0</v>
      </c>
      <c r="V95" s="1309"/>
      <c r="W95" s="1300"/>
      <c r="X95" s="1306"/>
      <c r="Y95" s="1299"/>
      <c r="Z95" s="1300"/>
      <c r="AA95" s="1301"/>
      <c r="AB95" s="1310"/>
      <c r="AC95" s="1310"/>
      <c r="AD95" s="1311"/>
      <c r="AE95" s="1241"/>
      <c r="AF95" s="1241"/>
      <c r="AG95" s="1241"/>
      <c r="AH95" s="1241"/>
      <c r="AI95" s="1240"/>
      <c r="AJ95" s="1240"/>
      <c r="AK95" s="1240"/>
      <c r="AL95" s="1240"/>
      <c r="AM95" s="1240"/>
      <c r="AN95" s="1240"/>
      <c r="AO95" s="1240"/>
      <c r="AP95" s="1240"/>
      <c r="AQ95" s="1240"/>
      <c r="AR95" s="1240"/>
      <c r="AS95" s="1240"/>
    </row>
    <row r="96" spans="1:45" s="1238" customFormat="1" ht="30" customHeight="1" hidden="1">
      <c r="A96" s="1341"/>
      <c r="B96" s="1312" t="s">
        <v>10</v>
      </c>
      <c r="C96" s="1313"/>
      <c r="D96" s="1313"/>
      <c r="E96" s="1313"/>
      <c r="F96" s="1313"/>
      <c r="G96" s="1313"/>
      <c r="H96" s="1322"/>
      <c r="I96" s="1284"/>
      <c r="J96" s="1283"/>
      <c r="K96" s="1509" t="s">
        <v>185</v>
      </c>
      <c r="L96" s="1314">
        <f>GSO!L15</f>
        <v>23818</v>
      </c>
      <c r="M96" s="1362">
        <f>GSO!M15</f>
        <v>32006</v>
      </c>
      <c r="N96" s="1363">
        <f>GSO!N15</f>
        <v>55824</v>
      </c>
      <c r="O96" s="1132">
        <f>GSO!O15</f>
        <v>32328</v>
      </c>
      <c r="P96" s="1362">
        <f>GSO!P15</f>
        <v>32006</v>
      </c>
      <c r="Q96" s="1364">
        <f>GSO!Q15</f>
        <v>64334</v>
      </c>
      <c r="R96" s="1912" t="str">
        <f>GSO!R15</f>
        <v>ACTIVITY 09
</v>
      </c>
      <c r="S96" s="1134">
        <f t="shared" si="30"/>
        <v>-8510</v>
      </c>
      <c r="T96" s="1493">
        <f t="shared" si="30"/>
        <v>0</v>
      </c>
      <c r="U96" s="1558">
        <f>S96+T96</f>
        <v>-8510</v>
      </c>
      <c r="V96" s="1314">
        <f>GSO!V15</f>
        <v>0</v>
      </c>
      <c r="W96" s="1362">
        <f>GSO!W15</f>
        <v>0</v>
      </c>
      <c r="X96" s="1363">
        <f>GSO!X15</f>
        <v>0</v>
      </c>
      <c r="Y96" s="1132">
        <f>GSO!Y15</f>
        <v>0</v>
      </c>
      <c r="Z96" s="1362">
        <f>GSO!Z15</f>
        <v>0</v>
      </c>
      <c r="AA96" s="1364">
        <f>GSO!AA15</f>
        <v>0</v>
      </c>
      <c r="AB96" s="1362">
        <f>GSO!AB15</f>
        <v>0</v>
      </c>
      <c r="AC96" s="1362">
        <f>GSO!AC15</f>
        <v>0</v>
      </c>
      <c r="AD96" s="1410">
        <f>GSO!AD15</f>
        <v>0</v>
      </c>
      <c r="AE96" s="1241"/>
      <c r="AF96" s="1241"/>
      <c r="AG96" s="1241"/>
      <c r="AH96" s="1241"/>
      <c r="AI96" s="1240"/>
      <c r="AJ96" s="1240"/>
      <c r="AK96" s="1240"/>
      <c r="AL96" s="1240"/>
      <c r="AM96" s="1240"/>
      <c r="AN96" s="1240"/>
      <c r="AO96" s="1240"/>
      <c r="AP96" s="1240"/>
      <c r="AQ96" s="1240"/>
      <c r="AR96" s="1240"/>
      <c r="AS96" s="1240"/>
    </row>
    <row r="97" spans="1:45" s="1238" customFormat="1" ht="41.25" customHeight="1">
      <c r="A97" s="1417"/>
      <c r="B97" s="1428" t="s">
        <v>417</v>
      </c>
      <c r="C97" s="1429"/>
      <c r="D97" s="1429"/>
      <c r="E97" s="1429"/>
      <c r="F97" s="1429"/>
      <c r="G97" s="1429"/>
      <c r="H97" s="1430"/>
      <c r="I97" s="1431"/>
      <c r="J97" s="1430"/>
      <c r="K97" s="1517"/>
      <c r="L97" s="1537">
        <f>SUM(L93:L96)</f>
        <v>33818</v>
      </c>
      <c r="M97" s="1432">
        <f aca="true" t="shared" si="31" ref="M97:AD97">SUM(M93:M96)</f>
        <v>57006</v>
      </c>
      <c r="N97" s="1538">
        <f t="shared" si="31"/>
        <v>90824</v>
      </c>
      <c r="O97" s="1529">
        <f t="shared" si="31"/>
        <v>32328</v>
      </c>
      <c r="P97" s="1432">
        <f t="shared" si="31"/>
        <v>53473</v>
      </c>
      <c r="Q97" s="1552">
        <f t="shared" si="31"/>
        <v>85801</v>
      </c>
      <c r="R97" s="1432">
        <f t="shared" si="31"/>
        <v>0</v>
      </c>
      <c r="S97" s="1529">
        <f t="shared" si="31"/>
        <v>1490</v>
      </c>
      <c r="T97" s="1432">
        <f t="shared" si="31"/>
        <v>3533</v>
      </c>
      <c r="U97" s="1552">
        <f t="shared" si="31"/>
        <v>5023</v>
      </c>
      <c r="V97" s="1537">
        <f t="shared" si="31"/>
        <v>19280</v>
      </c>
      <c r="W97" s="1432">
        <f t="shared" si="31"/>
        <v>8500</v>
      </c>
      <c r="X97" s="1538">
        <f t="shared" si="31"/>
        <v>27780</v>
      </c>
      <c r="Y97" s="1529">
        <f t="shared" si="31"/>
        <v>0</v>
      </c>
      <c r="Z97" s="1432">
        <f t="shared" si="31"/>
        <v>0</v>
      </c>
      <c r="AA97" s="1552">
        <f t="shared" si="31"/>
        <v>0</v>
      </c>
      <c r="AB97" s="1432">
        <f t="shared" si="31"/>
        <v>19280</v>
      </c>
      <c r="AC97" s="1432">
        <f t="shared" si="31"/>
        <v>8500</v>
      </c>
      <c r="AD97" s="1433">
        <f t="shared" si="31"/>
        <v>27780</v>
      </c>
      <c r="AE97" s="1241"/>
      <c r="AF97" s="1241"/>
      <c r="AG97" s="1241"/>
      <c r="AH97" s="1241"/>
      <c r="AI97" s="1240"/>
      <c r="AJ97" s="1240"/>
      <c r="AK97" s="1240"/>
      <c r="AL97" s="1240"/>
      <c r="AM97" s="1240"/>
      <c r="AN97" s="1240"/>
      <c r="AO97" s="1240"/>
      <c r="AP97" s="1240"/>
      <c r="AQ97" s="1240"/>
      <c r="AR97" s="1240"/>
      <c r="AS97" s="1240"/>
    </row>
    <row r="98" spans="1:45" s="1238" customFormat="1" ht="45" customHeight="1">
      <c r="A98" s="2036" t="s">
        <v>583</v>
      </c>
      <c r="B98" s="908" t="s">
        <v>585</v>
      </c>
      <c r="C98" s="1998"/>
      <c r="D98" s="1998" t="s">
        <v>176</v>
      </c>
      <c r="E98" s="908" t="s">
        <v>176</v>
      </c>
      <c r="F98" s="908" t="s">
        <v>176</v>
      </c>
      <c r="G98" s="908"/>
      <c r="H98" s="908" t="s">
        <v>364</v>
      </c>
      <c r="I98" s="1295" t="s">
        <v>366</v>
      </c>
      <c r="J98" s="1294" t="s">
        <v>156</v>
      </c>
      <c r="K98" s="1508"/>
      <c r="L98" s="1296"/>
      <c r="M98" s="1297"/>
      <c r="N98" s="1298">
        <f>L98+M98</f>
        <v>0</v>
      </c>
      <c r="O98" s="1299"/>
      <c r="P98" s="1300"/>
      <c r="Q98" s="1301">
        <f aca="true" t="shared" si="32" ref="Q98:Q104">O98+P98</f>
        <v>0</v>
      </c>
      <c r="R98" s="1293"/>
      <c r="S98" s="1299">
        <f aca="true" t="shared" si="33" ref="S98:S105">L98-O98</f>
        <v>0</v>
      </c>
      <c r="T98" s="1302">
        <f aca="true" t="shared" si="34" ref="T98:T105">M98-P98</f>
        <v>0</v>
      </c>
      <c r="U98" s="1303">
        <f aca="true" t="shared" si="35" ref="U98:U105">S98+T98</f>
        <v>0</v>
      </c>
      <c r="V98" s="1304"/>
      <c r="W98" s="1305"/>
      <c r="X98" s="1330"/>
      <c r="Y98" s="1307"/>
      <c r="Z98" s="1305"/>
      <c r="AA98" s="1904"/>
      <c r="AB98" s="1280"/>
      <c r="AC98" s="1280"/>
      <c r="AD98" s="1281"/>
      <c r="AE98" s="1241"/>
      <c r="AF98" s="1241"/>
      <c r="AG98" s="1241"/>
      <c r="AH98" s="1241"/>
      <c r="AI98" s="1240"/>
      <c r="AJ98" s="1240"/>
      <c r="AK98" s="1240"/>
      <c r="AL98" s="1240"/>
      <c r="AM98" s="1240"/>
      <c r="AN98" s="1240"/>
      <c r="AO98" s="1240"/>
      <c r="AP98" s="1240"/>
      <c r="AQ98" s="1240"/>
      <c r="AR98" s="1240"/>
      <c r="AS98" s="1240"/>
    </row>
    <row r="99" spans="1:45" s="1238" customFormat="1" ht="27" customHeight="1">
      <c r="A99" s="2037"/>
      <c r="B99" s="1312" t="s">
        <v>27</v>
      </c>
      <c r="C99" s="1313"/>
      <c r="D99" s="1313"/>
      <c r="E99" s="1313"/>
      <c r="F99" s="1313"/>
      <c r="G99" s="1313"/>
      <c r="H99" s="1322"/>
      <c r="I99" s="1284"/>
      <c r="J99" s="1283"/>
      <c r="K99" s="1509" t="s">
        <v>185</v>
      </c>
      <c r="L99" s="1314">
        <f>GSO!L18</f>
        <v>3150</v>
      </c>
      <c r="M99" s="1362">
        <f>GSO!M18</f>
        <v>25463</v>
      </c>
      <c r="N99" s="1363">
        <f>GSO!N18</f>
        <v>28613</v>
      </c>
      <c r="O99" s="1132">
        <f>GSO!O18</f>
        <v>0</v>
      </c>
      <c r="P99" s="1362">
        <f>GSO!P18</f>
        <v>500</v>
      </c>
      <c r="Q99" s="1364">
        <f>GSO!Q18</f>
        <v>500</v>
      </c>
      <c r="R99" s="1912" t="str">
        <f>GSO!R18</f>
        <v>ACTIVITY 09
</v>
      </c>
      <c r="S99" s="1134">
        <f t="shared" si="33"/>
        <v>3150</v>
      </c>
      <c r="T99" s="1493">
        <f t="shared" si="34"/>
        <v>24963</v>
      </c>
      <c r="U99" s="1558">
        <f t="shared" si="35"/>
        <v>28113</v>
      </c>
      <c r="V99" s="1314">
        <f>GSO!V18</f>
        <v>5814</v>
      </c>
      <c r="W99" s="1362">
        <f>GSO!W18</f>
        <v>17270</v>
      </c>
      <c r="X99" s="1363">
        <f>GSO!X18</f>
        <v>23084</v>
      </c>
      <c r="Y99" s="1132">
        <f>GSO!Y18</f>
        <v>0</v>
      </c>
      <c r="Z99" s="1362">
        <f>GSO!Z18</f>
        <v>0</v>
      </c>
      <c r="AA99" s="1364">
        <f>GSO!AA18</f>
        <v>0</v>
      </c>
      <c r="AB99" s="1362">
        <f>GSO!AB18</f>
        <v>5814</v>
      </c>
      <c r="AC99" s="1362">
        <f>GSO!AC18</f>
        <v>17270</v>
      </c>
      <c r="AD99" s="1410">
        <f>GSO!AD18</f>
        <v>23084</v>
      </c>
      <c r="AE99" s="1241"/>
      <c r="AF99" s="1241"/>
      <c r="AG99" s="1241"/>
      <c r="AH99" s="1241"/>
      <c r="AI99" s="1240"/>
      <c r="AJ99" s="1240"/>
      <c r="AK99" s="1240"/>
      <c r="AL99" s="1240"/>
      <c r="AM99" s="1240"/>
      <c r="AN99" s="1240"/>
      <c r="AO99" s="1240"/>
      <c r="AP99" s="1240"/>
      <c r="AQ99" s="1240"/>
      <c r="AR99" s="1240"/>
      <c r="AS99" s="1240"/>
    </row>
    <row r="100" spans="1:45" s="1238" customFormat="1" ht="66.75" customHeight="1">
      <c r="A100" s="2037"/>
      <c r="B100" s="908" t="s">
        <v>586</v>
      </c>
      <c r="C100" s="908"/>
      <c r="D100" s="1998" t="s">
        <v>176</v>
      </c>
      <c r="E100" s="908"/>
      <c r="F100" s="908"/>
      <c r="G100" s="908"/>
      <c r="H100" s="908" t="s">
        <v>364</v>
      </c>
      <c r="I100" s="1295" t="s">
        <v>364</v>
      </c>
      <c r="J100" s="1294" t="s">
        <v>142</v>
      </c>
      <c r="K100" s="1508"/>
      <c r="L100" s="1296"/>
      <c r="M100" s="1297"/>
      <c r="N100" s="1298">
        <f>L100+M100</f>
        <v>0</v>
      </c>
      <c r="O100" s="1299"/>
      <c r="P100" s="1300"/>
      <c r="Q100" s="1301">
        <f t="shared" si="32"/>
        <v>0</v>
      </c>
      <c r="R100" s="1293"/>
      <c r="S100" s="1299">
        <f t="shared" si="33"/>
        <v>0</v>
      </c>
      <c r="T100" s="1302">
        <f t="shared" si="34"/>
        <v>0</v>
      </c>
      <c r="U100" s="1303">
        <f t="shared" si="35"/>
        <v>0</v>
      </c>
      <c r="V100" s="1309"/>
      <c r="W100" s="1300"/>
      <c r="X100" s="1306"/>
      <c r="Y100" s="1299"/>
      <c r="Z100" s="1300"/>
      <c r="AA100" s="1301"/>
      <c r="AB100" s="1310"/>
      <c r="AC100" s="1310"/>
      <c r="AD100" s="1311"/>
      <c r="AE100" s="1241"/>
      <c r="AF100" s="1241"/>
      <c r="AG100" s="1241"/>
      <c r="AH100" s="1241"/>
      <c r="AI100" s="1240"/>
      <c r="AJ100" s="1240"/>
      <c r="AK100" s="1240"/>
      <c r="AL100" s="1240"/>
      <c r="AM100" s="1240"/>
      <c r="AN100" s="1240"/>
      <c r="AO100" s="1240"/>
      <c r="AP100" s="1240"/>
      <c r="AQ100" s="1240"/>
      <c r="AR100" s="1240"/>
      <c r="AS100" s="1240"/>
    </row>
    <row r="101" spans="1:45" s="1238" customFormat="1" ht="27.75" customHeight="1">
      <c r="A101" s="2037"/>
      <c r="B101" s="1312" t="s">
        <v>28</v>
      </c>
      <c r="C101" s="1313"/>
      <c r="D101" s="1313"/>
      <c r="E101" s="1313"/>
      <c r="F101" s="1313"/>
      <c r="G101" s="1313"/>
      <c r="H101" s="1322"/>
      <c r="I101" s="1284"/>
      <c r="J101" s="1283"/>
      <c r="K101" s="1509"/>
      <c r="L101" s="1314">
        <f>GSO!L20</f>
        <v>0</v>
      </c>
      <c r="M101" s="1362">
        <f>GSO!M20</f>
        <v>28037</v>
      </c>
      <c r="N101" s="1363">
        <f>GSO!N20</f>
        <v>28037</v>
      </c>
      <c r="O101" s="1132">
        <f>GSO!O20</f>
        <v>0</v>
      </c>
      <c r="P101" s="1362">
        <f>GSO!P20</f>
        <v>15637</v>
      </c>
      <c r="Q101" s="1364">
        <f>GSO!Q20</f>
        <v>15637</v>
      </c>
      <c r="R101" s="1912">
        <f>GSO!R20</f>
        <v>0</v>
      </c>
      <c r="S101" s="1134">
        <f t="shared" si="33"/>
        <v>0</v>
      </c>
      <c r="T101" s="1493">
        <f t="shared" si="34"/>
        <v>12400</v>
      </c>
      <c r="U101" s="1558">
        <f t="shared" si="35"/>
        <v>12400</v>
      </c>
      <c r="V101" s="1314">
        <f>GSO!V20</f>
        <v>0</v>
      </c>
      <c r="W101" s="1362">
        <f>GSO!W20</f>
        <v>12400</v>
      </c>
      <c r="X101" s="1363">
        <f>GSO!X20</f>
        <v>12400</v>
      </c>
      <c r="Y101" s="1132">
        <f>GSO!Y20</f>
        <v>0</v>
      </c>
      <c r="Z101" s="1362">
        <f>GSO!Z20</f>
        <v>0</v>
      </c>
      <c r="AA101" s="1364">
        <f>GSO!AA20</f>
        <v>0</v>
      </c>
      <c r="AB101" s="1362">
        <f>GSO!AB20</f>
        <v>0</v>
      </c>
      <c r="AC101" s="1362">
        <f>GSO!AC20</f>
        <v>12400</v>
      </c>
      <c r="AD101" s="1410">
        <f>GSO!AD20</f>
        <v>12400</v>
      </c>
      <c r="AE101" s="1241"/>
      <c r="AF101" s="1241"/>
      <c r="AG101" s="1241"/>
      <c r="AH101" s="1241"/>
      <c r="AI101" s="1240"/>
      <c r="AJ101" s="1240"/>
      <c r="AK101" s="1240"/>
      <c r="AL101" s="1240"/>
      <c r="AM101" s="1240"/>
      <c r="AN101" s="1240"/>
      <c r="AO101" s="1240"/>
      <c r="AP101" s="1240"/>
      <c r="AQ101" s="1240"/>
      <c r="AR101" s="1240"/>
      <c r="AS101" s="1240"/>
    </row>
    <row r="102" spans="1:45" s="1238" customFormat="1" ht="70.5" customHeight="1">
      <c r="A102" s="2037"/>
      <c r="B102" s="908" t="s">
        <v>587</v>
      </c>
      <c r="C102" s="1998"/>
      <c r="D102" s="1998"/>
      <c r="E102" s="908"/>
      <c r="F102" s="908" t="s">
        <v>176</v>
      </c>
      <c r="G102" s="908"/>
      <c r="H102" s="908" t="s">
        <v>364</v>
      </c>
      <c r="I102" s="1295" t="s">
        <v>410</v>
      </c>
      <c r="J102" s="1294" t="s">
        <v>156</v>
      </c>
      <c r="K102" s="1508"/>
      <c r="L102" s="1296"/>
      <c r="M102" s="1297"/>
      <c r="N102" s="1298">
        <f>L102+M102</f>
        <v>0</v>
      </c>
      <c r="O102" s="1299"/>
      <c r="P102" s="1300"/>
      <c r="Q102" s="1301">
        <f t="shared" si="32"/>
        <v>0</v>
      </c>
      <c r="R102" s="1293"/>
      <c r="S102" s="1299">
        <f t="shared" si="33"/>
        <v>0</v>
      </c>
      <c r="T102" s="1302">
        <f t="shared" si="34"/>
        <v>0</v>
      </c>
      <c r="U102" s="1303">
        <f t="shared" si="35"/>
        <v>0</v>
      </c>
      <c r="V102" s="1309"/>
      <c r="W102" s="1300"/>
      <c r="X102" s="1306"/>
      <c r="Y102" s="1299"/>
      <c r="Z102" s="1300"/>
      <c r="AA102" s="1301"/>
      <c r="AB102" s="1310"/>
      <c r="AC102" s="1310"/>
      <c r="AD102" s="1311"/>
      <c r="AE102" s="1241"/>
      <c r="AF102" s="1241"/>
      <c r="AG102" s="1241"/>
      <c r="AH102" s="1241"/>
      <c r="AI102" s="1240"/>
      <c r="AJ102" s="1240"/>
      <c r="AK102" s="1240"/>
      <c r="AL102" s="1240"/>
      <c r="AM102" s="1240"/>
      <c r="AN102" s="1240"/>
      <c r="AO102" s="1240"/>
      <c r="AP102" s="1240"/>
      <c r="AQ102" s="1240"/>
      <c r="AR102" s="1240"/>
      <c r="AS102" s="1240"/>
    </row>
    <row r="103" spans="1:45" s="1238" customFormat="1" ht="26.25" customHeight="1">
      <c r="A103" s="2038"/>
      <c r="B103" s="1312" t="s">
        <v>29</v>
      </c>
      <c r="C103" s="1313"/>
      <c r="D103" s="1313"/>
      <c r="E103" s="1313"/>
      <c r="F103" s="1313"/>
      <c r="G103" s="1313"/>
      <c r="H103" s="1322"/>
      <c r="I103" s="1284"/>
      <c r="J103" s="1283"/>
      <c r="K103" s="1509" t="s">
        <v>185</v>
      </c>
      <c r="L103" s="1314">
        <f>GSO!L22</f>
        <v>6825</v>
      </c>
      <c r="M103" s="1362">
        <f>GSO!M22</f>
        <v>9450</v>
      </c>
      <c r="N103" s="1363">
        <f>GSO!N22</f>
        <v>16275</v>
      </c>
      <c r="O103" s="1132">
        <f>GSO!O22</f>
        <v>2713</v>
      </c>
      <c r="P103" s="1362">
        <f>GSO!P22</f>
        <v>7156</v>
      </c>
      <c r="Q103" s="1364">
        <f>GSO!Q22</f>
        <v>9869</v>
      </c>
      <c r="R103" s="1912" t="str">
        <f>GSO!R22</f>
        <v>ACTIVITY 09
</v>
      </c>
      <c r="S103" s="1134">
        <f t="shared" si="33"/>
        <v>4112</v>
      </c>
      <c r="T103" s="1493">
        <f t="shared" si="34"/>
        <v>2294</v>
      </c>
      <c r="U103" s="1558">
        <f t="shared" si="35"/>
        <v>6406</v>
      </c>
      <c r="V103" s="1314">
        <f>GSO!V22</f>
        <v>4357</v>
      </c>
      <c r="W103" s="1362">
        <f>GSO!W22</f>
        <v>10032</v>
      </c>
      <c r="X103" s="1363">
        <f>GSO!X22</f>
        <v>14389</v>
      </c>
      <c r="Y103" s="1132">
        <f>GSO!Y22</f>
        <v>0</v>
      </c>
      <c r="Z103" s="1362">
        <f>GSO!Z22</f>
        <v>0</v>
      </c>
      <c r="AA103" s="1364">
        <f>GSO!AA22</f>
        <v>0</v>
      </c>
      <c r="AB103" s="1362">
        <f>GSO!AB22</f>
        <v>4357</v>
      </c>
      <c r="AC103" s="1362">
        <f>GSO!AC22</f>
        <v>10032</v>
      </c>
      <c r="AD103" s="1410">
        <f>GSO!AD22</f>
        <v>14389</v>
      </c>
      <c r="AE103" s="1241"/>
      <c r="AF103" s="1241"/>
      <c r="AG103" s="1241"/>
      <c r="AH103" s="1241"/>
      <c r="AI103" s="1240"/>
      <c r="AJ103" s="1240"/>
      <c r="AK103" s="1240"/>
      <c r="AL103" s="1240"/>
      <c r="AM103" s="1240"/>
      <c r="AN103" s="1240"/>
      <c r="AO103" s="1240"/>
      <c r="AP103" s="1240"/>
      <c r="AQ103" s="1240"/>
      <c r="AR103" s="1240"/>
      <c r="AS103" s="1240"/>
    </row>
    <row r="104" spans="1:45" s="1238" customFormat="1" ht="126" customHeight="1">
      <c r="A104" s="1797"/>
      <c r="B104" s="1923" t="s">
        <v>588</v>
      </c>
      <c r="C104" s="1923"/>
      <c r="D104" s="2000"/>
      <c r="E104" s="1923" t="s">
        <v>176</v>
      </c>
      <c r="F104" s="1923" t="s">
        <v>176</v>
      </c>
      <c r="G104" s="1923"/>
      <c r="H104" s="1923" t="s">
        <v>364</v>
      </c>
      <c r="I104" s="1924" t="s">
        <v>366</v>
      </c>
      <c r="J104" s="1925" t="s">
        <v>153</v>
      </c>
      <c r="K104" s="1926"/>
      <c r="L104" s="1927"/>
      <c r="M104" s="1928"/>
      <c r="N104" s="1929">
        <f>L104+M104</f>
        <v>0</v>
      </c>
      <c r="O104" s="1135"/>
      <c r="P104" s="1930"/>
      <c r="Q104" s="1931">
        <f t="shared" si="32"/>
        <v>0</v>
      </c>
      <c r="R104" s="1939"/>
      <c r="S104" s="1135">
        <f t="shared" si="33"/>
        <v>0</v>
      </c>
      <c r="T104" s="1933">
        <f t="shared" si="34"/>
        <v>0</v>
      </c>
      <c r="U104" s="1934">
        <f t="shared" si="35"/>
        <v>0</v>
      </c>
      <c r="V104" s="1935"/>
      <c r="W104" s="1930"/>
      <c r="X104" s="1936"/>
      <c r="Y104" s="1135"/>
      <c r="Z104" s="1930"/>
      <c r="AA104" s="1931"/>
      <c r="AB104" s="1937"/>
      <c r="AC104" s="1937"/>
      <c r="AD104" s="1938"/>
      <c r="AE104" s="1241"/>
      <c r="AF104" s="1241"/>
      <c r="AG104" s="1241"/>
      <c r="AH104" s="1241"/>
      <c r="AI104" s="1240"/>
      <c r="AJ104" s="1240"/>
      <c r="AK104" s="1240"/>
      <c r="AL104" s="1240"/>
      <c r="AM104" s="1240"/>
      <c r="AN104" s="1240"/>
      <c r="AO104" s="1240"/>
      <c r="AP104" s="1240"/>
      <c r="AQ104" s="1240"/>
      <c r="AR104" s="1240"/>
      <c r="AS104" s="1240"/>
    </row>
    <row r="105" spans="1:45" s="1238" customFormat="1" ht="33.75" customHeight="1">
      <c r="A105" s="1958"/>
      <c r="B105" s="1312" t="s">
        <v>30</v>
      </c>
      <c r="C105" s="1313"/>
      <c r="D105" s="1313"/>
      <c r="E105" s="1313"/>
      <c r="F105" s="1313"/>
      <c r="G105" s="1313"/>
      <c r="H105" s="1322"/>
      <c r="I105" s="1284"/>
      <c r="J105" s="1283"/>
      <c r="K105" s="1509" t="s">
        <v>185</v>
      </c>
      <c r="L105" s="1314">
        <f>GSO!L24</f>
        <v>5459</v>
      </c>
      <c r="M105" s="1362">
        <f>GSO!M24</f>
        <v>0</v>
      </c>
      <c r="N105" s="1363">
        <f>GSO!N24</f>
        <v>5459</v>
      </c>
      <c r="O105" s="1132">
        <f>GSO!O24</f>
        <v>4584</v>
      </c>
      <c r="P105" s="1362">
        <f>GSO!P24</f>
        <v>0</v>
      </c>
      <c r="Q105" s="1364">
        <f>GSO!Q24</f>
        <v>4584</v>
      </c>
      <c r="R105" s="1912" t="str">
        <f>GSO!R24</f>
        <v>ACTIVITY 06
</v>
      </c>
      <c r="S105" s="1134">
        <f t="shared" si="33"/>
        <v>875</v>
      </c>
      <c r="T105" s="1493">
        <f t="shared" si="34"/>
        <v>0</v>
      </c>
      <c r="U105" s="1558">
        <f t="shared" si="35"/>
        <v>875</v>
      </c>
      <c r="V105" s="1314">
        <f>GSO!V24</f>
        <v>35817</v>
      </c>
      <c r="W105" s="1362">
        <f>GSO!W24</f>
        <v>0</v>
      </c>
      <c r="X105" s="1363">
        <f>GSO!X24</f>
        <v>35817</v>
      </c>
      <c r="Y105" s="1132">
        <f>GSO!Y24</f>
        <v>0</v>
      </c>
      <c r="Z105" s="1362">
        <f>GSO!Z24</f>
        <v>0</v>
      </c>
      <c r="AA105" s="1364">
        <f>GSO!AA24</f>
        <v>0</v>
      </c>
      <c r="AB105" s="1362">
        <f>GSO!AB24</f>
        <v>35817</v>
      </c>
      <c r="AC105" s="1362">
        <f>GSO!AC24</f>
        <v>0</v>
      </c>
      <c r="AD105" s="1410">
        <f>GSO!AD24</f>
        <v>35817</v>
      </c>
      <c r="AE105" s="1241"/>
      <c r="AF105" s="1241"/>
      <c r="AG105" s="1241"/>
      <c r="AH105" s="1241"/>
      <c r="AI105" s="1240"/>
      <c r="AJ105" s="1240"/>
      <c r="AK105" s="1240"/>
      <c r="AL105" s="1240"/>
      <c r="AM105" s="1240"/>
      <c r="AN105" s="1240"/>
      <c r="AO105" s="1240"/>
      <c r="AP105" s="1240"/>
      <c r="AQ105" s="1240"/>
      <c r="AR105" s="1240"/>
      <c r="AS105" s="1240"/>
    </row>
    <row r="106" spans="1:45" s="1238" customFormat="1" ht="93" customHeight="1">
      <c r="A106" s="1958"/>
      <c r="B106" s="1252" t="str">
        <f>GSO!B25</f>
        <v>Activity 3.2.5: Provide TA to engender the annual Population Change Survey (3% survey) and the VHLSS.</v>
      </c>
      <c r="C106" s="2002"/>
      <c r="D106" s="2002" t="str">
        <f>GSO!D25</f>
        <v>X</v>
      </c>
      <c r="E106" s="1385" t="str">
        <f>GSO!E25</f>
        <v>X</v>
      </c>
      <c r="F106" s="1385" t="str">
        <f>GSO!F25</f>
        <v>X</v>
      </c>
      <c r="G106" s="1385" t="str">
        <f>GSO!G25</f>
        <v>X</v>
      </c>
      <c r="H106" s="1385" t="str">
        <f>GSO!H25</f>
        <v>GSO</v>
      </c>
      <c r="I106" s="1385" t="str">
        <f>GSO!I25</f>
        <v>GSO
Collaborating agencies: MOLISA</v>
      </c>
      <c r="J106" s="1385" t="str">
        <f>GSO!J25</f>
        <v>UNFPA</v>
      </c>
      <c r="K106" s="1995"/>
      <c r="L106" s="1994"/>
      <c r="M106" s="1385"/>
      <c r="N106" s="1385"/>
      <c r="O106" s="1991"/>
      <c r="P106" s="1991"/>
      <c r="Q106" s="1992"/>
      <c r="R106" s="1385"/>
      <c r="S106" s="1385"/>
      <c r="T106" s="1385"/>
      <c r="U106" s="1385"/>
      <c r="V106" s="1385"/>
      <c r="W106" s="1385"/>
      <c r="X106" s="1385"/>
      <c r="Y106" s="1385"/>
      <c r="Z106" s="1385"/>
      <c r="AA106" s="1385"/>
      <c r="AB106" s="1385"/>
      <c r="AC106" s="1385"/>
      <c r="AD106" s="1993"/>
      <c r="AE106" s="1241"/>
      <c r="AF106" s="1241"/>
      <c r="AG106" s="1241"/>
      <c r="AH106" s="1241"/>
      <c r="AI106" s="1240"/>
      <c r="AJ106" s="1240"/>
      <c r="AK106" s="1240"/>
      <c r="AL106" s="1240"/>
      <c r="AM106" s="1240"/>
      <c r="AN106" s="1240"/>
      <c r="AO106" s="1240"/>
      <c r="AP106" s="1240"/>
      <c r="AQ106" s="1240"/>
      <c r="AR106" s="1240"/>
      <c r="AS106" s="1240"/>
    </row>
    <row r="107" spans="1:45" s="1238" customFormat="1" ht="33.75" customHeight="1">
      <c r="A107" s="1958"/>
      <c r="B107" s="1312"/>
      <c r="C107" s="1312"/>
      <c r="D107" s="1312"/>
      <c r="E107" s="1312"/>
      <c r="F107" s="1312"/>
      <c r="G107" s="1312"/>
      <c r="H107" s="1312"/>
      <c r="I107" s="1312"/>
      <c r="J107" s="1312"/>
      <c r="K107" s="1996"/>
      <c r="L107" s="1132">
        <f>GSO!L26</f>
        <v>0</v>
      </c>
      <c r="M107" s="1362">
        <f>GSO!M26</f>
        <v>0</v>
      </c>
      <c r="N107" s="1362">
        <f>GSO!N26</f>
        <v>0</v>
      </c>
      <c r="O107" s="1362">
        <f>GSO!O26</f>
        <v>0</v>
      </c>
      <c r="P107" s="1362">
        <f>GSO!P26</f>
        <v>0</v>
      </c>
      <c r="Q107" s="1362">
        <f>GSO!Q26</f>
        <v>0</v>
      </c>
      <c r="R107" s="1283" t="str">
        <f>GSO!R26</f>
        <v>ACTIVITY 06
</v>
      </c>
      <c r="S107" s="1509">
        <f>GSO!S26</f>
        <v>0</v>
      </c>
      <c r="T107" s="1314">
        <f>GSO!T26</f>
        <v>0</v>
      </c>
      <c r="U107" s="1362">
        <f>GSO!U26</f>
        <v>0</v>
      </c>
      <c r="V107" s="1363">
        <f>GSO!V26</f>
        <v>35870.66</v>
      </c>
      <c r="W107" s="1132">
        <f>GSO!W26</f>
        <v>38715</v>
      </c>
      <c r="X107" s="1362">
        <f>GSO!X26</f>
        <v>74585.66</v>
      </c>
      <c r="Y107" s="1364">
        <f>GSO!Y26</f>
        <v>0</v>
      </c>
      <c r="Z107" s="1912">
        <f>GSO!Z26</f>
        <v>0</v>
      </c>
      <c r="AA107" s="1134">
        <f>GSO!AA26</f>
        <v>0</v>
      </c>
      <c r="AB107" s="1493">
        <f>GSO!AB26</f>
        <v>35870.66</v>
      </c>
      <c r="AC107" s="1558">
        <f>GSO!AC26</f>
        <v>38715</v>
      </c>
      <c r="AD107" s="1314">
        <f>GSO!AD26</f>
        <v>74585.66</v>
      </c>
      <c r="AE107" s="1241"/>
      <c r="AF107" s="1241"/>
      <c r="AG107" s="1241"/>
      <c r="AH107" s="1241"/>
      <c r="AI107" s="1240"/>
      <c r="AJ107" s="1240"/>
      <c r="AK107" s="1240"/>
      <c r="AL107" s="1240"/>
      <c r="AM107" s="1240"/>
      <c r="AN107" s="1240"/>
      <c r="AO107" s="1240"/>
      <c r="AP107" s="1240"/>
      <c r="AQ107" s="1240"/>
      <c r="AR107" s="1240"/>
      <c r="AS107" s="1240"/>
    </row>
    <row r="108" spans="1:45" s="1238" customFormat="1" ht="31.5" customHeight="1">
      <c r="A108" s="1435"/>
      <c r="B108" s="1418" t="s">
        <v>418</v>
      </c>
      <c r="C108" s="1434"/>
      <c r="D108" s="1434"/>
      <c r="E108" s="1434"/>
      <c r="F108" s="1434"/>
      <c r="G108" s="1434"/>
      <c r="H108" s="1421"/>
      <c r="I108" s="1425"/>
      <c r="J108" s="1421"/>
      <c r="K108" s="1516"/>
      <c r="L108" s="1535">
        <f>SUM(L98:L107)</f>
        <v>15434</v>
      </c>
      <c r="M108" s="1535">
        <f aca="true" t="shared" si="36" ref="M108:AD108">SUM(M98:M107)</f>
        <v>62950</v>
      </c>
      <c r="N108" s="1535">
        <f t="shared" si="36"/>
        <v>78384</v>
      </c>
      <c r="O108" s="1535">
        <f t="shared" si="36"/>
        <v>7297</v>
      </c>
      <c r="P108" s="1535">
        <f t="shared" si="36"/>
        <v>23293</v>
      </c>
      <c r="Q108" s="1535">
        <f t="shared" si="36"/>
        <v>30590</v>
      </c>
      <c r="R108" s="1535"/>
      <c r="S108" s="1535">
        <f t="shared" si="36"/>
        <v>8137</v>
      </c>
      <c r="T108" s="1535">
        <f t="shared" si="36"/>
        <v>39657</v>
      </c>
      <c r="U108" s="1535">
        <f t="shared" si="36"/>
        <v>47794</v>
      </c>
      <c r="V108" s="1535">
        <f t="shared" si="36"/>
        <v>81858.66</v>
      </c>
      <c r="W108" s="1535">
        <f t="shared" si="36"/>
        <v>78417</v>
      </c>
      <c r="X108" s="1535">
        <f t="shared" si="36"/>
        <v>160275.66</v>
      </c>
      <c r="Y108" s="1535">
        <f t="shared" si="36"/>
        <v>0</v>
      </c>
      <c r="Z108" s="1535">
        <f t="shared" si="36"/>
        <v>0</v>
      </c>
      <c r="AA108" s="1535">
        <f t="shared" si="36"/>
        <v>0</v>
      </c>
      <c r="AB108" s="1535">
        <f t="shared" si="36"/>
        <v>81858.66</v>
      </c>
      <c r="AC108" s="1535">
        <f t="shared" si="36"/>
        <v>78417</v>
      </c>
      <c r="AD108" s="1535">
        <f t="shared" si="36"/>
        <v>160275.66</v>
      </c>
      <c r="AE108" s="1241"/>
      <c r="AF108" s="1241"/>
      <c r="AG108" s="1241"/>
      <c r="AH108" s="1241"/>
      <c r="AI108" s="1240"/>
      <c r="AJ108" s="1240"/>
      <c r="AK108" s="1240"/>
      <c r="AL108" s="1240"/>
      <c r="AM108" s="1240"/>
      <c r="AN108" s="1240"/>
      <c r="AO108" s="1240"/>
      <c r="AP108" s="1240"/>
      <c r="AQ108" s="1240"/>
      <c r="AR108" s="1240"/>
      <c r="AS108" s="1240"/>
    </row>
    <row r="109" spans="1:45" s="1238" customFormat="1" ht="81.75" customHeight="1">
      <c r="A109" s="2047" t="s">
        <v>589</v>
      </c>
      <c r="B109" s="908" t="s">
        <v>493</v>
      </c>
      <c r="C109" s="1998" t="s">
        <v>176</v>
      </c>
      <c r="D109" s="2004" t="s">
        <v>176</v>
      </c>
      <c r="E109" s="908" t="s">
        <v>176</v>
      </c>
      <c r="F109" s="908" t="s">
        <v>176</v>
      </c>
      <c r="G109" s="908"/>
      <c r="H109" s="908" t="s">
        <v>180</v>
      </c>
      <c r="I109" s="1295" t="s">
        <v>219</v>
      </c>
      <c r="J109" s="1294" t="s">
        <v>179</v>
      </c>
      <c r="K109" s="1508"/>
      <c r="L109" s="1296"/>
      <c r="M109" s="1297"/>
      <c r="N109" s="1298">
        <f>L109+M109</f>
        <v>0</v>
      </c>
      <c r="O109" s="1299"/>
      <c r="P109" s="1300"/>
      <c r="Q109" s="1301">
        <f aca="true" t="shared" si="37" ref="Q109:Q117">O109+P109</f>
        <v>0</v>
      </c>
      <c r="R109" s="1293"/>
      <c r="S109" s="1299">
        <f aca="true" t="shared" si="38" ref="S109:S118">L109-O109</f>
        <v>0</v>
      </c>
      <c r="T109" s="1302">
        <f aca="true" t="shared" si="39" ref="T109:T118">M109-P109</f>
        <v>0</v>
      </c>
      <c r="U109" s="1303">
        <f aca="true" t="shared" si="40" ref="U109:U118">S109+T109</f>
        <v>0</v>
      </c>
      <c r="V109" s="1309"/>
      <c r="W109" s="1300"/>
      <c r="X109" s="1306"/>
      <c r="Y109" s="1299"/>
      <c r="Z109" s="1300"/>
      <c r="AA109" s="1301"/>
      <c r="AB109" s="1310"/>
      <c r="AC109" s="1310"/>
      <c r="AD109" s="1311"/>
      <c r="AE109" s="1241"/>
      <c r="AF109" s="1241"/>
      <c r="AG109" s="1241"/>
      <c r="AH109" s="1241"/>
      <c r="AI109" s="1240"/>
      <c r="AJ109" s="1240"/>
      <c r="AK109" s="1240"/>
      <c r="AL109" s="1240"/>
      <c r="AM109" s="1240"/>
      <c r="AN109" s="1240"/>
      <c r="AO109" s="1240"/>
      <c r="AP109" s="1240"/>
      <c r="AQ109" s="1240"/>
      <c r="AR109" s="1240"/>
      <c r="AS109" s="1240"/>
    </row>
    <row r="110" spans="1:45" s="1238" customFormat="1" ht="21" customHeight="1">
      <c r="A110" s="2032"/>
      <c r="B110" s="1312" t="s">
        <v>14</v>
      </c>
      <c r="C110" s="1313"/>
      <c r="D110" s="1313"/>
      <c r="E110" s="1313"/>
      <c r="F110" s="1313"/>
      <c r="G110" s="1313"/>
      <c r="H110" s="1322"/>
      <c r="I110" s="1284"/>
      <c r="J110" s="1283"/>
      <c r="K110" s="1509" t="s">
        <v>185</v>
      </c>
      <c r="L110" s="1314">
        <f>MOLISA!L70</f>
        <v>18000</v>
      </c>
      <c r="M110" s="1362">
        <f>MOLISA!M70</f>
        <v>14200</v>
      </c>
      <c r="N110" s="1363">
        <f>MOLISA!N70</f>
        <v>32200</v>
      </c>
      <c r="O110" s="1132">
        <f>MOLISA!O70</f>
        <v>42834</v>
      </c>
      <c r="P110" s="1362">
        <f>MOLISA!P70</f>
        <v>10667</v>
      </c>
      <c r="Q110" s="1364">
        <f>MOLISA!Q70</f>
        <v>53501</v>
      </c>
      <c r="R110" s="1912" t="str">
        <f>MOLISA!R70</f>
        <v>ACTIVITY 07</v>
      </c>
      <c r="S110" s="1134">
        <f t="shared" si="38"/>
        <v>-24834</v>
      </c>
      <c r="T110" s="1493">
        <f t="shared" si="39"/>
        <v>3533</v>
      </c>
      <c r="U110" s="1558">
        <f t="shared" si="40"/>
        <v>-21301</v>
      </c>
      <c r="V110" s="1314">
        <f>MOLISA!V70</f>
        <v>0</v>
      </c>
      <c r="W110" s="1362">
        <f>MOLISA!W70</f>
        <v>9200</v>
      </c>
      <c r="X110" s="1363">
        <f>MOLISA!X70</f>
        <v>9200</v>
      </c>
      <c r="Y110" s="1132">
        <f>MOLISA!Y70</f>
        <v>0</v>
      </c>
      <c r="Z110" s="1362">
        <f>MOLISA!Z70</f>
        <v>0</v>
      </c>
      <c r="AA110" s="1364">
        <f>MOLISA!AA70</f>
        <v>0</v>
      </c>
      <c r="AB110" s="1362">
        <f>MOLISA!AB70</f>
        <v>0</v>
      </c>
      <c r="AC110" s="1362">
        <f>MOLISA!AC70</f>
        <v>9200</v>
      </c>
      <c r="AD110" s="1410">
        <f>MOLISA!AD70</f>
        <v>9200</v>
      </c>
      <c r="AE110" s="1241"/>
      <c r="AF110" s="1241"/>
      <c r="AG110" s="1241"/>
      <c r="AH110" s="1241"/>
      <c r="AI110" s="1240"/>
      <c r="AJ110" s="1240"/>
      <c r="AK110" s="1240"/>
      <c r="AL110" s="1240"/>
      <c r="AM110" s="1240"/>
      <c r="AN110" s="1240"/>
      <c r="AO110" s="1240"/>
      <c r="AP110" s="1240"/>
      <c r="AQ110" s="1240"/>
      <c r="AR110" s="1240"/>
      <c r="AS110" s="1240"/>
    </row>
    <row r="111" spans="1:45" s="1238" customFormat="1" ht="127.5" customHeight="1">
      <c r="A111" s="2032"/>
      <c r="B111" s="908" t="s">
        <v>490</v>
      </c>
      <c r="C111" s="908"/>
      <c r="D111" s="1998" t="s">
        <v>176</v>
      </c>
      <c r="E111" s="908" t="s">
        <v>176</v>
      </c>
      <c r="F111" s="908" t="s">
        <v>176</v>
      </c>
      <c r="G111" s="908"/>
      <c r="H111" s="908" t="s">
        <v>364</v>
      </c>
      <c r="I111" s="1295" t="s">
        <v>411</v>
      </c>
      <c r="J111" s="1294" t="s">
        <v>182</v>
      </c>
      <c r="K111" s="1508"/>
      <c r="L111" s="1296"/>
      <c r="M111" s="1297"/>
      <c r="N111" s="1298">
        <f>L111+M111</f>
        <v>0</v>
      </c>
      <c r="O111" s="1299"/>
      <c r="P111" s="1300"/>
      <c r="Q111" s="1301">
        <f t="shared" si="37"/>
        <v>0</v>
      </c>
      <c r="R111" s="1293"/>
      <c r="S111" s="1299">
        <f t="shared" si="38"/>
        <v>0</v>
      </c>
      <c r="T111" s="1302">
        <f t="shared" si="39"/>
        <v>0</v>
      </c>
      <c r="U111" s="1303">
        <f t="shared" si="40"/>
        <v>0</v>
      </c>
      <c r="V111" s="1309"/>
      <c r="W111" s="1300"/>
      <c r="X111" s="1306"/>
      <c r="Y111" s="1299"/>
      <c r="Z111" s="1300"/>
      <c r="AA111" s="1301"/>
      <c r="AB111" s="1310"/>
      <c r="AC111" s="1310"/>
      <c r="AD111" s="1311"/>
      <c r="AE111" s="1241"/>
      <c r="AF111" s="1241"/>
      <c r="AG111" s="1241"/>
      <c r="AH111" s="1241"/>
      <c r="AI111" s="1240"/>
      <c r="AJ111" s="1240"/>
      <c r="AK111" s="1240"/>
      <c r="AL111" s="1240"/>
      <c r="AM111" s="1240"/>
      <c r="AN111" s="1240"/>
      <c r="AO111" s="1240"/>
      <c r="AP111" s="1240"/>
      <c r="AQ111" s="1240"/>
      <c r="AR111" s="1240"/>
      <c r="AS111" s="1240"/>
    </row>
    <row r="112" spans="1:45" s="1238" customFormat="1" ht="26.25" customHeight="1">
      <c r="A112" s="2032"/>
      <c r="B112" s="1312" t="s">
        <v>15</v>
      </c>
      <c r="C112" s="1313"/>
      <c r="D112" s="1313"/>
      <c r="E112" s="1313"/>
      <c r="F112" s="1313"/>
      <c r="G112" s="1313"/>
      <c r="H112" s="1322"/>
      <c r="I112" s="1284"/>
      <c r="J112" s="1283"/>
      <c r="K112" s="1509" t="s">
        <v>185</v>
      </c>
      <c r="L112" s="1314">
        <f>GSO!L29</f>
        <v>25999</v>
      </c>
      <c r="M112" s="1362">
        <f>GSO!M29</f>
        <v>16350</v>
      </c>
      <c r="N112" s="1363">
        <f>GSO!N29</f>
        <v>42349</v>
      </c>
      <c r="O112" s="1132">
        <f>GSO!O29</f>
        <v>25440</v>
      </c>
      <c r="P112" s="1362">
        <f>GSO!P29</f>
        <v>11113</v>
      </c>
      <c r="Q112" s="1364">
        <f>GSO!Q29</f>
        <v>36553</v>
      </c>
      <c r="R112" s="1912" t="str">
        <f>GSO!R29</f>
        <v>ACTIVITY 09
</v>
      </c>
      <c r="S112" s="1134">
        <f t="shared" si="38"/>
        <v>559</v>
      </c>
      <c r="T112" s="1493">
        <f t="shared" si="39"/>
        <v>5237</v>
      </c>
      <c r="U112" s="1558">
        <f t="shared" si="40"/>
        <v>5796</v>
      </c>
      <c r="V112" s="1314">
        <f>GSO!V29</f>
        <v>599</v>
      </c>
      <c r="W112" s="1362">
        <f>GSO!W29</f>
        <v>5237</v>
      </c>
      <c r="X112" s="1363">
        <f>GSO!X29</f>
        <v>5836</v>
      </c>
      <c r="Y112" s="1132">
        <f>GSO!Y29</f>
        <v>0</v>
      </c>
      <c r="Z112" s="1362">
        <f>GSO!Z29</f>
        <v>0</v>
      </c>
      <c r="AA112" s="1364">
        <f>GSO!AA29</f>
        <v>0</v>
      </c>
      <c r="AB112" s="1362">
        <f>GSO!AB29</f>
        <v>599</v>
      </c>
      <c r="AC112" s="1362">
        <f>GSO!AC29</f>
        <v>5237</v>
      </c>
      <c r="AD112" s="1410">
        <f>GSO!AD29</f>
        <v>5836</v>
      </c>
      <c r="AE112" s="1241"/>
      <c r="AF112" s="1241"/>
      <c r="AG112" s="1241"/>
      <c r="AH112" s="1241"/>
      <c r="AI112" s="1240"/>
      <c r="AJ112" s="1240"/>
      <c r="AK112" s="1240"/>
      <c r="AL112" s="1240"/>
      <c r="AM112" s="1240"/>
      <c r="AN112" s="1240"/>
      <c r="AO112" s="1240"/>
      <c r="AP112" s="1240"/>
      <c r="AQ112" s="1240"/>
      <c r="AR112" s="1240"/>
      <c r="AS112" s="1240"/>
    </row>
    <row r="113" spans="1:45" s="1238" customFormat="1" ht="162" customHeight="1">
      <c r="A113" s="2032"/>
      <c r="B113" s="908" t="s">
        <v>491</v>
      </c>
      <c r="C113" s="1998" t="s">
        <v>176</v>
      </c>
      <c r="D113" s="1998"/>
      <c r="E113" s="908"/>
      <c r="F113" s="908"/>
      <c r="G113" s="908"/>
      <c r="H113" s="908" t="s">
        <v>364</v>
      </c>
      <c r="I113" s="1295" t="s">
        <v>412</v>
      </c>
      <c r="J113" s="1294" t="s">
        <v>182</v>
      </c>
      <c r="K113" s="1508"/>
      <c r="L113" s="1296"/>
      <c r="M113" s="1297"/>
      <c r="N113" s="1298">
        <f>L113+M113</f>
        <v>0</v>
      </c>
      <c r="O113" s="1299"/>
      <c r="P113" s="1300"/>
      <c r="Q113" s="1301">
        <f t="shared" si="37"/>
        <v>0</v>
      </c>
      <c r="R113" s="1293"/>
      <c r="S113" s="1299">
        <f t="shared" si="38"/>
        <v>0</v>
      </c>
      <c r="T113" s="1302">
        <f t="shared" si="39"/>
        <v>0</v>
      </c>
      <c r="U113" s="1303">
        <f t="shared" si="40"/>
        <v>0</v>
      </c>
      <c r="V113" s="1309"/>
      <c r="W113" s="1300"/>
      <c r="X113" s="1306"/>
      <c r="Y113" s="1299"/>
      <c r="Z113" s="1300"/>
      <c r="AA113" s="1301"/>
      <c r="AB113" s="1310"/>
      <c r="AC113" s="1310"/>
      <c r="AD113" s="1311"/>
      <c r="AE113" s="1241"/>
      <c r="AF113" s="1241"/>
      <c r="AG113" s="1241"/>
      <c r="AH113" s="1241"/>
      <c r="AI113" s="1240"/>
      <c r="AJ113" s="1240"/>
      <c r="AK113" s="1240"/>
      <c r="AL113" s="1240"/>
      <c r="AM113" s="1240"/>
      <c r="AN113" s="1240"/>
      <c r="AO113" s="1240"/>
      <c r="AP113" s="1240"/>
      <c r="AQ113" s="1240"/>
      <c r="AR113" s="1240"/>
      <c r="AS113" s="1240"/>
    </row>
    <row r="114" spans="1:45" s="1238" customFormat="1" ht="26.25" customHeight="1">
      <c r="A114" s="2032"/>
      <c r="B114" s="1312" t="s">
        <v>16</v>
      </c>
      <c r="C114" s="1322"/>
      <c r="D114" s="1322"/>
      <c r="E114" s="1322"/>
      <c r="F114" s="1322"/>
      <c r="G114" s="1322"/>
      <c r="H114" s="1322"/>
      <c r="I114" s="1284"/>
      <c r="J114" s="1283"/>
      <c r="K114" s="1509" t="s">
        <v>185</v>
      </c>
      <c r="L114" s="1314">
        <f>GSO!L31</f>
        <v>23738</v>
      </c>
      <c r="M114" s="1362">
        <f>GSO!M31</f>
        <v>4094</v>
      </c>
      <c r="N114" s="1363">
        <f>GSO!N31</f>
        <v>27832</v>
      </c>
      <c r="O114" s="1132">
        <f>GSO!O31</f>
        <v>15090</v>
      </c>
      <c r="P114" s="1362">
        <f>GSO!P31</f>
        <v>4094</v>
      </c>
      <c r="Q114" s="1364">
        <f>GSO!Q31</f>
        <v>19184</v>
      </c>
      <c r="R114" s="1912" t="str">
        <f>GSO!R31</f>
        <v>ACTIVITY 09
</v>
      </c>
      <c r="S114" s="1134">
        <f t="shared" si="38"/>
        <v>8648</v>
      </c>
      <c r="T114" s="1493">
        <f t="shared" si="39"/>
        <v>0</v>
      </c>
      <c r="U114" s="1558">
        <f t="shared" si="40"/>
        <v>8648</v>
      </c>
      <c r="V114" s="1314">
        <f>GSO!V31</f>
        <v>8648</v>
      </c>
      <c r="W114" s="1362">
        <f>GSO!W31</f>
        <v>6665</v>
      </c>
      <c r="X114" s="1363">
        <f>GSO!X31</f>
        <v>15313</v>
      </c>
      <c r="Y114" s="1132">
        <f>GSO!Y31</f>
        <v>0</v>
      </c>
      <c r="Z114" s="1362">
        <f>GSO!Z31</f>
        <v>0</v>
      </c>
      <c r="AA114" s="1364">
        <f>GSO!AA31</f>
        <v>0</v>
      </c>
      <c r="AB114" s="1362">
        <f>GSO!AB31</f>
        <v>8648</v>
      </c>
      <c r="AC114" s="1362">
        <f>GSO!AC31</f>
        <v>6665</v>
      </c>
      <c r="AD114" s="1410">
        <f>GSO!AD31</f>
        <v>15313</v>
      </c>
      <c r="AE114" s="1241"/>
      <c r="AF114" s="1241"/>
      <c r="AG114" s="1241"/>
      <c r="AH114" s="1241"/>
      <c r="AI114" s="1240"/>
      <c r="AJ114" s="1240"/>
      <c r="AK114" s="1240"/>
      <c r="AL114" s="1240"/>
      <c r="AM114" s="1240"/>
      <c r="AN114" s="1240"/>
      <c r="AO114" s="1240"/>
      <c r="AP114" s="1240"/>
      <c r="AQ114" s="1240"/>
      <c r="AR114" s="1240"/>
      <c r="AS114" s="1240"/>
    </row>
    <row r="115" spans="1:45" s="1238" customFormat="1" ht="150" customHeight="1">
      <c r="A115" s="2032"/>
      <c r="B115" s="908" t="s">
        <v>494</v>
      </c>
      <c r="C115" s="1998" t="s">
        <v>176</v>
      </c>
      <c r="D115" s="1998" t="s">
        <v>176</v>
      </c>
      <c r="E115" s="908"/>
      <c r="F115" s="908"/>
      <c r="G115" s="908"/>
      <c r="H115" s="908" t="s">
        <v>167</v>
      </c>
      <c r="I115" s="1295" t="s">
        <v>327</v>
      </c>
      <c r="J115" s="1294" t="s">
        <v>182</v>
      </c>
      <c r="K115" s="1508"/>
      <c r="L115" s="1296"/>
      <c r="M115" s="1297"/>
      <c r="N115" s="1298">
        <f>L115+M115</f>
        <v>0</v>
      </c>
      <c r="O115" s="1299"/>
      <c r="P115" s="1300"/>
      <c r="Q115" s="1301">
        <f t="shared" si="37"/>
        <v>0</v>
      </c>
      <c r="R115" s="1293"/>
      <c r="S115" s="1299">
        <f t="shared" si="38"/>
        <v>0</v>
      </c>
      <c r="T115" s="1302">
        <f t="shared" si="39"/>
        <v>0</v>
      </c>
      <c r="U115" s="1303">
        <f t="shared" si="40"/>
        <v>0</v>
      </c>
      <c r="V115" s="1309"/>
      <c r="W115" s="1300"/>
      <c r="X115" s="1306"/>
      <c r="Y115" s="1299"/>
      <c r="Z115" s="1300"/>
      <c r="AA115" s="1301"/>
      <c r="AB115" s="1310"/>
      <c r="AC115" s="1310"/>
      <c r="AD115" s="1311"/>
      <c r="AE115" s="1241"/>
      <c r="AF115" s="1241"/>
      <c r="AG115" s="1241"/>
      <c r="AH115" s="1241"/>
      <c r="AI115" s="1240"/>
      <c r="AJ115" s="1240"/>
      <c r="AK115" s="1240"/>
      <c r="AL115" s="1240"/>
      <c r="AM115" s="1240"/>
      <c r="AN115" s="1240"/>
      <c r="AO115" s="1240"/>
      <c r="AP115" s="1240"/>
      <c r="AQ115" s="1240"/>
      <c r="AR115" s="1240"/>
      <c r="AS115" s="1240"/>
    </row>
    <row r="116" spans="1:45" s="1238" customFormat="1" ht="26.25" customHeight="1">
      <c r="A116" s="2032"/>
      <c r="B116" s="1312" t="s">
        <v>17</v>
      </c>
      <c r="C116" s="1322"/>
      <c r="D116" s="1322"/>
      <c r="E116" s="1322"/>
      <c r="F116" s="1322"/>
      <c r="G116" s="1322"/>
      <c r="H116" s="1322"/>
      <c r="I116" s="1284"/>
      <c r="J116" s="1283"/>
      <c r="K116" s="1509" t="s">
        <v>185</v>
      </c>
      <c r="L116" s="1314">
        <f>MOLISA!L72</f>
        <v>25000</v>
      </c>
      <c r="M116" s="1362">
        <f>MOLISA!M72</f>
        <v>15922</v>
      </c>
      <c r="N116" s="1363">
        <f>MOLISA!N72</f>
        <v>40922</v>
      </c>
      <c r="O116" s="1132">
        <f>MOLISA!O72</f>
        <v>2379</v>
      </c>
      <c r="P116" s="1362">
        <f>MOLISA!P72</f>
        <v>126</v>
      </c>
      <c r="Q116" s="1364">
        <f>MOLISA!Q72</f>
        <v>2505</v>
      </c>
      <c r="R116" s="1912" t="str">
        <f>MOLISA!R72</f>
        <v>ACTIVITY 07</v>
      </c>
      <c r="S116" s="1134">
        <f t="shared" si="38"/>
        <v>22621</v>
      </c>
      <c r="T116" s="1493">
        <f t="shared" si="39"/>
        <v>15796</v>
      </c>
      <c r="U116" s="1558">
        <f t="shared" si="40"/>
        <v>38417</v>
      </c>
      <c r="V116" s="1314">
        <f>MOLISA!V72</f>
        <v>36621</v>
      </c>
      <c r="W116" s="1362">
        <f>MOLISA!W72</f>
        <v>15796.42</v>
      </c>
      <c r="X116" s="1363">
        <f>MOLISA!X72</f>
        <v>52417.42</v>
      </c>
      <c r="Y116" s="1132">
        <f>MOLISA!Y72</f>
        <v>0</v>
      </c>
      <c r="Z116" s="1362">
        <f>MOLISA!Z72</f>
        <v>0</v>
      </c>
      <c r="AA116" s="1364">
        <f>MOLISA!AA72</f>
        <v>0</v>
      </c>
      <c r="AB116" s="1362">
        <f>MOLISA!AB72</f>
        <v>36621</v>
      </c>
      <c r="AC116" s="1362">
        <f>MOLISA!AC72</f>
        <v>15796.42</v>
      </c>
      <c r="AD116" s="1410">
        <f>MOLISA!AD72</f>
        <v>52417.42</v>
      </c>
      <c r="AE116" s="1241"/>
      <c r="AF116" s="1241"/>
      <c r="AG116" s="1241"/>
      <c r="AH116" s="1241"/>
      <c r="AI116" s="1240"/>
      <c r="AJ116" s="1240"/>
      <c r="AK116" s="1240"/>
      <c r="AL116" s="1240"/>
      <c r="AM116" s="1240"/>
      <c r="AN116" s="1240"/>
      <c r="AO116" s="1240"/>
      <c r="AP116" s="1240"/>
      <c r="AQ116" s="1240"/>
      <c r="AR116" s="1240"/>
      <c r="AS116" s="1240"/>
    </row>
    <row r="117" spans="1:45" s="1238" customFormat="1" ht="126.75" customHeight="1">
      <c r="A117" s="1343"/>
      <c r="B117" s="908" t="s">
        <v>590</v>
      </c>
      <c r="C117" s="908"/>
      <c r="D117" s="1998" t="s">
        <v>176</v>
      </c>
      <c r="E117" s="908" t="s">
        <v>176</v>
      </c>
      <c r="F117" s="908" t="s">
        <v>176</v>
      </c>
      <c r="G117" s="908"/>
      <c r="H117" s="908" t="s">
        <v>167</v>
      </c>
      <c r="I117" s="1295" t="s">
        <v>307</v>
      </c>
      <c r="J117" s="1294" t="s">
        <v>142</v>
      </c>
      <c r="K117" s="1508"/>
      <c r="L117" s="1296"/>
      <c r="M117" s="1297"/>
      <c r="N117" s="1298">
        <f>L117+M117</f>
        <v>0</v>
      </c>
      <c r="O117" s="1299"/>
      <c r="P117" s="1300"/>
      <c r="Q117" s="1301">
        <f t="shared" si="37"/>
        <v>0</v>
      </c>
      <c r="R117" s="1293"/>
      <c r="S117" s="1299">
        <f t="shared" si="38"/>
        <v>0</v>
      </c>
      <c r="T117" s="1302">
        <f t="shared" si="39"/>
        <v>0</v>
      </c>
      <c r="U117" s="1303">
        <f t="shared" si="40"/>
        <v>0</v>
      </c>
      <c r="V117" s="1309"/>
      <c r="W117" s="1300"/>
      <c r="X117" s="1306"/>
      <c r="Y117" s="1299"/>
      <c r="Z117" s="1300"/>
      <c r="AA117" s="1301"/>
      <c r="AB117" s="1310"/>
      <c r="AC117" s="1310"/>
      <c r="AD117" s="1311"/>
      <c r="AE117" s="1241"/>
      <c r="AF117" s="1241"/>
      <c r="AG117" s="1241"/>
      <c r="AH117" s="1241"/>
      <c r="AI117" s="1240"/>
      <c r="AJ117" s="1240"/>
      <c r="AK117" s="1240"/>
      <c r="AL117" s="1240"/>
      <c r="AM117" s="1240"/>
      <c r="AN117" s="1240"/>
      <c r="AO117" s="1240"/>
      <c r="AP117" s="1240"/>
      <c r="AQ117" s="1240"/>
      <c r="AR117" s="1240"/>
      <c r="AS117" s="1240"/>
    </row>
    <row r="118" spans="1:45" s="1238" customFormat="1" ht="28.5" customHeight="1">
      <c r="A118" s="1343"/>
      <c r="B118" s="1312" t="s">
        <v>18</v>
      </c>
      <c r="C118" s="1322"/>
      <c r="D118" s="1322"/>
      <c r="E118" s="1322"/>
      <c r="F118" s="1322"/>
      <c r="G118" s="1322"/>
      <c r="H118" s="1322"/>
      <c r="I118" s="1284"/>
      <c r="J118" s="1283"/>
      <c r="K118" s="1509" t="s">
        <v>185</v>
      </c>
      <c r="L118" s="1314">
        <f>MOLISA!L74</f>
        <v>0</v>
      </c>
      <c r="M118" s="1362">
        <f>MOLISA!M74</f>
        <v>28037</v>
      </c>
      <c r="N118" s="1363">
        <f>MOLISA!N74</f>
        <v>28037</v>
      </c>
      <c r="O118" s="1132">
        <f>MOLISA!O74</f>
        <v>0</v>
      </c>
      <c r="P118" s="1362">
        <f>MOLISA!P74</f>
        <v>0</v>
      </c>
      <c r="Q118" s="1364">
        <f>MOLISA!Q74</f>
        <v>0</v>
      </c>
      <c r="R118" s="1912"/>
      <c r="S118" s="1134">
        <f t="shared" si="38"/>
        <v>0</v>
      </c>
      <c r="T118" s="1493">
        <f t="shared" si="39"/>
        <v>28037</v>
      </c>
      <c r="U118" s="1558">
        <f t="shared" si="40"/>
        <v>28037</v>
      </c>
      <c r="V118" s="1314">
        <f>MOLISA!V74</f>
        <v>0</v>
      </c>
      <c r="W118" s="1362">
        <f>MOLISA!W74</f>
        <v>28037</v>
      </c>
      <c r="X118" s="1363">
        <f>MOLISA!X74</f>
        <v>28037</v>
      </c>
      <c r="Y118" s="1132">
        <f>MOLISA!Y74</f>
        <v>0</v>
      </c>
      <c r="Z118" s="1362">
        <f>MOLISA!Z74</f>
        <v>0</v>
      </c>
      <c r="AA118" s="1364">
        <f>MOLISA!AA74</f>
        <v>0</v>
      </c>
      <c r="AB118" s="1362">
        <f>MOLISA!AB74</f>
        <v>0</v>
      </c>
      <c r="AC118" s="1362">
        <f>MOLISA!AC74</f>
        <v>28037</v>
      </c>
      <c r="AD118" s="1410">
        <f>MOLISA!AD74</f>
        <v>28037</v>
      </c>
      <c r="AE118" s="1241"/>
      <c r="AF118" s="1241"/>
      <c r="AG118" s="1241"/>
      <c r="AH118" s="1241"/>
      <c r="AI118" s="1240"/>
      <c r="AJ118" s="1240"/>
      <c r="AK118" s="1240"/>
      <c r="AL118" s="1240"/>
      <c r="AM118" s="1240"/>
      <c r="AN118" s="1240"/>
      <c r="AO118" s="1240"/>
      <c r="AP118" s="1240"/>
      <c r="AQ118" s="1240"/>
      <c r="AR118" s="1240"/>
      <c r="AS118" s="1240"/>
    </row>
    <row r="119" spans="1:45" s="1238" customFormat="1" ht="29.25" customHeight="1">
      <c r="A119" s="1435"/>
      <c r="B119" s="1418" t="s">
        <v>341</v>
      </c>
      <c r="C119" s="1434"/>
      <c r="D119" s="1434"/>
      <c r="E119" s="1434"/>
      <c r="F119" s="1434"/>
      <c r="G119" s="1434"/>
      <c r="H119" s="1421"/>
      <c r="I119" s="1425"/>
      <c r="J119" s="1421"/>
      <c r="K119" s="1516"/>
      <c r="L119" s="1535">
        <f>SUM(L109:L118)</f>
        <v>92737</v>
      </c>
      <c r="M119" s="1423">
        <f aca="true" t="shared" si="41" ref="M119:AD119">SUM(M109:M118)</f>
        <v>78603</v>
      </c>
      <c r="N119" s="1536">
        <f t="shared" si="41"/>
        <v>171340</v>
      </c>
      <c r="O119" s="1527">
        <f t="shared" si="41"/>
        <v>85743</v>
      </c>
      <c r="P119" s="1423">
        <f t="shared" si="41"/>
        <v>26000</v>
      </c>
      <c r="Q119" s="1550">
        <f t="shared" si="41"/>
        <v>111743</v>
      </c>
      <c r="R119" s="1423"/>
      <c r="S119" s="1527">
        <f t="shared" si="41"/>
        <v>6994</v>
      </c>
      <c r="T119" s="1423">
        <f t="shared" si="41"/>
        <v>52603</v>
      </c>
      <c r="U119" s="1550">
        <f t="shared" si="41"/>
        <v>59597</v>
      </c>
      <c r="V119" s="1535">
        <f t="shared" si="41"/>
        <v>45868</v>
      </c>
      <c r="W119" s="1423">
        <f t="shared" si="41"/>
        <v>64935.42</v>
      </c>
      <c r="X119" s="1536">
        <f t="shared" si="41"/>
        <v>110803.42</v>
      </c>
      <c r="Y119" s="1527">
        <f t="shared" si="41"/>
        <v>0</v>
      </c>
      <c r="Z119" s="1423">
        <f t="shared" si="41"/>
        <v>0</v>
      </c>
      <c r="AA119" s="1550">
        <f t="shared" si="41"/>
        <v>0</v>
      </c>
      <c r="AB119" s="1423">
        <f t="shared" si="41"/>
        <v>45868</v>
      </c>
      <c r="AC119" s="1423">
        <f t="shared" si="41"/>
        <v>64935.42</v>
      </c>
      <c r="AD119" s="1426">
        <f t="shared" si="41"/>
        <v>110803.42</v>
      </c>
      <c r="AE119" s="1241"/>
      <c r="AF119" s="1241"/>
      <c r="AG119" s="1241"/>
      <c r="AH119" s="1241"/>
      <c r="AI119" s="1240"/>
      <c r="AJ119" s="1240"/>
      <c r="AK119" s="1240"/>
      <c r="AL119" s="1240"/>
      <c r="AM119" s="1240"/>
      <c r="AN119" s="1240"/>
      <c r="AO119" s="1240"/>
      <c r="AP119" s="1240"/>
      <c r="AQ119" s="1240"/>
      <c r="AR119" s="1240"/>
      <c r="AS119" s="1240"/>
    </row>
    <row r="120" spans="1:45" s="1238" customFormat="1" ht="120.75" customHeight="1">
      <c r="A120" s="2031" t="s">
        <v>591</v>
      </c>
      <c r="B120" s="908" t="s">
        <v>592</v>
      </c>
      <c r="C120" s="1998" t="s">
        <v>176</v>
      </c>
      <c r="D120" s="1998" t="s">
        <v>176</v>
      </c>
      <c r="E120" s="908" t="s">
        <v>176</v>
      </c>
      <c r="F120" s="908" t="s">
        <v>176</v>
      </c>
      <c r="G120" s="908" t="s">
        <v>176</v>
      </c>
      <c r="H120" s="908" t="s">
        <v>364</v>
      </c>
      <c r="I120" s="1310" t="s">
        <v>364</v>
      </c>
      <c r="J120" s="1294" t="s">
        <v>179</v>
      </c>
      <c r="K120" s="1508"/>
      <c r="L120" s="1296"/>
      <c r="M120" s="1297"/>
      <c r="N120" s="1298">
        <f>L120+M120</f>
        <v>0</v>
      </c>
      <c r="O120" s="1299"/>
      <c r="P120" s="1300">
        <f>GSO!P33</f>
        <v>0</v>
      </c>
      <c r="Q120" s="1301">
        <f>O120+P120</f>
        <v>0</v>
      </c>
      <c r="R120" s="1293"/>
      <c r="S120" s="1299">
        <f aca="true" t="shared" si="42" ref="S120:S127">L120-O120</f>
        <v>0</v>
      </c>
      <c r="T120" s="1302">
        <f aca="true" t="shared" si="43" ref="T120:T127">M120-P120</f>
        <v>0</v>
      </c>
      <c r="U120" s="1303">
        <f aca="true" t="shared" si="44" ref="U120:U127">S120+T120</f>
        <v>0</v>
      </c>
      <c r="V120" s="1309"/>
      <c r="W120" s="1300"/>
      <c r="X120" s="1306"/>
      <c r="Y120" s="1349"/>
      <c r="Z120" s="1317"/>
      <c r="AA120" s="1905"/>
      <c r="AB120" s="1310"/>
      <c r="AC120" s="1310"/>
      <c r="AD120" s="1311"/>
      <c r="AE120" s="1241"/>
      <c r="AF120" s="1241"/>
      <c r="AG120" s="1241"/>
      <c r="AH120" s="1241"/>
      <c r="AI120" s="1240"/>
      <c r="AJ120" s="1240"/>
      <c r="AK120" s="1240"/>
      <c r="AL120" s="1240"/>
      <c r="AM120" s="1240"/>
      <c r="AN120" s="1240"/>
      <c r="AO120" s="1240"/>
      <c r="AP120" s="1240"/>
      <c r="AQ120" s="1240"/>
      <c r="AR120" s="1240"/>
      <c r="AS120" s="1240"/>
    </row>
    <row r="121" spans="1:45" s="1238" customFormat="1" ht="48" customHeight="1">
      <c r="A121" s="2032"/>
      <c r="B121" s="1312" t="s">
        <v>102</v>
      </c>
      <c r="C121" s="1313"/>
      <c r="D121" s="1313"/>
      <c r="E121" s="1313"/>
      <c r="F121" s="1313"/>
      <c r="G121" s="1313"/>
      <c r="H121" s="1322"/>
      <c r="I121" s="1284"/>
      <c r="J121" s="1283"/>
      <c r="K121" s="1509" t="s">
        <v>185</v>
      </c>
      <c r="L121" s="1314">
        <f>GSO!L34</f>
        <v>0</v>
      </c>
      <c r="M121" s="1362">
        <f>GSO!M34</f>
        <v>0</v>
      </c>
      <c r="N121" s="1363">
        <f>GSO!N34</f>
        <v>0</v>
      </c>
      <c r="O121" s="1132">
        <f>GSO!O34</f>
        <v>0</v>
      </c>
      <c r="P121" s="1362">
        <f>GSO!P34</f>
        <v>0</v>
      </c>
      <c r="Q121" s="1364">
        <f>GSO!Q34</f>
        <v>0</v>
      </c>
      <c r="R121" s="1912" t="str">
        <f>GSO!R34</f>
        <v>ACTIVITY 09
</v>
      </c>
      <c r="S121" s="1134">
        <f t="shared" si="42"/>
        <v>0</v>
      </c>
      <c r="T121" s="1493">
        <f t="shared" si="43"/>
        <v>0</v>
      </c>
      <c r="U121" s="1558">
        <f t="shared" si="44"/>
        <v>0</v>
      </c>
      <c r="V121" s="1314">
        <f>GSO!V34</f>
        <v>22500</v>
      </c>
      <c r="W121" s="1362">
        <f>GSO!W34</f>
        <v>14741</v>
      </c>
      <c r="X121" s="1363">
        <f>GSO!X34</f>
        <v>37241</v>
      </c>
      <c r="Y121" s="1132">
        <f>GSO!Y34</f>
        <v>22500</v>
      </c>
      <c r="Z121" s="1362">
        <f>GSO!Z34</f>
        <v>0</v>
      </c>
      <c r="AA121" s="1364">
        <f>GSO!AA34</f>
        <v>22500</v>
      </c>
      <c r="AB121" s="1362">
        <f>GSO!AB34</f>
        <v>45000</v>
      </c>
      <c r="AC121" s="1362">
        <f>GSO!AC34</f>
        <v>14741</v>
      </c>
      <c r="AD121" s="1410">
        <f>GSO!AD34</f>
        <v>59741</v>
      </c>
      <c r="AE121" s="1241"/>
      <c r="AF121" s="1241"/>
      <c r="AG121" s="1241"/>
      <c r="AH121" s="1241"/>
      <c r="AI121" s="1240"/>
      <c r="AJ121" s="1240"/>
      <c r="AK121" s="1240"/>
      <c r="AL121" s="1240"/>
      <c r="AM121" s="1240"/>
      <c r="AN121" s="1240"/>
      <c r="AO121" s="1240"/>
      <c r="AP121" s="1240"/>
      <c r="AQ121" s="1240"/>
      <c r="AR121" s="1240"/>
      <c r="AS121" s="1240"/>
    </row>
    <row r="122" spans="1:45" s="1238" customFormat="1" ht="142.5" customHeight="1">
      <c r="A122" s="2032"/>
      <c r="B122" s="908" t="s">
        <v>496</v>
      </c>
      <c r="C122" s="908"/>
      <c r="D122" s="1998" t="s">
        <v>176</v>
      </c>
      <c r="E122" s="908" t="s">
        <v>176</v>
      </c>
      <c r="F122" s="908" t="s">
        <v>176</v>
      </c>
      <c r="G122" s="908"/>
      <c r="H122" s="908" t="s">
        <v>167</v>
      </c>
      <c r="I122" s="1295" t="s">
        <v>167</v>
      </c>
      <c r="J122" s="1294" t="s">
        <v>179</v>
      </c>
      <c r="K122" s="1508"/>
      <c r="L122" s="1296"/>
      <c r="M122" s="1297"/>
      <c r="N122" s="1298">
        <f>L122+M122</f>
        <v>0</v>
      </c>
      <c r="O122" s="1299"/>
      <c r="P122" s="1300">
        <f>GSO!P35</f>
        <v>0</v>
      </c>
      <c r="Q122" s="1301">
        <f>O122+P122</f>
        <v>0</v>
      </c>
      <c r="R122" s="1293"/>
      <c r="S122" s="1299">
        <f t="shared" si="42"/>
        <v>0</v>
      </c>
      <c r="T122" s="1302">
        <f t="shared" si="43"/>
        <v>0</v>
      </c>
      <c r="U122" s="1303">
        <f t="shared" si="44"/>
        <v>0</v>
      </c>
      <c r="V122" s="1309"/>
      <c r="W122" s="1300"/>
      <c r="X122" s="1306"/>
      <c r="Y122" s="1299"/>
      <c r="Z122" s="1300"/>
      <c r="AA122" s="1301"/>
      <c r="AB122" s="1310"/>
      <c r="AC122" s="1310"/>
      <c r="AD122" s="1311"/>
      <c r="AE122" s="1241"/>
      <c r="AF122" s="1241"/>
      <c r="AG122" s="1241"/>
      <c r="AH122" s="1241"/>
      <c r="AI122" s="1240"/>
      <c r="AJ122" s="1240"/>
      <c r="AK122" s="1240"/>
      <c r="AL122" s="1240"/>
      <c r="AM122" s="1240"/>
      <c r="AN122" s="1240"/>
      <c r="AO122" s="1240"/>
      <c r="AP122" s="1240"/>
      <c r="AQ122" s="1240"/>
      <c r="AR122" s="1240"/>
      <c r="AS122" s="1240"/>
    </row>
    <row r="123" spans="1:45" s="1238" customFormat="1" ht="30" customHeight="1">
      <c r="A123" s="2032"/>
      <c r="B123" s="1312" t="s">
        <v>31</v>
      </c>
      <c r="C123" s="1313"/>
      <c r="D123" s="1313"/>
      <c r="E123" s="1313"/>
      <c r="F123" s="1313"/>
      <c r="G123" s="1313"/>
      <c r="H123" s="1322"/>
      <c r="I123" s="1284"/>
      <c r="J123" s="1283"/>
      <c r="K123" s="1509" t="s">
        <v>185</v>
      </c>
      <c r="L123" s="1314">
        <f>MOLISA!L77</f>
        <v>17000</v>
      </c>
      <c r="M123" s="1362">
        <f>MOLISA!M77</f>
        <v>15336</v>
      </c>
      <c r="N123" s="1363">
        <f>MOLISA!N77</f>
        <v>32336</v>
      </c>
      <c r="O123" s="1132">
        <f>MOLISA!O77</f>
        <v>0</v>
      </c>
      <c r="P123" s="1362">
        <f>MOLISA!P77</f>
        <v>0</v>
      </c>
      <c r="Q123" s="1364">
        <f>MOLISA!Q77</f>
        <v>0</v>
      </c>
      <c r="R123" s="1912" t="str">
        <f>MOLISA!R77</f>
        <v>ACTIVITY 07</v>
      </c>
      <c r="S123" s="1134">
        <f t="shared" si="42"/>
        <v>17000</v>
      </c>
      <c r="T123" s="1493">
        <f t="shared" si="43"/>
        <v>15336</v>
      </c>
      <c r="U123" s="1558">
        <f t="shared" si="44"/>
        <v>32336</v>
      </c>
      <c r="V123" s="1314">
        <f>MOLISA!V77</f>
        <v>97156</v>
      </c>
      <c r="W123" s="1362">
        <f>MOLISA!W77</f>
        <v>22300</v>
      </c>
      <c r="X123" s="1363">
        <f>MOLISA!X77</f>
        <v>119456</v>
      </c>
      <c r="Y123" s="1132">
        <f>MOLISA!Y77</f>
        <v>0</v>
      </c>
      <c r="Z123" s="1362">
        <f>MOLISA!Z77</f>
        <v>0</v>
      </c>
      <c r="AA123" s="1364">
        <f>MOLISA!AA77</f>
        <v>0</v>
      </c>
      <c r="AB123" s="1362">
        <f>MOLISA!AB77</f>
        <v>97156</v>
      </c>
      <c r="AC123" s="1362">
        <f>MOLISA!AC77</f>
        <v>22300</v>
      </c>
      <c r="AD123" s="1410">
        <f>MOLISA!AD77</f>
        <v>119456</v>
      </c>
      <c r="AE123" s="1241"/>
      <c r="AF123" s="1241"/>
      <c r="AG123" s="1241"/>
      <c r="AH123" s="1241"/>
      <c r="AI123" s="1240"/>
      <c r="AJ123" s="1240"/>
      <c r="AK123" s="1240"/>
      <c r="AL123" s="1240"/>
      <c r="AM123" s="1240"/>
      <c r="AN123" s="1240"/>
      <c r="AO123" s="1240"/>
      <c r="AP123" s="1240"/>
      <c r="AQ123" s="1240"/>
      <c r="AR123" s="1240"/>
      <c r="AS123" s="1240"/>
    </row>
    <row r="124" spans="1:45" s="1238" customFormat="1" ht="106.5" customHeight="1">
      <c r="A124" s="2032"/>
      <c r="B124" s="908" t="s">
        <v>593</v>
      </c>
      <c r="C124" s="908"/>
      <c r="D124" s="908"/>
      <c r="E124" s="908" t="s">
        <v>176</v>
      </c>
      <c r="F124" s="908" t="s">
        <v>176</v>
      </c>
      <c r="G124" s="908"/>
      <c r="H124" s="908" t="s">
        <v>364</v>
      </c>
      <c r="I124" s="1295" t="s">
        <v>366</v>
      </c>
      <c r="J124" s="1294" t="s">
        <v>153</v>
      </c>
      <c r="K124" s="1508"/>
      <c r="L124" s="1296"/>
      <c r="M124" s="1297"/>
      <c r="N124" s="1298">
        <f>L124+M124</f>
        <v>0</v>
      </c>
      <c r="O124" s="1299"/>
      <c r="P124" s="1300">
        <f>GSO!P37</f>
        <v>0</v>
      </c>
      <c r="Q124" s="1301">
        <f>O124+P124</f>
        <v>0</v>
      </c>
      <c r="R124" s="1293"/>
      <c r="S124" s="1299">
        <f t="shared" si="42"/>
        <v>0</v>
      </c>
      <c r="T124" s="1302">
        <f t="shared" si="43"/>
        <v>0</v>
      </c>
      <c r="U124" s="1303">
        <f t="shared" si="44"/>
        <v>0</v>
      </c>
      <c r="V124" s="1309"/>
      <c r="W124" s="1300"/>
      <c r="X124" s="1306"/>
      <c r="Y124" s="1299"/>
      <c r="Z124" s="1300"/>
      <c r="AA124" s="1301"/>
      <c r="AB124" s="1310"/>
      <c r="AC124" s="1310"/>
      <c r="AD124" s="1311"/>
      <c r="AE124" s="1241"/>
      <c r="AF124" s="1241"/>
      <c r="AG124" s="1241"/>
      <c r="AH124" s="1241"/>
      <c r="AI124" s="1240"/>
      <c r="AJ124" s="1240"/>
      <c r="AK124" s="1240"/>
      <c r="AL124" s="1240"/>
      <c r="AM124" s="1240"/>
      <c r="AN124" s="1240"/>
      <c r="AO124" s="1240"/>
      <c r="AP124" s="1240"/>
      <c r="AQ124" s="1240"/>
      <c r="AR124" s="1240"/>
      <c r="AS124" s="1240"/>
    </row>
    <row r="125" spans="1:45" s="1238" customFormat="1" ht="36.75" customHeight="1">
      <c r="A125" s="2032"/>
      <c r="B125" s="1312" t="s">
        <v>32</v>
      </c>
      <c r="C125" s="1313"/>
      <c r="D125" s="1313"/>
      <c r="E125" s="1313"/>
      <c r="F125" s="1313"/>
      <c r="G125" s="1313"/>
      <c r="H125" s="1322"/>
      <c r="I125" s="1284"/>
      <c r="J125" s="1283"/>
      <c r="K125" s="1509" t="s">
        <v>185</v>
      </c>
      <c r="L125" s="1314">
        <f>GSO!L36</f>
        <v>5000</v>
      </c>
      <c r="M125" s="1362">
        <f>GSO!M36</f>
        <v>0</v>
      </c>
      <c r="N125" s="1363">
        <f>GSO!N36</f>
        <v>5000</v>
      </c>
      <c r="O125" s="1132">
        <f>GSO!O36</f>
        <v>2155</v>
      </c>
      <c r="P125" s="1362">
        <f>GSO!P36</f>
        <v>0</v>
      </c>
      <c r="Q125" s="1364">
        <f>GSO!Q36</f>
        <v>2155</v>
      </c>
      <c r="R125" s="1912" t="str">
        <f>GSO!R36</f>
        <v>ACTIVITY 09
</v>
      </c>
      <c r="S125" s="1134">
        <f t="shared" si="42"/>
        <v>2845</v>
      </c>
      <c r="T125" s="1493">
        <f t="shared" si="43"/>
        <v>0</v>
      </c>
      <c r="U125" s="1558">
        <f t="shared" si="44"/>
        <v>2845</v>
      </c>
      <c r="V125" s="1314">
        <f>GSO!V36</f>
        <v>7845</v>
      </c>
      <c r="W125" s="1362">
        <f>GSO!W36</f>
        <v>0</v>
      </c>
      <c r="X125" s="1363">
        <f>GSO!X36</f>
        <v>7845</v>
      </c>
      <c r="Y125" s="1132">
        <f>GSO!Y36</f>
        <v>0</v>
      </c>
      <c r="Z125" s="1362">
        <f>GSO!Z36</f>
        <v>0</v>
      </c>
      <c r="AA125" s="1364">
        <f>GSO!AA36</f>
        <v>0</v>
      </c>
      <c r="AB125" s="1362">
        <f>GSO!AB36</f>
        <v>7845</v>
      </c>
      <c r="AC125" s="1362">
        <f>GSO!AC36</f>
        <v>0</v>
      </c>
      <c r="AD125" s="1410">
        <f>GSO!AD36</f>
        <v>7845</v>
      </c>
      <c r="AE125" s="1241"/>
      <c r="AF125" s="1241"/>
      <c r="AG125" s="1241"/>
      <c r="AH125" s="1241"/>
      <c r="AI125" s="1240"/>
      <c r="AJ125" s="1240"/>
      <c r="AK125" s="1240"/>
      <c r="AL125" s="1240"/>
      <c r="AM125" s="1240"/>
      <c r="AN125" s="1240"/>
      <c r="AO125" s="1240"/>
      <c r="AP125" s="1240"/>
      <c r="AQ125" s="1240"/>
      <c r="AR125" s="1240"/>
      <c r="AS125" s="1240"/>
    </row>
    <row r="126" spans="1:45" s="1238" customFormat="1" ht="108" customHeight="1">
      <c r="A126" s="1350"/>
      <c r="B126" s="908" t="s">
        <v>594</v>
      </c>
      <c r="C126" s="1998" t="s">
        <v>176</v>
      </c>
      <c r="D126" s="1998" t="s">
        <v>176</v>
      </c>
      <c r="E126" s="908" t="s">
        <v>176</v>
      </c>
      <c r="F126" s="908" t="s">
        <v>176</v>
      </c>
      <c r="G126" s="908" t="s">
        <v>176</v>
      </c>
      <c r="H126" s="908" t="s">
        <v>364</v>
      </c>
      <c r="I126" s="1295" t="s">
        <v>366</v>
      </c>
      <c r="J126" s="1294" t="s">
        <v>153</v>
      </c>
      <c r="K126" s="1508"/>
      <c r="L126" s="1296">
        <f>GSO!L37</f>
        <v>0</v>
      </c>
      <c r="M126" s="1297">
        <f>GSO!M37</f>
        <v>0</v>
      </c>
      <c r="N126" s="1298">
        <f>GSO!N37</f>
        <v>0</v>
      </c>
      <c r="O126" s="1299">
        <f>GSO!O37</f>
        <v>0</v>
      </c>
      <c r="P126" s="1300">
        <f>GSO!P37</f>
        <v>0</v>
      </c>
      <c r="Q126" s="1301">
        <f>GSO!Q37</f>
        <v>0</v>
      </c>
      <c r="R126" s="1293"/>
      <c r="S126" s="1299">
        <f t="shared" si="42"/>
        <v>0</v>
      </c>
      <c r="T126" s="1302">
        <f t="shared" si="43"/>
        <v>0</v>
      </c>
      <c r="U126" s="1303">
        <f t="shared" si="44"/>
        <v>0</v>
      </c>
      <c r="V126" s="1309">
        <f>GSO!V37</f>
        <v>0</v>
      </c>
      <c r="W126" s="1300">
        <f>GSO!W37</f>
        <v>0</v>
      </c>
      <c r="X126" s="1306">
        <f>GSO!X37</f>
        <v>0</v>
      </c>
      <c r="Y126" s="1299">
        <f>GSO!Y37</f>
        <v>0</v>
      </c>
      <c r="Z126" s="1300">
        <f>GSO!Z37</f>
        <v>0</v>
      </c>
      <c r="AA126" s="1301">
        <f>GSO!AA37</f>
        <v>0</v>
      </c>
      <c r="AB126" s="1310"/>
      <c r="AC126" s="1310"/>
      <c r="AD126" s="1311"/>
      <c r="AE126" s="1241"/>
      <c r="AF126" s="1241"/>
      <c r="AG126" s="1241"/>
      <c r="AH126" s="1241"/>
      <c r="AI126" s="1240"/>
      <c r="AJ126" s="1240"/>
      <c r="AK126" s="1240"/>
      <c r="AL126" s="1240"/>
      <c r="AM126" s="1240"/>
      <c r="AN126" s="1240"/>
      <c r="AO126" s="1240"/>
      <c r="AP126" s="1240"/>
      <c r="AQ126" s="1240"/>
      <c r="AR126" s="1240"/>
      <c r="AS126" s="1240"/>
    </row>
    <row r="127" spans="1:45" s="1238" customFormat="1" ht="36.75" customHeight="1">
      <c r="A127" s="1350"/>
      <c r="B127" s="1312" t="s">
        <v>80</v>
      </c>
      <c r="C127" s="1313"/>
      <c r="D127" s="1313"/>
      <c r="E127" s="1313"/>
      <c r="F127" s="1313"/>
      <c r="G127" s="1313"/>
      <c r="H127" s="1322"/>
      <c r="I127" s="1284"/>
      <c r="J127" s="1283"/>
      <c r="K127" s="1509" t="str">
        <f>GSO!K38</f>
        <v>CONTRACT</v>
      </c>
      <c r="L127" s="1314">
        <f>GSO!L38</f>
        <v>0</v>
      </c>
      <c r="M127" s="1362">
        <f>GSO!M38</f>
        <v>0</v>
      </c>
      <c r="N127" s="1363">
        <f>GSO!N38</f>
        <v>0</v>
      </c>
      <c r="O127" s="1132">
        <f>GSO!O38</f>
        <v>0</v>
      </c>
      <c r="P127" s="1362">
        <f>GSO!P38</f>
        <v>0</v>
      </c>
      <c r="Q127" s="1364">
        <f>GSO!Q38</f>
        <v>0</v>
      </c>
      <c r="R127" s="1912" t="str">
        <f>GSO!R38</f>
        <v>ACTIVITY 09
</v>
      </c>
      <c r="S127" s="1134">
        <f t="shared" si="42"/>
        <v>0</v>
      </c>
      <c r="T127" s="1493">
        <f t="shared" si="43"/>
        <v>0</v>
      </c>
      <c r="U127" s="1558">
        <f t="shared" si="44"/>
        <v>0</v>
      </c>
      <c r="V127" s="1314">
        <f>GSO!V38</f>
        <v>11150</v>
      </c>
      <c r="W127" s="1362">
        <f>GSO!W38</f>
        <v>0</v>
      </c>
      <c r="X127" s="1363">
        <f>GSO!X38</f>
        <v>11150</v>
      </c>
      <c r="Y127" s="1132">
        <f>GSO!Y38</f>
        <v>11150</v>
      </c>
      <c r="Z127" s="1362">
        <f>GSO!Z38</f>
        <v>0</v>
      </c>
      <c r="AA127" s="1364">
        <f>GSO!AA38</f>
        <v>11150</v>
      </c>
      <c r="AB127" s="1362">
        <f>GSO!AB38</f>
        <v>22300</v>
      </c>
      <c r="AC127" s="1362">
        <f>GSO!AC38</f>
        <v>0</v>
      </c>
      <c r="AD127" s="1410">
        <f>GSO!AD38</f>
        <v>22300</v>
      </c>
      <c r="AE127" s="1241"/>
      <c r="AF127" s="1241"/>
      <c r="AG127" s="1241"/>
      <c r="AH127" s="1241"/>
      <c r="AI127" s="1240"/>
      <c r="AJ127" s="1240"/>
      <c r="AK127" s="1240"/>
      <c r="AL127" s="1240"/>
      <c r="AM127" s="1240"/>
      <c r="AN127" s="1240"/>
      <c r="AO127" s="1240"/>
      <c r="AP127" s="1240"/>
      <c r="AQ127" s="1240"/>
      <c r="AR127" s="1240"/>
      <c r="AS127" s="1240"/>
    </row>
    <row r="128" spans="1:45" s="1238" customFormat="1" ht="31.5" customHeight="1">
      <c r="A128" s="1436"/>
      <c r="B128" s="1418" t="s">
        <v>419</v>
      </c>
      <c r="C128" s="1434"/>
      <c r="D128" s="1434"/>
      <c r="E128" s="1434"/>
      <c r="F128" s="1434"/>
      <c r="G128" s="1434"/>
      <c r="H128" s="1421"/>
      <c r="I128" s="1425"/>
      <c r="J128" s="1421"/>
      <c r="K128" s="1511"/>
      <c r="L128" s="1535">
        <f>SUM(L120:L127)</f>
        <v>22000</v>
      </c>
      <c r="M128" s="1423">
        <f aca="true" t="shared" si="45" ref="M128:AD128">SUM(M120:M127)</f>
        <v>15336</v>
      </c>
      <c r="N128" s="1536">
        <f t="shared" si="45"/>
        <v>37336</v>
      </c>
      <c r="O128" s="1527">
        <f t="shared" si="45"/>
        <v>2155</v>
      </c>
      <c r="P128" s="1423">
        <f t="shared" si="45"/>
        <v>0</v>
      </c>
      <c r="Q128" s="1550">
        <f t="shared" si="45"/>
        <v>2155</v>
      </c>
      <c r="R128" s="1423">
        <f t="shared" si="45"/>
        <v>0</v>
      </c>
      <c r="S128" s="1527">
        <f t="shared" si="45"/>
        <v>19845</v>
      </c>
      <c r="T128" s="1423">
        <f t="shared" si="45"/>
        <v>15336</v>
      </c>
      <c r="U128" s="1550">
        <f t="shared" si="45"/>
        <v>35181</v>
      </c>
      <c r="V128" s="1535">
        <f t="shared" si="45"/>
        <v>138651</v>
      </c>
      <c r="W128" s="1423">
        <f t="shared" si="45"/>
        <v>37041</v>
      </c>
      <c r="X128" s="1536">
        <f t="shared" si="45"/>
        <v>175692</v>
      </c>
      <c r="Y128" s="1527">
        <f t="shared" si="45"/>
        <v>33650</v>
      </c>
      <c r="Z128" s="1423">
        <f t="shared" si="45"/>
        <v>0</v>
      </c>
      <c r="AA128" s="1550">
        <f t="shared" si="45"/>
        <v>33650</v>
      </c>
      <c r="AB128" s="1423">
        <f t="shared" si="45"/>
        <v>172301</v>
      </c>
      <c r="AC128" s="1423">
        <f t="shared" si="45"/>
        <v>37041</v>
      </c>
      <c r="AD128" s="1426">
        <f t="shared" si="45"/>
        <v>209342</v>
      </c>
      <c r="AE128" s="1241"/>
      <c r="AF128" s="1241"/>
      <c r="AG128" s="1241"/>
      <c r="AH128" s="1241"/>
      <c r="AI128" s="1240"/>
      <c r="AJ128" s="1240"/>
      <c r="AK128" s="1240"/>
      <c r="AL128" s="1240"/>
      <c r="AM128" s="1240"/>
      <c r="AN128" s="1240"/>
      <c r="AO128" s="1240"/>
      <c r="AP128" s="1240"/>
      <c r="AQ128" s="1240"/>
      <c r="AR128" s="1240"/>
      <c r="AS128" s="1240"/>
    </row>
    <row r="129" spans="1:45" s="1235" customFormat="1" ht="30.75" customHeight="1">
      <c r="A129" s="1436"/>
      <c r="B129" s="1420" t="s">
        <v>163</v>
      </c>
      <c r="C129" s="1434"/>
      <c r="D129" s="1434"/>
      <c r="E129" s="1437"/>
      <c r="F129" s="1434"/>
      <c r="G129" s="1434"/>
      <c r="H129" s="1421"/>
      <c r="I129" s="1425"/>
      <c r="J129" s="1421"/>
      <c r="K129" s="1518"/>
      <c r="L129" s="1544">
        <f aca="true" t="shared" si="46" ref="L129:Q129">SUM(L130:L136)</f>
        <v>110843</v>
      </c>
      <c r="M129" s="1438">
        <f t="shared" si="46"/>
        <v>178825</v>
      </c>
      <c r="N129" s="1545">
        <f t="shared" si="46"/>
        <v>289668</v>
      </c>
      <c r="O129" s="1531">
        <f t="shared" si="46"/>
        <v>77510</v>
      </c>
      <c r="P129" s="1438">
        <f t="shared" si="46"/>
        <v>134043.83</v>
      </c>
      <c r="Q129" s="1555">
        <f t="shared" si="46"/>
        <v>211553.83</v>
      </c>
      <c r="R129" s="1438">
        <f aca="true" t="shared" si="47" ref="R129:AD129">SUM(R130:R136)</f>
        <v>0</v>
      </c>
      <c r="S129" s="1531">
        <f t="shared" si="47"/>
        <v>33333</v>
      </c>
      <c r="T129" s="1438">
        <f t="shared" si="47"/>
        <v>44781.17</v>
      </c>
      <c r="U129" s="1555">
        <f t="shared" si="47"/>
        <v>78114.17</v>
      </c>
      <c r="V129" s="1544">
        <f t="shared" si="47"/>
        <v>113145</v>
      </c>
      <c r="W129" s="1438">
        <f t="shared" si="47"/>
        <v>134897</v>
      </c>
      <c r="X129" s="1545">
        <f t="shared" si="47"/>
        <v>248042</v>
      </c>
      <c r="Y129" s="1531">
        <f t="shared" si="47"/>
        <v>30379</v>
      </c>
      <c r="Z129" s="1438">
        <f t="shared" si="47"/>
        <v>48388</v>
      </c>
      <c r="AA129" s="1555">
        <f t="shared" si="47"/>
        <v>78767</v>
      </c>
      <c r="AB129" s="1438">
        <f t="shared" si="47"/>
        <v>143524</v>
      </c>
      <c r="AC129" s="1438">
        <f t="shared" si="47"/>
        <v>183285</v>
      </c>
      <c r="AD129" s="1439">
        <f t="shared" si="47"/>
        <v>326809</v>
      </c>
      <c r="AE129" s="1288"/>
      <c r="AF129" s="1288"/>
      <c r="AG129" s="1288"/>
      <c r="AH129" s="1288"/>
      <c r="AI129" s="1227"/>
      <c r="AJ129" s="1227"/>
      <c r="AK129" s="1227"/>
      <c r="AL129" s="1227"/>
      <c r="AM129" s="1227"/>
      <c r="AN129" s="1227"/>
      <c r="AO129" s="1227"/>
      <c r="AP129" s="1227"/>
      <c r="AQ129" s="1227"/>
      <c r="AR129" s="1227"/>
      <c r="AS129" s="1227"/>
    </row>
    <row r="130" spans="1:34" s="1354" customFormat="1" ht="144" customHeight="1">
      <c r="A130" s="1351"/>
      <c r="B130" s="1294" t="s">
        <v>528</v>
      </c>
      <c r="C130" s="1293"/>
      <c r="D130" s="2010" t="s">
        <v>176</v>
      </c>
      <c r="E130" s="1352"/>
      <c r="F130" s="1355" t="s">
        <v>176</v>
      </c>
      <c r="G130" s="1293"/>
      <c r="H130" s="1294"/>
      <c r="I130" s="1295"/>
      <c r="J130" s="1294"/>
      <c r="K130" s="1519" t="s">
        <v>154</v>
      </c>
      <c r="L130" s="1296">
        <f>MOLISA!L80+'MOCST '!L34+GSO!L41</f>
        <v>12855</v>
      </c>
      <c r="M130" s="1297">
        <f>MOLISA!M80+'MOCST '!M34+GSO!M41</f>
        <v>6300</v>
      </c>
      <c r="N130" s="1298">
        <f>MOLISA!N80+'MOCST '!N34+GSO!N41</f>
        <v>19155</v>
      </c>
      <c r="O130" s="1308">
        <f>MOLISA!O80+'MOCST '!O34+GSO!O41</f>
        <v>0</v>
      </c>
      <c r="P130" s="1297">
        <f>MOLISA!P80+'MOCST '!P34+GSO!P41</f>
        <v>13.05</v>
      </c>
      <c r="Q130" s="1556">
        <f>MOLISA!Q80+'MOCST '!Q34+GSO!Q41</f>
        <v>13.05</v>
      </c>
      <c r="R130" s="1297"/>
      <c r="S130" s="1299">
        <f aca="true" t="shared" si="48" ref="S130:T136">L130-O130</f>
        <v>12855</v>
      </c>
      <c r="T130" s="1302">
        <f t="shared" si="48"/>
        <v>6286.95</v>
      </c>
      <c r="U130" s="1303">
        <f aca="true" t="shared" si="49" ref="U130:U136">S130+T130</f>
        <v>19141.95</v>
      </c>
      <c r="V130" s="1296">
        <f>MOLISA!V80+'MOCST '!V34+GSO!V41</f>
        <v>4342</v>
      </c>
      <c r="W130" s="1297">
        <f>MOLISA!W80+'MOCST '!W34+GSO!W41</f>
        <v>0</v>
      </c>
      <c r="X130" s="1298">
        <f>MOLISA!X80+'MOCST '!X34+GSO!X41</f>
        <v>4342</v>
      </c>
      <c r="Y130" s="1308">
        <f>MOLISA!Y80+'MOCST '!Y34+GSO!Y41</f>
        <v>5542</v>
      </c>
      <c r="Z130" s="1297">
        <f>MOLISA!Z80+'MOCST '!Z34+GSO!Z41</f>
        <v>3339</v>
      </c>
      <c r="AA130" s="1556">
        <f>MOLISA!AA80+'MOCST '!AA34+GSO!AA41</f>
        <v>8881</v>
      </c>
      <c r="AB130" s="1297">
        <f>MOLISA!AB80+'MOCST '!AB34+GSO!AB41</f>
        <v>9884</v>
      </c>
      <c r="AC130" s="1297">
        <f>MOLISA!AC80+'MOCST '!AC34+GSO!AC41</f>
        <v>3339</v>
      </c>
      <c r="AD130" s="1414">
        <f>MOLISA!AD80+'MOCST '!AD34+GSO!AD41</f>
        <v>13223</v>
      </c>
      <c r="AE130" s="1288"/>
      <c r="AF130" s="1288"/>
      <c r="AG130" s="1288"/>
      <c r="AH130" s="1353"/>
    </row>
    <row r="131" spans="1:45" s="1235" customFormat="1" ht="42" customHeight="1">
      <c r="A131" s="1340"/>
      <c r="B131" s="908" t="s">
        <v>508</v>
      </c>
      <c r="C131" s="1293"/>
      <c r="D131" s="1293"/>
      <c r="E131" s="1352"/>
      <c r="F131" s="1293"/>
      <c r="G131" s="1293"/>
      <c r="H131" s="1294"/>
      <c r="I131" s="1295"/>
      <c r="J131" s="1294"/>
      <c r="K131" s="1519"/>
      <c r="L131" s="1296">
        <f>MOLISA!L81+'MOCST '!L35+GSO!L42</f>
        <v>84488</v>
      </c>
      <c r="M131" s="1297">
        <f>MOLISA!M81+'MOCST '!M35+GSO!M42</f>
        <v>166200</v>
      </c>
      <c r="N131" s="1298">
        <f>MOLISA!N81+'MOCST '!N35+GSO!N42</f>
        <v>250688</v>
      </c>
      <c r="O131" s="1308">
        <f>MOLISA!O81+'MOCST '!O35+GSO!O42</f>
        <v>65169</v>
      </c>
      <c r="P131" s="1297">
        <f>MOLISA!P81+'MOCST '!P35+GSO!P42</f>
        <v>124835.51</v>
      </c>
      <c r="Q131" s="1556">
        <f>MOLISA!Q81+'MOCST '!Q35+GSO!Q42</f>
        <v>190004.51</v>
      </c>
      <c r="R131" s="1919" t="str">
        <f>MOLISA!R81</f>
        <v>ACTIVITY 02</v>
      </c>
      <c r="S131" s="1299">
        <f t="shared" si="48"/>
        <v>19319</v>
      </c>
      <c r="T131" s="1302">
        <f t="shared" si="48"/>
        <v>41364.490000000005</v>
      </c>
      <c r="U131" s="1303">
        <f t="shared" si="49"/>
        <v>60683.490000000005</v>
      </c>
      <c r="V131" s="1296">
        <f>MOLISA!V81+'MOCST '!V35+GSO!V42</f>
        <v>92916</v>
      </c>
      <c r="W131" s="1297">
        <f>MOLISA!W81+'MOCST '!W35+GSO!W42</f>
        <v>128772</v>
      </c>
      <c r="X131" s="1298">
        <f>MOLISA!X81+'MOCST '!X35+GSO!X42</f>
        <v>221688</v>
      </c>
      <c r="Y131" s="1308">
        <f>MOLISA!Y81+'MOCST '!Y35+GSO!Y42</f>
        <v>24402</v>
      </c>
      <c r="Z131" s="1297">
        <f>MOLISA!Z81+'MOCST '!Z35+GSO!Z42</f>
        <v>42924</v>
      </c>
      <c r="AA131" s="1556">
        <f>MOLISA!AA81+'MOCST '!AA35+GSO!AA42</f>
        <v>67326</v>
      </c>
      <c r="AB131" s="1297">
        <f>MOLISA!AB81+'MOCST '!AB35+GSO!AB42</f>
        <v>117318</v>
      </c>
      <c r="AC131" s="1297">
        <f>MOLISA!AC81+'MOCST '!AC35+GSO!AC42</f>
        <v>171696</v>
      </c>
      <c r="AD131" s="1414">
        <f>MOLISA!AD81+'MOCST '!AD35+GSO!AD42</f>
        <v>289014</v>
      </c>
      <c r="AE131" s="1288"/>
      <c r="AF131" s="1288"/>
      <c r="AG131" s="1288"/>
      <c r="AH131" s="1288"/>
      <c r="AI131" s="1227"/>
      <c r="AJ131" s="1227"/>
      <c r="AK131" s="1227"/>
      <c r="AL131" s="1227"/>
      <c r="AM131" s="1227"/>
      <c r="AN131" s="1227"/>
      <c r="AO131" s="1227"/>
      <c r="AP131" s="1227"/>
      <c r="AQ131" s="1227"/>
      <c r="AR131" s="1227"/>
      <c r="AS131" s="1227"/>
    </row>
    <row r="132" spans="1:45" s="1238" customFormat="1" ht="96.75" customHeight="1">
      <c r="A132" s="1343"/>
      <c r="B132" s="1280" t="s">
        <v>342</v>
      </c>
      <c r="C132" s="2011" t="s">
        <v>176</v>
      </c>
      <c r="D132" s="2011" t="s">
        <v>176</v>
      </c>
      <c r="E132" s="1355" t="s">
        <v>176</v>
      </c>
      <c r="F132" s="1355" t="s">
        <v>176</v>
      </c>
      <c r="G132" s="1355"/>
      <c r="H132" s="1339"/>
      <c r="I132" s="1266" t="s">
        <v>325</v>
      </c>
      <c r="J132" s="1269" t="s">
        <v>183</v>
      </c>
      <c r="K132" s="1520" t="s">
        <v>165</v>
      </c>
      <c r="L132" s="1270"/>
      <c r="M132" s="1271">
        <v>0</v>
      </c>
      <c r="N132" s="1272">
        <f>SUM(L132:M132)</f>
        <v>0</v>
      </c>
      <c r="O132" s="1356"/>
      <c r="P132" s="1271"/>
      <c r="Q132" s="1357"/>
      <c r="R132" s="1920"/>
      <c r="S132" s="1333">
        <f t="shared" si="48"/>
        <v>0</v>
      </c>
      <c r="T132" s="1277">
        <f t="shared" si="48"/>
        <v>0</v>
      </c>
      <c r="U132" s="1278">
        <f t="shared" si="49"/>
        <v>0</v>
      </c>
      <c r="V132" s="1270"/>
      <c r="W132" s="1271"/>
      <c r="X132" s="1272"/>
      <c r="Y132" s="1356"/>
      <c r="Z132" s="1271"/>
      <c r="AA132" s="1357"/>
      <c r="AB132" s="1271"/>
      <c r="AC132" s="1271"/>
      <c r="AD132" s="1358"/>
      <c r="AE132" s="1241"/>
      <c r="AF132" s="1241"/>
      <c r="AG132" s="1241"/>
      <c r="AH132" s="1241"/>
      <c r="AI132" s="1240"/>
      <c r="AJ132" s="1240"/>
      <c r="AK132" s="1240"/>
      <c r="AL132" s="1240"/>
      <c r="AM132" s="1240"/>
      <c r="AN132" s="1240"/>
      <c r="AO132" s="1240"/>
      <c r="AP132" s="1240"/>
      <c r="AQ132" s="1240"/>
      <c r="AR132" s="1240"/>
      <c r="AS132" s="1240"/>
    </row>
    <row r="133" spans="1:45" s="1238" customFormat="1" ht="43.5" customHeight="1">
      <c r="A133" s="1343"/>
      <c r="B133" s="1359" t="s">
        <v>595</v>
      </c>
      <c r="C133" s="2011" t="s">
        <v>176</v>
      </c>
      <c r="D133" s="2012" t="s">
        <v>176</v>
      </c>
      <c r="E133" s="1322" t="s">
        <v>176</v>
      </c>
      <c r="F133" s="1322" t="s">
        <v>176</v>
      </c>
      <c r="G133" s="1322"/>
      <c r="H133" s="1360"/>
      <c r="I133" s="1284" t="s">
        <v>70</v>
      </c>
      <c r="J133" s="1361" t="s">
        <v>183</v>
      </c>
      <c r="K133" s="1521" t="s">
        <v>166</v>
      </c>
      <c r="L133" s="1314">
        <v>0</v>
      </c>
      <c r="M133" s="1362"/>
      <c r="N133" s="1363">
        <f>SUM(L133:M133)</f>
        <v>0</v>
      </c>
      <c r="O133" s="1132"/>
      <c r="P133" s="1362"/>
      <c r="Q133" s="1364"/>
      <c r="R133" s="1912"/>
      <c r="S133" s="1134">
        <f t="shared" si="48"/>
        <v>0</v>
      </c>
      <c r="T133" s="1493">
        <f t="shared" si="48"/>
        <v>0</v>
      </c>
      <c r="U133" s="1558">
        <f t="shared" si="49"/>
        <v>0</v>
      </c>
      <c r="V133" s="1314"/>
      <c r="W133" s="1362"/>
      <c r="X133" s="1363"/>
      <c r="Y133" s="1132"/>
      <c r="Z133" s="1362"/>
      <c r="AA133" s="1364"/>
      <c r="AB133" s="1362"/>
      <c r="AC133" s="1362"/>
      <c r="AD133" s="1365"/>
      <c r="AE133" s="1241"/>
      <c r="AF133" s="1241"/>
      <c r="AG133" s="1241"/>
      <c r="AH133" s="1241"/>
      <c r="AI133" s="1240"/>
      <c r="AJ133" s="1240"/>
      <c r="AK133" s="1240"/>
      <c r="AL133" s="1240"/>
      <c r="AM133" s="1240"/>
      <c r="AN133" s="1240"/>
      <c r="AO133" s="1240"/>
      <c r="AP133" s="1240"/>
      <c r="AQ133" s="1240"/>
      <c r="AR133" s="1240"/>
      <c r="AS133" s="1240"/>
    </row>
    <row r="134" spans="1:45" s="1235" customFormat="1" ht="63" customHeight="1">
      <c r="A134" s="1341"/>
      <c r="B134" s="1292" t="s">
        <v>596</v>
      </c>
      <c r="C134" s="1289"/>
      <c r="D134" s="2013" t="s">
        <v>176</v>
      </c>
      <c r="E134" s="1290" t="s">
        <v>176</v>
      </c>
      <c r="F134" s="1290" t="s">
        <v>176</v>
      </c>
      <c r="G134" s="1290"/>
      <c r="H134" s="1292"/>
      <c r="I134" s="1320"/>
      <c r="J134" s="1291" t="s">
        <v>183</v>
      </c>
      <c r="K134" s="1522" t="s">
        <v>308</v>
      </c>
      <c r="L134" s="1321">
        <f>MOLISA!L88+'MOCST '!L42+GSO!L48</f>
        <v>4000</v>
      </c>
      <c r="M134" s="1325">
        <f>MOLISA!M88+'MOCST '!M42+GSO!M48</f>
        <v>2000</v>
      </c>
      <c r="N134" s="1326">
        <f>MOLISA!N88+'MOCST '!N42+GSO!N48</f>
        <v>6000</v>
      </c>
      <c r="O134" s="1528">
        <f>MOLISA!O88+'MOCST '!O42+GSO!O48</f>
        <v>0</v>
      </c>
      <c r="P134" s="1325">
        <f>MOLISA!P88+'MOCST '!P42+GSO!P48</f>
        <v>7189.27</v>
      </c>
      <c r="Q134" s="1551">
        <f>MOLISA!Q88+'MOCST '!Q42+GSO!Q48</f>
        <v>7189.27</v>
      </c>
      <c r="R134" s="1325"/>
      <c r="S134" s="1327">
        <f t="shared" si="48"/>
        <v>4000</v>
      </c>
      <c r="T134" s="1496">
        <f t="shared" si="48"/>
        <v>-5189.27</v>
      </c>
      <c r="U134" s="1559">
        <f t="shared" si="49"/>
        <v>-1189.2700000000004</v>
      </c>
      <c r="V134" s="1321">
        <f>MOLISA!V88+'MOCST '!V42+GSO!V48</f>
        <v>3000</v>
      </c>
      <c r="W134" s="1325">
        <f>MOLISA!W88+'MOCST '!W42+GSO!W48</f>
        <v>4000</v>
      </c>
      <c r="X134" s="1326">
        <f>MOLISA!X88+'MOCST '!X42+GSO!X48</f>
        <v>7000</v>
      </c>
      <c r="Y134" s="1528">
        <f>MOLISA!Y88+'MOCST '!Y42+GSO!Y48</f>
        <v>0</v>
      </c>
      <c r="Z134" s="1325">
        <f>MOLISA!Z88+'MOCST '!Z42+GSO!Z48</f>
        <v>0</v>
      </c>
      <c r="AA134" s="1551">
        <f>MOLISA!AA88+'MOCST '!AA42+GSO!AA48</f>
        <v>0</v>
      </c>
      <c r="AB134" s="1325">
        <f>MOLISA!AB88+'MOCST '!AB42+GSO!AB48</f>
        <v>3000</v>
      </c>
      <c r="AC134" s="1325">
        <f>MOLISA!AC88+'MOCST '!AC42+GSO!AC48</f>
        <v>4000</v>
      </c>
      <c r="AD134" s="1411">
        <f>MOLISA!AD88+'MOCST '!AD42+GSO!AD48</f>
        <v>7000</v>
      </c>
      <c r="AE134" s="1288"/>
      <c r="AF134" s="1288"/>
      <c r="AG134" s="1288"/>
      <c r="AH134" s="1288"/>
      <c r="AI134" s="1227"/>
      <c r="AJ134" s="1227"/>
      <c r="AK134" s="1227"/>
      <c r="AL134" s="1227"/>
      <c r="AM134" s="1227"/>
      <c r="AN134" s="1227"/>
      <c r="AO134" s="1227"/>
      <c r="AP134" s="1227"/>
      <c r="AQ134" s="1227"/>
      <c r="AR134" s="1227"/>
      <c r="AS134" s="1227"/>
    </row>
    <row r="135" spans="1:45" s="1235" customFormat="1" ht="57" customHeight="1">
      <c r="A135" s="1340"/>
      <c r="B135" s="1959" t="s">
        <v>159</v>
      </c>
      <c r="C135" s="1939" t="s">
        <v>176</v>
      </c>
      <c r="D135" s="1960" t="s">
        <v>176</v>
      </c>
      <c r="E135" s="1960" t="s">
        <v>176</v>
      </c>
      <c r="F135" s="1960" t="s">
        <v>176</v>
      </c>
      <c r="G135" s="1960"/>
      <c r="H135" s="1944"/>
      <c r="I135" s="1961"/>
      <c r="J135" s="1944" t="s">
        <v>183</v>
      </c>
      <c r="K135" s="1962" t="s">
        <v>309</v>
      </c>
      <c r="L135" s="1946">
        <f>MOLISA!L93+'MOCST '!L43+GSO!L49</f>
        <v>5500</v>
      </c>
      <c r="M135" s="1947">
        <f>MOLISA!M93+'MOCST '!M43+GSO!M49</f>
        <v>2200</v>
      </c>
      <c r="N135" s="1948">
        <f>MOLISA!N93+'MOCST '!N43+GSO!N49</f>
        <v>7700</v>
      </c>
      <c r="O135" s="1949">
        <f>MOLISA!O93+'MOCST '!O43+GSO!O49</f>
        <v>8463</v>
      </c>
      <c r="P135" s="1947">
        <f>MOLISA!P93+'MOCST '!P43+GSO!P49</f>
        <v>2006</v>
      </c>
      <c r="Q135" s="1950">
        <f>MOLISA!Q93+'MOCST '!Q43+GSO!Q49</f>
        <v>10469</v>
      </c>
      <c r="R135" s="1951" t="str">
        <f>MOLISA!R93</f>
        <v>ACTIVITY 01</v>
      </c>
      <c r="S135" s="1952">
        <f t="shared" si="48"/>
        <v>-2963</v>
      </c>
      <c r="T135" s="1953">
        <f t="shared" si="48"/>
        <v>194</v>
      </c>
      <c r="U135" s="1954">
        <f t="shared" si="49"/>
        <v>-2769</v>
      </c>
      <c r="V135" s="1946">
        <f>MOLISA!V93+'MOCST '!V43+GSO!V49</f>
        <v>1300</v>
      </c>
      <c r="W135" s="1947">
        <f>MOLISA!W93+'MOCST '!W43+GSO!W49</f>
        <v>0</v>
      </c>
      <c r="X135" s="1948">
        <f>MOLISA!X93+'MOCST '!X43+GSO!X49</f>
        <v>1300</v>
      </c>
      <c r="Y135" s="1949">
        <f>MOLISA!Y93+'MOCST '!Y43+GSO!Y49</f>
        <v>297</v>
      </c>
      <c r="Z135" s="1947">
        <f>MOLISA!Z93+'MOCST '!Z43+GSO!Z49</f>
        <v>0</v>
      </c>
      <c r="AA135" s="1950">
        <f>MOLISA!AA93+'MOCST '!AA43+GSO!AA49</f>
        <v>297</v>
      </c>
      <c r="AB135" s="1947">
        <f>MOLISA!AB93+'MOCST '!AB43+GSO!AB49</f>
        <v>1597</v>
      </c>
      <c r="AC135" s="1947">
        <f>MOLISA!AC93+'MOCST '!AC43+GSO!AC49</f>
        <v>0</v>
      </c>
      <c r="AD135" s="1955">
        <f>MOLISA!AD93+'MOCST '!AD43+GSO!AD49</f>
        <v>1597</v>
      </c>
      <c r="AE135" s="1288"/>
      <c r="AF135" s="1288"/>
      <c r="AG135" s="1288"/>
      <c r="AH135" s="1288"/>
      <c r="AI135" s="1227"/>
      <c r="AJ135" s="1227"/>
      <c r="AK135" s="1227"/>
      <c r="AL135" s="1227"/>
      <c r="AM135" s="1227"/>
      <c r="AN135" s="1227"/>
      <c r="AO135" s="1227"/>
      <c r="AP135" s="1227"/>
      <c r="AQ135" s="1227"/>
      <c r="AR135" s="1227"/>
      <c r="AS135" s="1227"/>
    </row>
    <row r="136" spans="1:34" s="1368" customFormat="1" ht="32.25" customHeight="1">
      <c r="A136" s="1366"/>
      <c r="B136" s="1292" t="s">
        <v>161</v>
      </c>
      <c r="C136" s="2011" t="s">
        <v>176</v>
      </c>
      <c r="D136" s="2011" t="s">
        <v>176</v>
      </c>
      <c r="E136" s="1355" t="s">
        <v>176</v>
      </c>
      <c r="F136" s="1355" t="s">
        <v>176</v>
      </c>
      <c r="G136" s="1289"/>
      <c r="H136" s="1291"/>
      <c r="I136" s="1320" t="s">
        <v>325</v>
      </c>
      <c r="J136" s="1291" t="s">
        <v>183</v>
      </c>
      <c r="K136" s="1523" t="s">
        <v>162</v>
      </c>
      <c r="L136" s="1321">
        <f>MOLISA!L94+'MOCST '!L44+GSO!L50</f>
        <v>4000</v>
      </c>
      <c r="M136" s="1325">
        <f>MOLISA!M94+'MOCST '!M44+GSO!M50</f>
        <v>2125</v>
      </c>
      <c r="N136" s="1326">
        <f>MOLISA!N94+'MOCST '!N44+GSO!N50</f>
        <v>6125</v>
      </c>
      <c r="O136" s="1528">
        <f>MOLISA!O94+'MOCST '!O44+GSO!O50</f>
        <v>3878</v>
      </c>
      <c r="P136" s="1325">
        <f>MOLISA!P94+'MOCST '!P44+GSO!P50</f>
        <v>0</v>
      </c>
      <c r="Q136" s="1551">
        <f>MOLISA!Q94+'MOCST '!Q44+GSO!Q50</f>
        <v>3878</v>
      </c>
      <c r="R136" s="1914" t="str">
        <f>MOLISA!R94</f>
        <v>ACTIVITY 10</v>
      </c>
      <c r="S136" s="1327">
        <f t="shared" si="48"/>
        <v>122</v>
      </c>
      <c r="T136" s="1496">
        <f t="shared" si="48"/>
        <v>2125</v>
      </c>
      <c r="U136" s="1559">
        <f t="shared" si="49"/>
        <v>2247</v>
      </c>
      <c r="V136" s="1321">
        <f>MOLISA!V94+'MOCST '!V44+GSO!V50</f>
        <v>11587</v>
      </c>
      <c r="W136" s="1325">
        <f>MOLISA!W94+'MOCST '!W44+GSO!W50</f>
        <v>2125</v>
      </c>
      <c r="X136" s="1326">
        <f>MOLISA!X94+'MOCST '!X44+GSO!X50</f>
        <v>13712</v>
      </c>
      <c r="Y136" s="1528">
        <f>MOLISA!Y94+'MOCST '!Y44+GSO!Y50</f>
        <v>138</v>
      </c>
      <c r="Z136" s="1325">
        <f>MOLISA!Z94+'MOCST '!Z44+GSO!Z50</f>
        <v>2125</v>
      </c>
      <c r="AA136" s="1551">
        <f>MOLISA!AA94+'MOCST '!AA44+GSO!AA50</f>
        <v>2263</v>
      </c>
      <c r="AB136" s="1325">
        <f>MOLISA!AB94+'MOCST '!AB44+GSO!AB50</f>
        <v>11725</v>
      </c>
      <c r="AC136" s="1325">
        <f>MOLISA!AC94+'MOCST '!AC44+GSO!AC50</f>
        <v>4250</v>
      </c>
      <c r="AD136" s="1411">
        <f>MOLISA!AD94+'MOCST '!AD44+GSO!AD50</f>
        <v>15975</v>
      </c>
      <c r="AE136" s="1288"/>
      <c r="AF136" s="1288"/>
      <c r="AG136" s="1288"/>
      <c r="AH136" s="1367"/>
    </row>
    <row r="137" spans="1:34" s="1145" customFormat="1" ht="40.5" customHeight="1">
      <c r="A137" s="1689"/>
      <c r="B137" s="1599" t="s">
        <v>193</v>
      </c>
      <c r="C137" s="1690" t="s">
        <v>152</v>
      </c>
      <c r="D137" s="1690"/>
      <c r="E137" s="1690"/>
      <c r="F137" s="1690"/>
      <c r="G137" s="1690"/>
      <c r="H137" s="1599"/>
      <c r="I137" s="1601"/>
      <c r="J137" s="1605"/>
      <c r="K137" s="1691"/>
      <c r="L137" s="1225">
        <f>MOLISA!L95+'MOCST '!L45+GSO!L51</f>
        <v>869012</v>
      </c>
      <c r="M137" s="1037">
        <f>MOLISA!M95+'MOCST '!M45+GSO!M51</f>
        <v>994341</v>
      </c>
      <c r="N137" s="1602">
        <f>MOLISA!N95+'MOCST '!N45+GSO!N51</f>
        <v>1863353</v>
      </c>
      <c r="O137" s="1224">
        <f>MOLISA!O95+'MOCST '!O45+GSO!O51</f>
        <v>703408</v>
      </c>
      <c r="P137" s="1037">
        <f>MOLISA!P95+'MOCST '!P45+GSO!P51</f>
        <v>771989.8300000001</v>
      </c>
      <c r="Q137" s="1692">
        <f>MOLISA!Q95+'MOCST '!Q45+GSO!Q51</f>
        <v>1475397.83</v>
      </c>
      <c r="R137" s="1037"/>
      <c r="S137" s="1224">
        <f>S12+S23+S65+S75+S84+S91+S97+S108+S119+S128+S129</f>
        <v>165604</v>
      </c>
      <c r="T137" s="1037">
        <f>T12+T23+T65+T75+T84+T91+T97+T108+T119+T128+T129</f>
        <v>222351.16999999998</v>
      </c>
      <c r="U137" s="1692">
        <f>SUM(S137:T137)</f>
        <v>387955.17</v>
      </c>
      <c r="V137" s="1225">
        <f>MOLISA!V95+'MOCST '!V45+GSO!V51</f>
        <v>850733.66</v>
      </c>
      <c r="W137" s="1037">
        <f>MOLISA!W95+'MOCST '!W45+GSO!W51</f>
        <v>561403.4199999999</v>
      </c>
      <c r="X137" s="1602">
        <f>MOLISA!X95+'MOCST '!X45+GSO!X51</f>
        <v>1412137.08</v>
      </c>
      <c r="Y137" s="1224">
        <f>MOLISA!Y95+'MOCST '!Y45+GSO!Y51</f>
        <v>69029</v>
      </c>
      <c r="Z137" s="1037">
        <f>MOLISA!Z95+'MOCST '!Z45+GSO!Z51</f>
        <v>72445</v>
      </c>
      <c r="AA137" s="1692">
        <f>MOLISA!AA95+'MOCST '!AA45+GSO!AA51</f>
        <v>141474</v>
      </c>
      <c r="AB137" s="1037">
        <f>MOLISA!AB95+'MOCST '!AB45+GSO!AB51</f>
        <v>919762.66</v>
      </c>
      <c r="AC137" s="1037">
        <f>MOLISA!AC95+'MOCST '!AC45+GSO!AC51</f>
        <v>633848.4199999999</v>
      </c>
      <c r="AD137" s="1604">
        <f>MOLISA!AD95+'MOCST '!AD45+GSO!AD51</f>
        <v>1553611.08</v>
      </c>
      <c r="AE137" s="778"/>
      <c r="AF137" s="778"/>
      <c r="AG137" s="778"/>
      <c r="AH137" s="778"/>
    </row>
    <row r="138" spans="1:34" s="776" customFormat="1" ht="37.5" customHeight="1">
      <c r="A138" s="1598"/>
      <c r="B138" s="1599" t="s">
        <v>194</v>
      </c>
      <c r="C138" s="1600"/>
      <c r="D138" s="1600"/>
      <c r="E138" s="1600"/>
      <c r="F138" s="1600"/>
      <c r="G138" s="1600"/>
      <c r="H138" s="1599"/>
      <c r="I138" s="1693"/>
      <c r="J138" s="1599"/>
      <c r="K138" s="1661"/>
      <c r="L138" s="1606">
        <f>MOLISA!L96+'MOCST '!L46+GSO!L52</f>
        <v>60830.840000000004</v>
      </c>
      <c r="M138" s="1036">
        <f>MOLISA!M96+'MOCST '!M46+GSO!M52</f>
        <v>69603.87000000001</v>
      </c>
      <c r="N138" s="1602">
        <f>L138+M138</f>
        <v>130434.71000000002</v>
      </c>
      <c r="O138" s="1663">
        <f>MOLISA!O96+'MOCST '!O46+GSO!O52</f>
        <v>49238.56</v>
      </c>
      <c r="P138" s="1036">
        <f>MOLISA!P96+'MOCST '!P46+GSO!P52</f>
        <v>51609.28810000001</v>
      </c>
      <c r="Q138" s="1661">
        <f>MOLISA!Q96+'MOCST '!Q46+GSO!Q52</f>
        <v>100847.84810000002</v>
      </c>
      <c r="R138" s="1921"/>
      <c r="S138" s="1663">
        <f>MOLISA!S96+'MOCST '!S46+GSO!S52</f>
        <v>11592.28</v>
      </c>
      <c r="T138" s="1036">
        <f>MOLISA!T96+'MOCST '!T46+GSO!T52</f>
        <v>17994.5819</v>
      </c>
      <c r="U138" s="1661">
        <f>MOLISA!U96+'MOCST '!U46+GSO!U52</f>
        <v>29475.8619</v>
      </c>
      <c r="V138" s="1606">
        <f>MOLISA!V96+'MOCST '!V46+GSO!V52</f>
        <v>59551.35620000001</v>
      </c>
      <c r="W138" s="1036">
        <f>MOLISA!W96+'MOCST '!W46+GSO!W52</f>
        <v>39298.239400000006</v>
      </c>
      <c r="X138" s="1694">
        <f>MOLISA!X96+'MOCST '!X46+GSO!X52</f>
        <v>98849.5956</v>
      </c>
      <c r="Y138" s="1663">
        <f>MOLISA!Y96+'MOCST '!Y46+GSO!Y52</f>
        <v>4832.030000000001</v>
      </c>
      <c r="Z138" s="1036">
        <f>MOLISA!Z96+'MOCST '!Z46+GSO!Z52</f>
        <v>5071.150000000001</v>
      </c>
      <c r="AA138" s="1661">
        <f>MOLISA!AA96+'MOCST '!AA46+GSO!AA52</f>
        <v>9903.18</v>
      </c>
      <c r="AB138" s="2015">
        <f>MOLISA!AB96+'MOCST '!AB46+GSO!AB52</f>
        <v>64383.38620000001</v>
      </c>
      <c r="AC138" s="2015">
        <f>MOLISA!AC96+'MOCST '!AC46+GSO!AC52</f>
        <v>44369.3894</v>
      </c>
      <c r="AD138" s="2016">
        <f>MOLISA!AD96+'MOCST '!AD46+GSO!AD52</f>
        <v>108752.77560000002</v>
      </c>
      <c r="AE138" s="1127"/>
      <c r="AF138" s="1127"/>
      <c r="AG138" s="1127"/>
      <c r="AH138" s="1127"/>
    </row>
    <row r="139" spans="1:34" s="776" customFormat="1" ht="36" customHeight="1" thickBot="1">
      <c r="A139" s="1609"/>
      <c r="B139" s="1610" t="s">
        <v>195</v>
      </c>
      <c r="C139" s="1611"/>
      <c r="D139" s="1611"/>
      <c r="E139" s="1611"/>
      <c r="F139" s="1611"/>
      <c r="G139" s="1611"/>
      <c r="H139" s="1610"/>
      <c r="I139" s="1612"/>
      <c r="J139" s="1610"/>
      <c r="K139" s="1662"/>
      <c r="L139" s="1614">
        <f>SUM(L137:L138)</f>
        <v>929842.84</v>
      </c>
      <c r="M139" s="1615">
        <f>SUM(M137:M138)</f>
        <v>1063944.87</v>
      </c>
      <c r="N139" s="1207">
        <f>L139+M139</f>
        <v>1993787.71</v>
      </c>
      <c r="O139" s="1666">
        <f>SUM(O137:O138)</f>
        <v>752646.56</v>
      </c>
      <c r="P139" s="1613">
        <f>SUM(P137:P138)</f>
        <v>823599.1181000001</v>
      </c>
      <c r="Q139" s="1662">
        <f>SUM(Q137:Q138)</f>
        <v>1576245.6781000001</v>
      </c>
      <c r="R139" s="1922"/>
      <c r="S139" s="1695">
        <f>SUM(S137:S138)</f>
        <v>177196.28</v>
      </c>
      <c r="T139" s="1683">
        <f>T137+T138</f>
        <v>240345.75189999997</v>
      </c>
      <c r="U139" s="1696">
        <f>S139+T139</f>
        <v>417542.03189999994</v>
      </c>
      <c r="V139" s="1697">
        <f>SUM(V137:V138)</f>
        <v>910285.0162000001</v>
      </c>
      <c r="W139" s="1698">
        <f>SUM(W137:W138)</f>
        <v>600701.6593999999</v>
      </c>
      <c r="X139" s="1699">
        <f>SUM(V139:W139)</f>
        <v>1510986.6756</v>
      </c>
      <c r="Y139" s="1700">
        <f>SUM(Y137:Y138)</f>
        <v>73861.03</v>
      </c>
      <c r="Z139" s="1698">
        <f>SUM(Z137:Z138)</f>
        <v>77516.15</v>
      </c>
      <c r="AA139" s="1906">
        <f>SUM(Y139:Z139)</f>
        <v>151377.18</v>
      </c>
      <c r="AB139" s="1613">
        <f>MOLISA!AB97+'MOCST '!AB47+GSO!AB53</f>
        <v>984146.0462</v>
      </c>
      <c r="AC139" s="1613">
        <f>MOLISA!AC97+'MOCST '!AC47+GSO!AC53</f>
        <v>678217.8094</v>
      </c>
      <c r="AD139" s="1616">
        <f>MOLISA!AD97+'MOCST '!AD47+GSO!AD53</f>
        <v>1662363.8556</v>
      </c>
      <c r="AE139" s="1127"/>
      <c r="AF139" s="1127"/>
      <c r="AG139" s="1127"/>
      <c r="AH139" s="1127"/>
    </row>
    <row r="140" spans="2:34" s="1227" customFormat="1" ht="36" customHeight="1" hidden="1" outlineLevel="1" thickTop="1">
      <c r="B140" s="1370"/>
      <c r="C140" s="1371"/>
      <c r="D140" s="1371"/>
      <c r="E140" s="1371"/>
      <c r="F140" s="1371"/>
      <c r="G140" s="1371"/>
      <c r="H140" s="1370"/>
      <c r="I140" s="1372"/>
      <c r="J140" s="1370"/>
      <c r="K140" s="1373"/>
      <c r="L140" s="1374"/>
      <c r="M140" s="1374"/>
      <c r="N140" s="1374"/>
      <c r="O140" s="1373"/>
      <c r="P140" s="1373"/>
      <c r="Q140" s="1373"/>
      <c r="R140" s="1375"/>
      <c r="S140" s="788"/>
      <c r="T140" s="1376"/>
      <c r="U140" s="1376"/>
      <c r="V140" s="788"/>
      <c r="W140" s="788"/>
      <c r="X140" s="788"/>
      <c r="Y140" s="788"/>
      <c r="Z140" s="788"/>
      <c r="AA140" s="788"/>
      <c r="AB140" s="1373"/>
      <c r="AC140" s="1373"/>
      <c r="AD140" s="1373"/>
      <c r="AE140" s="1288"/>
      <c r="AF140" s="1288"/>
      <c r="AG140" s="1288"/>
      <c r="AH140" s="1288"/>
    </row>
    <row r="141" spans="2:34" s="1440" customFormat="1" ht="36" customHeight="1" hidden="1" outlineLevel="1">
      <c r="B141" s="1441"/>
      <c r="C141" s="1442"/>
      <c r="D141" s="1442"/>
      <c r="E141" s="1442"/>
      <c r="F141" s="1442"/>
      <c r="G141" s="1442"/>
      <c r="H141" s="1441"/>
      <c r="I141" s="1443"/>
      <c r="J141" s="1444" t="s">
        <v>511</v>
      </c>
      <c r="K141" s="1445"/>
      <c r="L141" s="1446">
        <f aca="true" t="shared" si="50" ref="L141:Q141">SUM(L12)</f>
        <v>18950</v>
      </c>
      <c r="M141" s="1446">
        <f t="shared" si="50"/>
        <v>5413</v>
      </c>
      <c r="N141" s="1446">
        <f t="shared" si="50"/>
        <v>24363</v>
      </c>
      <c r="O141" s="1446">
        <f t="shared" si="50"/>
        <v>1395</v>
      </c>
      <c r="P141" s="1446">
        <f t="shared" si="50"/>
        <v>5072</v>
      </c>
      <c r="Q141" s="1446">
        <f t="shared" si="50"/>
        <v>6467</v>
      </c>
      <c r="R141" s="1444"/>
      <c r="S141" s="1446">
        <f>SUM(S12)</f>
        <v>17555</v>
      </c>
      <c r="T141" s="1446">
        <f>SUM(T12)</f>
        <v>341</v>
      </c>
      <c r="U141" s="1447">
        <f>SUM(S141:T141)</f>
        <v>17896</v>
      </c>
      <c r="V141" s="1446"/>
      <c r="W141" s="1446"/>
      <c r="X141" s="1446"/>
      <c r="Y141" s="1446"/>
      <c r="Z141" s="1446"/>
      <c r="AA141" s="1446"/>
      <c r="AB141" s="1445"/>
      <c r="AC141" s="1445"/>
      <c r="AD141" s="1445"/>
      <c r="AE141" s="1448"/>
      <c r="AF141" s="1448"/>
      <c r="AG141" s="1448"/>
      <c r="AH141" s="1448"/>
    </row>
    <row r="142" spans="2:34" s="1440" customFormat="1" ht="36" customHeight="1" hidden="1" outlineLevel="1">
      <c r="B142" s="1441"/>
      <c r="C142" s="1442"/>
      <c r="D142" s="1442"/>
      <c r="E142" s="1442"/>
      <c r="F142" s="1442"/>
      <c r="G142" s="1442"/>
      <c r="H142" s="1441"/>
      <c r="I142" s="1443"/>
      <c r="J142" s="1444" t="s">
        <v>512</v>
      </c>
      <c r="K142" s="1445"/>
      <c r="L142" s="1446">
        <f>SUM(MOLISA!L19+'MOCST '!L14)</f>
        <v>142500</v>
      </c>
      <c r="M142" s="1446">
        <f>SUM(MOLISA!M19+'MOCST '!M14)</f>
        <v>91485</v>
      </c>
      <c r="N142" s="1446">
        <f>SUM(MOLISA!N19+'MOCST '!N14)</f>
        <v>233985</v>
      </c>
      <c r="O142" s="1446">
        <f>SUM(MOLISA!O19+'MOCST '!O14)</f>
        <v>202211</v>
      </c>
      <c r="P142" s="1446">
        <f>SUM(MOLISA!P19+'MOCST '!P14)</f>
        <v>83287</v>
      </c>
      <c r="Q142" s="1446">
        <f>SUM(MOLISA!Q19+'MOCST '!Q14)</f>
        <v>285498</v>
      </c>
      <c r="R142" s="1444"/>
      <c r="S142" s="1446">
        <f>SUM(MOLISA!S19+'MOCST '!S14)</f>
        <v>-59711</v>
      </c>
      <c r="T142" s="1446">
        <f>SUM(MOLISA!T19+'MOCST '!T14)</f>
        <v>8198</v>
      </c>
      <c r="U142" s="1446">
        <f>SUM(MOLISA!U19+'MOCST '!U14)</f>
        <v>-51513</v>
      </c>
      <c r="V142" s="1446"/>
      <c r="W142" s="1446"/>
      <c r="X142" s="1446"/>
      <c r="Y142" s="1446"/>
      <c r="Z142" s="1446"/>
      <c r="AA142" s="1446"/>
      <c r="AB142" s="1445"/>
      <c r="AC142" s="1445"/>
      <c r="AD142" s="1445"/>
      <c r="AE142" s="1448"/>
      <c r="AF142" s="1448"/>
      <c r="AG142" s="1448"/>
      <c r="AH142" s="1448"/>
    </row>
    <row r="143" spans="2:34" s="1440" customFormat="1" ht="36" customHeight="1" hidden="1" outlineLevel="1">
      <c r="B143" s="1441"/>
      <c r="C143" s="1442"/>
      <c r="D143" s="1442"/>
      <c r="E143" s="1442"/>
      <c r="F143" s="1442"/>
      <c r="G143" s="1442"/>
      <c r="H143" s="1441"/>
      <c r="I143" s="1443"/>
      <c r="J143" s="1444" t="s">
        <v>513</v>
      </c>
      <c r="K143" s="1445"/>
      <c r="L143" s="1446">
        <f>MOLISA!L45+'MOCST '!L25</f>
        <v>361462</v>
      </c>
      <c r="M143" s="1446">
        <f>MOLISA!M45+'MOCST '!M25</f>
        <v>346861</v>
      </c>
      <c r="N143" s="1446">
        <f>MOLISA!N45+'MOCST '!N25</f>
        <v>708323</v>
      </c>
      <c r="O143" s="1446">
        <f>MOLISA!O45+'MOCST '!O25</f>
        <v>250804</v>
      </c>
      <c r="P143" s="1446">
        <f>MOLISA!P45+'MOCST '!P25</f>
        <v>320020.75</v>
      </c>
      <c r="Q143" s="1446">
        <f>MOLISA!Q45+'MOCST '!Q25</f>
        <v>570824.75</v>
      </c>
      <c r="R143" s="1444"/>
      <c r="S143" s="1446">
        <f>MOLISA!S45+'MOCST '!S25</f>
        <v>110658</v>
      </c>
      <c r="T143" s="1446">
        <f>MOLISA!T45+'MOCST '!T25</f>
        <v>26840.25</v>
      </c>
      <c r="U143" s="1446">
        <f>MOLISA!U45+'MOCST '!U25</f>
        <v>137498.25</v>
      </c>
      <c r="V143" s="1446"/>
      <c r="W143" s="1446"/>
      <c r="X143" s="1446"/>
      <c r="Y143" s="1446"/>
      <c r="Z143" s="1446"/>
      <c r="AA143" s="1446"/>
      <c r="AB143" s="1445"/>
      <c r="AC143" s="1445"/>
      <c r="AD143" s="1445"/>
      <c r="AE143" s="1448"/>
      <c r="AF143" s="1448"/>
      <c r="AG143" s="1448"/>
      <c r="AH143" s="1448"/>
    </row>
    <row r="144" spans="2:34" s="1440" customFormat="1" ht="36" customHeight="1" hidden="1" outlineLevel="1">
      <c r="B144" s="1441"/>
      <c r="C144" s="1442"/>
      <c r="D144" s="1442"/>
      <c r="E144" s="1442"/>
      <c r="F144" s="1442"/>
      <c r="G144" s="1442"/>
      <c r="H144" s="1441"/>
      <c r="I144" s="1443"/>
      <c r="J144" s="1444" t="s">
        <v>514</v>
      </c>
      <c r="K144" s="1445"/>
      <c r="L144" s="1446">
        <f>MOLISA!L53+'MOCST '!L29</f>
        <v>30588</v>
      </c>
      <c r="M144" s="1446">
        <f>MOLISA!M53+'MOCST '!M29</f>
        <v>32700</v>
      </c>
      <c r="N144" s="1446">
        <f>MOLISA!N53+'MOCST '!N29</f>
        <v>63288</v>
      </c>
      <c r="O144" s="1446">
        <f>MOLISA!O53+'MOCST '!O29</f>
        <v>9316</v>
      </c>
      <c r="P144" s="1446">
        <f>MOLISA!P53+'MOCST '!P29</f>
        <v>27002</v>
      </c>
      <c r="Q144" s="1446">
        <f>MOLISA!Q53+'MOCST '!Q29</f>
        <v>36318</v>
      </c>
      <c r="R144" s="1444"/>
      <c r="S144" s="1446">
        <f>MOLISA!S53+'MOCST '!S29</f>
        <v>21272</v>
      </c>
      <c r="T144" s="1446">
        <f>MOLISA!T53+'MOCST '!T29</f>
        <v>5698</v>
      </c>
      <c r="U144" s="1446">
        <f>MOLISA!U53+'MOCST '!U29</f>
        <v>26970</v>
      </c>
      <c r="V144" s="1446"/>
      <c r="W144" s="1446"/>
      <c r="X144" s="1446"/>
      <c r="Y144" s="1446"/>
      <c r="Z144" s="1446"/>
      <c r="AA144" s="1446"/>
      <c r="AB144" s="1445"/>
      <c r="AC144" s="1445"/>
      <c r="AD144" s="1445"/>
      <c r="AE144" s="1448"/>
      <c r="AF144" s="1448"/>
      <c r="AG144" s="1448"/>
      <c r="AH144" s="1448"/>
    </row>
    <row r="145" spans="2:34" s="1440" customFormat="1" ht="36" customHeight="1" hidden="1" outlineLevel="1">
      <c r="B145" s="1441"/>
      <c r="C145" s="1442"/>
      <c r="D145" s="1442"/>
      <c r="E145" s="1442"/>
      <c r="F145" s="1442"/>
      <c r="G145" s="1442"/>
      <c r="H145" s="1441"/>
      <c r="I145" s="1443"/>
      <c r="J145" s="1444" t="s">
        <v>516</v>
      </c>
      <c r="K145" s="1445"/>
      <c r="L145" s="1446">
        <f>MOLISA!L62</f>
        <v>0</v>
      </c>
      <c r="M145" s="1446">
        <f>MOLISA!M62</f>
        <v>86432</v>
      </c>
      <c r="N145" s="1446">
        <f>MOLISA!N62</f>
        <v>86432</v>
      </c>
      <c r="O145" s="1446">
        <f>MOLISA!O62</f>
        <v>0</v>
      </c>
      <c r="P145" s="1446">
        <f>MOLISA!P62</f>
        <v>89086</v>
      </c>
      <c r="Q145" s="1446">
        <f>MOLISA!Q62</f>
        <v>89086</v>
      </c>
      <c r="R145" s="1444"/>
      <c r="S145" s="1446">
        <f>MOLISA!S62</f>
        <v>0</v>
      </c>
      <c r="T145" s="1446">
        <f>MOLISA!T62</f>
        <v>-2654</v>
      </c>
      <c r="U145" s="1446">
        <f>MOLISA!U62</f>
        <v>-2654</v>
      </c>
      <c r="V145" s="1446">
        <f>MOLISA!V62</f>
        <v>0</v>
      </c>
      <c r="W145" s="1446"/>
      <c r="X145" s="1446"/>
      <c r="Y145" s="1446"/>
      <c r="Z145" s="1446"/>
      <c r="AA145" s="1446"/>
      <c r="AB145" s="1445"/>
      <c r="AC145" s="1445"/>
      <c r="AD145" s="1445"/>
      <c r="AE145" s="1448"/>
      <c r="AF145" s="1448"/>
      <c r="AG145" s="1448"/>
      <c r="AH145" s="1448"/>
    </row>
    <row r="146" spans="2:34" s="1440" customFormat="1" ht="36" customHeight="1" hidden="1" outlineLevel="1">
      <c r="B146" s="1441"/>
      <c r="C146" s="1442"/>
      <c r="D146" s="1442"/>
      <c r="E146" s="1442"/>
      <c r="F146" s="1442"/>
      <c r="G146" s="1442"/>
      <c r="H146" s="1441"/>
      <c r="I146" s="1443"/>
      <c r="J146" s="1444" t="s">
        <v>517</v>
      </c>
      <c r="K146" s="1445"/>
      <c r="L146" s="1446">
        <f>MOLISA!L67+'MOCST '!L32</f>
        <v>40680</v>
      </c>
      <c r="M146" s="1446">
        <f>MOLISA!M67+'MOCST '!M32</f>
        <v>38730</v>
      </c>
      <c r="N146" s="1446">
        <f>MOLISA!N67+'MOCST '!N32</f>
        <v>79410</v>
      </c>
      <c r="O146" s="1446">
        <f>MOLISA!O67+'MOCST '!O32</f>
        <v>34649</v>
      </c>
      <c r="P146" s="1446">
        <f>MOLISA!P67+'MOCST '!P32</f>
        <v>10712.25</v>
      </c>
      <c r="Q146" s="1446">
        <f>MOLISA!Q67+'MOCST '!Q32</f>
        <v>45361.25</v>
      </c>
      <c r="R146" s="1446">
        <f>MOLISA!R67+'MOCST '!R32</f>
        <v>0</v>
      </c>
      <c r="S146" s="1446">
        <f>MOLISA!S67+'MOCST '!S32</f>
        <v>6031</v>
      </c>
      <c r="T146" s="1446">
        <f>MOLISA!T67+'MOCST '!T32</f>
        <v>28017.75</v>
      </c>
      <c r="U146" s="1446">
        <f>MOLISA!U67+'MOCST '!U32</f>
        <v>34048.75</v>
      </c>
      <c r="V146" s="1446"/>
      <c r="W146" s="1446"/>
      <c r="X146" s="1446"/>
      <c r="Y146" s="1446"/>
      <c r="Z146" s="1446"/>
      <c r="AA146" s="1446"/>
      <c r="AB146" s="1445"/>
      <c r="AC146" s="1445"/>
      <c r="AD146" s="1445"/>
      <c r="AE146" s="1448"/>
      <c r="AF146" s="1448"/>
      <c r="AG146" s="1448"/>
      <c r="AH146" s="1448"/>
    </row>
    <row r="147" spans="2:34" s="1440" customFormat="1" ht="36" customHeight="1" hidden="1" outlineLevel="1">
      <c r="B147" s="1441"/>
      <c r="C147" s="1442"/>
      <c r="D147" s="1442"/>
      <c r="E147" s="1442"/>
      <c r="F147" s="1442"/>
      <c r="G147" s="1442"/>
      <c r="H147" s="1441"/>
      <c r="I147" s="1443"/>
      <c r="J147" s="1444" t="s">
        <v>518</v>
      </c>
      <c r="K147" s="1445"/>
      <c r="L147" s="1446">
        <f>GSO!L16</f>
        <v>33818</v>
      </c>
      <c r="M147" s="1446">
        <f>GSO!M16</f>
        <v>57006</v>
      </c>
      <c r="N147" s="1446">
        <f>GSO!N16</f>
        <v>90824</v>
      </c>
      <c r="O147" s="1446">
        <f>GSO!O16</f>
        <v>32328</v>
      </c>
      <c r="P147" s="1446">
        <f>GSO!P16</f>
        <v>53473</v>
      </c>
      <c r="Q147" s="1446">
        <f>GSO!Q16</f>
        <v>85801</v>
      </c>
      <c r="R147" s="1444"/>
      <c r="S147" s="1446">
        <f>GSO!S16</f>
        <v>1490</v>
      </c>
      <c r="T147" s="1446">
        <f>GSO!T16</f>
        <v>3533</v>
      </c>
      <c r="U147" s="1446">
        <f>GSO!U16</f>
        <v>5023</v>
      </c>
      <c r="V147" s="1446"/>
      <c r="W147" s="1446"/>
      <c r="X147" s="1446"/>
      <c r="Y147" s="1446"/>
      <c r="Z147" s="1446"/>
      <c r="AA147" s="1446"/>
      <c r="AB147" s="1445"/>
      <c r="AC147" s="1445"/>
      <c r="AD147" s="1445"/>
      <c r="AE147" s="1448"/>
      <c r="AF147" s="1448"/>
      <c r="AG147" s="1448"/>
      <c r="AH147" s="1448"/>
    </row>
    <row r="148" spans="2:34" s="1440" customFormat="1" ht="36" customHeight="1" hidden="1" outlineLevel="1">
      <c r="B148" s="1441"/>
      <c r="C148" s="1442"/>
      <c r="D148" s="1442"/>
      <c r="E148" s="1442"/>
      <c r="F148" s="1442"/>
      <c r="G148" s="1442"/>
      <c r="H148" s="1441"/>
      <c r="I148" s="1443"/>
      <c r="J148" s="1444" t="s">
        <v>519</v>
      </c>
      <c r="K148" s="1445"/>
      <c r="L148" s="1446">
        <f>GSO!L27</f>
        <v>15434</v>
      </c>
      <c r="M148" s="1446">
        <f>GSO!M27</f>
        <v>62950</v>
      </c>
      <c r="N148" s="1446">
        <f>GSO!N27</f>
        <v>78384</v>
      </c>
      <c r="O148" s="1446">
        <f>GSO!O27</f>
        <v>7297</v>
      </c>
      <c r="P148" s="1446">
        <f>GSO!P27</f>
        <v>23293</v>
      </c>
      <c r="Q148" s="1446">
        <f>GSO!Q27</f>
        <v>30590</v>
      </c>
      <c r="R148" s="1444"/>
      <c r="S148" s="1446">
        <f>GSO!S27</f>
        <v>8137</v>
      </c>
      <c r="T148" s="1446">
        <f>GSO!T27</f>
        <v>39657</v>
      </c>
      <c r="U148" s="1446">
        <f>GSO!U27</f>
        <v>47794</v>
      </c>
      <c r="V148" s="1446"/>
      <c r="W148" s="1446"/>
      <c r="X148" s="1446"/>
      <c r="Y148" s="1446"/>
      <c r="Z148" s="1446"/>
      <c r="AA148" s="1446"/>
      <c r="AB148" s="1445"/>
      <c r="AC148" s="1445"/>
      <c r="AD148" s="1445"/>
      <c r="AE148" s="1448"/>
      <c r="AF148" s="1448"/>
      <c r="AG148" s="1448"/>
      <c r="AH148" s="1448"/>
    </row>
    <row r="149" spans="2:34" s="1440" customFormat="1" ht="36" customHeight="1" hidden="1" outlineLevel="1">
      <c r="B149" s="1441"/>
      <c r="C149" s="1442"/>
      <c r="D149" s="1442"/>
      <c r="E149" s="1442"/>
      <c r="F149" s="1442"/>
      <c r="G149" s="1442"/>
      <c r="H149" s="1441"/>
      <c r="I149" s="1443"/>
      <c r="J149" s="1444" t="s">
        <v>520</v>
      </c>
      <c r="K149" s="1445"/>
      <c r="L149" s="1446">
        <f>MOLISA!L75+GSO!L32</f>
        <v>92737</v>
      </c>
      <c r="M149" s="1446">
        <f>MOLISA!M75+GSO!M32</f>
        <v>78603</v>
      </c>
      <c r="N149" s="1446">
        <f>MOLISA!N75+GSO!N32</f>
        <v>171340</v>
      </c>
      <c r="O149" s="1446">
        <f>MOLISA!O75+GSO!O32</f>
        <v>85743</v>
      </c>
      <c r="P149" s="1446">
        <f>MOLISA!P75+GSO!P32</f>
        <v>26000</v>
      </c>
      <c r="Q149" s="1446">
        <f>MOLISA!Q75+GSO!Q32</f>
        <v>111743</v>
      </c>
      <c r="R149" s="1444"/>
      <c r="S149" s="1446">
        <f>MOLISA!S75+GSO!S32</f>
        <v>6994</v>
      </c>
      <c r="T149" s="1446">
        <f>MOLISA!T75+GSO!T32</f>
        <v>52603</v>
      </c>
      <c r="U149" s="1446">
        <f>MOLISA!U75+GSO!U32</f>
        <v>59597</v>
      </c>
      <c r="V149" s="1446"/>
      <c r="W149" s="1446"/>
      <c r="X149" s="1446"/>
      <c r="Y149" s="1446"/>
      <c r="Z149" s="1446"/>
      <c r="AA149" s="1446"/>
      <c r="AB149" s="1445"/>
      <c r="AC149" s="1445"/>
      <c r="AD149" s="1445"/>
      <c r="AE149" s="1448"/>
      <c r="AF149" s="1448"/>
      <c r="AG149" s="1448"/>
      <c r="AH149" s="1448"/>
    </row>
    <row r="150" spans="2:34" s="1440" customFormat="1" ht="36" customHeight="1" hidden="1" outlineLevel="1">
      <c r="B150" s="1441"/>
      <c r="C150" s="1442"/>
      <c r="D150" s="1442"/>
      <c r="E150" s="1442"/>
      <c r="F150" s="1442"/>
      <c r="G150" s="1442"/>
      <c r="H150" s="1441"/>
      <c r="I150" s="1443"/>
      <c r="J150" s="1444" t="s">
        <v>521</v>
      </c>
      <c r="K150" s="1445"/>
      <c r="L150" s="1446">
        <f>MOLISA!L78+GSO!L39</f>
        <v>22000</v>
      </c>
      <c r="M150" s="1446">
        <f>MOLISA!M78+GSO!M39</f>
        <v>15336</v>
      </c>
      <c r="N150" s="1446">
        <f>MOLISA!N78+GSO!N39</f>
        <v>37336</v>
      </c>
      <c r="O150" s="1446">
        <f>MOLISA!O78+GSO!O39</f>
        <v>2155</v>
      </c>
      <c r="P150" s="1446">
        <f>MOLISA!P78+GSO!P39</f>
        <v>0</v>
      </c>
      <c r="Q150" s="1446">
        <f>MOLISA!Q78+GSO!Q39</f>
        <v>2155</v>
      </c>
      <c r="R150" s="1444"/>
      <c r="S150" s="1446">
        <f>MOLISA!S78+GSO!S39</f>
        <v>19845</v>
      </c>
      <c r="T150" s="1446">
        <f>MOLISA!T78+GSO!T39</f>
        <v>15336</v>
      </c>
      <c r="U150" s="1446">
        <f>MOLISA!U78+GSO!U39</f>
        <v>35181</v>
      </c>
      <c r="V150" s="1446"/>
      <c r="W150" s="1446"/>
      <c r="X150" s="1446"/>
      <c r="Y150" s="1446"/>
      <c r="Z150" s="1446"/>
      <c r="AA150" s="1446"/>
      <c r="AB150" s="1445"/>
      <c r="AC150" s="1445"/>
      <c r="AD150" s="1445"/>
      <c r="AE150" s="1448"/>
      <c r="AF150" s="1448"/>
      <c r="AG150" s="1448"/>
      <c r="AH150" s="1448"/>
    </row>
    <row r="151" spans="2:34" s="1440" customFormat="1" ht="36" customHeight="1" hidden="1" outlineLevel="1">
      <c r="B151" s="1441"/>
      <c r="C151" s="1442"/>
      <c r="D151" s="1442"/>
      <c r="E151" s="1442"/>
      <c r="F151" s="1442"/>
      <c r="G151" s="1442"/>
      <c r="H151" s="1441"/>
      <c r="I151" s="1443"/>
      <c r="J151" s="1444" t="s">
        <v>522</v>
      </c>
      <c r="K151" s="1445"/>
      <c r="L151" s="1446">
        <f>MOLISA!L79+'MOCST '!L33+GSO!L40</f>
        <v>110843</v>
      </c>
      <c r="M151" s="1446">
        <f>MOLISA!M79+'MOCST '!M33+GSO!M40</f>
        <v>178825</v>
      </c>
      <c r="N151" s="1446">
        <f>MOLISA!N79+'MOCST '!N33+GSO!N40</f>
        <v>289668</v>
      </c>
      <c r="O151" s="1446">
        <f>MOLISA!O79+'MOCST '!O33+GSO!O40</f>
        <v>77510</v>
      </c>
      <c r="P151" s="1446">
        <f>MOLISA!P79+'MOCST '!P33+GSO!P40</f>
        <v>134043.83000000002</v>
      </c>
      <c r="Q151" s="1446">
        <f>MOLISA!Q79+'MOCST '!Q33+GSO!Q40</f>
        <v>211553.83</v>
      </c>
      <c r="R151" s="1446">
        <f>MOLISA!R79+'MOCST '!R33+GSO!R40</f>
        <v>0</v>
      </c>
      <c r="S151" s="1446">
        <f>MOLISA!S79+'MOCST '!S33+GSO!S40</f>
        <v>33333</v>
      </c>
      <c r="T151" s="1446">
        <f>MOLISA!T79+'MOCST '!T33+GSO!T40</f>
        <v>44781.17</v>
      </c>
      <c r="U151" s="1446">
        <f>MOLISA!U79+'MOCST '!U33+GSO!U40</f>
        <v>78114.17</v>
      </c>
      <c r="V151" s="1446"/>
      <c r="W151" s="1446"/>
      <c r="X151" s="1446"/>
      <c r="Y151" s="1446"/>
      <c r="Z151" s="1446"/>
      <c r="AA151" s="1446"/>
      <c r="AB151" s="1445"/>
      <c r="AC151" s="1445"/>
      <c r="AD151" s="1445"/>
      <c r="AE151" s="1448"/>
      <c r="AF151" s="1448"/>
      <c r="AG151" s="1448"/>
      <c r="AH151" s="1448"/>
    </row>
    <row r="152" spans="2:34" s="1440" customFormat="1" ht="35.25" customHeight="1" hidden="1" outlineLevel="1">
      <c r="B152" s="1441"/>
      <c r="C152" s="1442"/>
      <c r="D152" s="1442"/>
      <c r="E152" s="1442"/>
      <c r="F152" s="1442"/>
      <c r="G152" s="1442"/>
      <c r="H152" s="1441"/>
      <c r="I152" s="1443"/>
      <c r="J152" s="1444" t="s">
        <v>174</v>
      </c>
      <c r="K152" s="1445"/>
      <c r="L152" s="1446">
        <f aca="true" t="shared" si="51" ref="L152:Q152">SUM(L141:L151)</f>
        <v>869012</v>
      </c>
      <c r="M152" s="1446">
        <f t="shared" si="51"/>
        <v>994341</v>
      </c>
      <c r="N152" s="1446">
        <f t="shared" si="51"/>
        <v>1863353</v>
      </c>
      <c r="O152" s="1446">
        <f t="shared" si="51"/>
        <v>703408</v>
      </c>
      <c r="P152" s="1446">
        <f t="shared" si="51"/>
        <v>771989.8300000001</v>
      </c>
      <c r="Q152" s="1446">
        <f t="shared" si="51"/>
        <v>1475397.83</v>
      </c>
      <c r="R152" s="1444"/>
      <c r="S152" s="1446">
        <f>SUM(S141:S151)</f>
        <v>165604</v>
      </c>
      <c r="T152" s="1446">
        <f>SUM(T141:T151)</f>
        <v>222351.16999999998</v>
      </c>
      <c r="U152" s="1446">
        <f>SUM(U141:U151)</f>
        <v>387955.17</v>
      </c>
      <c r="V152" s="1446"/>
      <c r="W152" s="1446"/>
      <c r="X152" s="1446"/>
      <c r="Y152" s="1446"/>
      <c r="Z152" s="1446"/>
      <c r="AA152" s="1446"/>
      <c r="AB152" s="1445"/>
      <c r="AC152" s="1445"/>
      <c r="AD152" s="1445"/>
      <c r="AE152" s="1448"/>
      <c r="AF152" s="1448"/>
      <c r="AG152" s="1448"/>
      <c r="AH152" s="1448"/>
    </row>
    <row r="153" spans="2:34" s="1440" customFormat="1" ht="35.25" customHeight="1" hidden="1" outlineLevel="1">
      <c r="B153" s="1441"/>
      <c r="C153" s="1442"/>
      <c r="D153" s="1442"/>
      <c r="E153" s="1442"/>
      <c r="F153" s="1442"/>
      <c r="G153" s="1442"/>
      <c r="H153" s="1441"/>
      <c r="I153" s="1443"/>
      <c r="J153" s="1449" t="s">
        <v>525</v>
      </c>
      <c r="K153" s="1445"/>
      <c r="L153" s="1449">
        <f>L152*7%</f>
        <v>60830.840000000004</v>
      </c>
      <c r="M153" s="1449">
        <f aca="true" t="shared" si="52" ref="M153:S153">M152*7%</f>
        <v>69603.87000000001</v>
      </c>
      <c r="N153" s="1449">
        <f t="shared" si="52"/>
        <v>130434.71</v>
      </c>
      <c r="O153" s="1449">
        <f t="shared" si="52"/>
        <v>49238.560000000005</v>
      </c>
      <c r="P153" s="1449">
        <f>P152*7%-2430</f>
        <v>51609.28810000001</v>
      </c>
      <c r="Q153" s="1449">
        <f>Q152*7%-2430</f>
        <v>100847.84810000002</v>
      </c>
      <c r="R153" s="1449"/>
      <c r="S153" s="1449">
        <f t="shared" si="52"/>
        <v>11592.28</v>
      </c>
      <c r="T153" s="1449">
        <f>T152*7%+2430</f>
        <v>17994.5819</v>
      </c>
      <c r="U153" s="1449">
        <f>U152*7%+2430</f>
        <v>29586.8619</v>
      </c>
      <c r="V153" s="1446"/>
      <c r="W153" s="1446"/>
      <c r="X153" s="1446"/>
      <c r="Y153" s="1446"/>
      <c r="Z153" s="1446"/>
      <c r="AA153" s="1446"/>
      <c r="AB153" s="1445"/>
      <c r="AC153" s="1445"/>
      <c r="AD153" s="1445"/>
      <c r="AE153" s="1448"/>
      <c r="AF153" s="1448"/>
      <c r="AG153" s="1448"/>
      <c r="AH153" s="1448"/>
    </row>
    <row r="154" spans="2:34" s="1440" customFormat="1" ht="35.25" customHeight="1" hidden="1" outlineLevel="1">
      <c r="B154" s="1441"/>
      <c r="C154" s="1442"/>
      <c r="D154" s="1442"/>
      <c r="E154" s="1442"/>
      <c r="F154" s="1442"/>
      <c r="G154" s="1442"/>
      <c r="H154" s="1441"/>
      <c r="I154" s="1443"/>
      <c r="J154" s="1449" t="s">
        <v>146</v>
      </c>
      <c r="K154" s="1445"/>
      <c r="L154" s="1449">
        <f>SUM(L152:L153)</f>
        <v>929842.84</v>
      </c>
      <c r="M154" s="1449">
        <f aca="true" t="shared" si="53" ref="M154:U154">SUM(M152:M153)</f>
        <v>1063944.87</v>
      </c>
      <c r="N154" s="1449">
        <f t="shared" si="53"/>
        <v>1993787.71</v>
      </c>
      <c r="O154" s="1449">
        <f t="shared" si="53"/>
        <v>752646.56</v>
      </c>
      <c r="P154" s="1449">
        <f t="shared" si="53"/>
        <v>823599.1181000001</v>
      </c>
      <c r="Q154" s="1449">
        <f t="shared" si="53"/>
        <v>1576245.6781000001</v>
      </c>
      <c r="R154" s="1449"/>
      <c r="S154" s="1449">
        <f t="shared" si="53"/>
        <v>177196.28</v>
      </c>
      <c r="T154" s="1449">
        <f t="shared" si="53"/>
        <v>240345.75189999997</v>
      </c>
      <c r="U154" s="1449">
        <f t="shared" si="53"/>
        <v>417542.0319</v>
      </c>
      <c r="V154" s="1446"/>
      <c r="W154" s="1446"/>
      <c r="X154" s="1446"/>
      <c r="Y154" s="1446"/>
      <c r="Z154" s="1446"/>
      <c r="AA154" s="1446"/>
      <c r="AB154" s="1445"/>
      <c r="AC154" s="1445"/>
      <c r="AD154" s="1445"/>
      <c r="AE154" s="1448"/>
      <c r="AF154" s="1448"/>
      <c r="AG154" s="1448"/>
      <c r="AH154" s="1448"/>
    </row>
    <row r="155" spans="2:34" s="1440" customFormat="1" ht="35.25" customHeight="1" hidden="1" outlineLevel="1" thickBot="1">
      <c r="B155" s="1441"/>
      <c r="C155" s="1442"/>
      <c r="D155" s="1442"/>
      <c r="E155" s="1442"/>
      <c r="F155" s="1442"/>
      <c r="G155" s="1442"/>
      <c r="H155" s="1441"/>
      <c r="I155" s="1443"/>
      <c r="J155" s="1449"/>
      <c r="K155" s="1445"/>
      <c r="L155" s="1449"/>
      <c r="M155" s="1449"/>
      <c r="N155" s="1449"/>
      <c r="O155" s="1449"/>
      <c r="P155" s="1449">
        <f>111+1428+891</f>
        <v>2430</v>
      </c>
      <c r="Q155" s="1449"/>
      <c r="R155" s="1449"/>
      <c r="S155" s="1449"/>
      <c r="T155" s="1449"/>
      <c r="U155" s="1449"/>
      <c r="V155" s="1446"/>
      <c r="W155" s="1446"/>
      <c r="X155" s="1446"/>
      <c r="Y155" s="1446"/>
      <c r="Z155" s="1446"/>
      <c r="AA155" s="1446"/>
      <c r="AB155" s="1445"/>
      <c r="AC155" s="1445"/>
      <c r="AD155" s="1445"/>
      <c r="AE155" s="1448"/>
      <c r="AF155" s="1448"/>
      <c r="AG155" s="1448"/>
      <c r="AH155" s="1448"/>
    </row>
    <row r="156" spans="1:34" s="1227" customFormat="1" ht="39" customHeight="1" hidden="1" outlineLevel="2">
      <c r="A156" s="1377"/>
      <c r="B156" s="1378"/>
      <c r="C156" s="1379"/>
      <c r="D156" s="1379"/>
      <c r="E156" s="1379"/>
      <c r="F156" s="1379"/>
      <c r="G156" s="1379"/>
      <c r="H156" s="1255"/>
      <c r="I156" s="1253"/>
      <c r="J156" s="1255"/>
      <c r="K156" s="1380"/>
      <c r="L156" s="2053"/>
      <c r="M156" s="2053"/>
      <c r="N156" s="2054"/>
      <c r="O156" s="2049" t="s">
        <v>81</v>
      </c>
      <c r="P156" s="2055"/>
      <c r="Q156" s="2055"/>
      <c r="R156" s="2056"/>
      <c r="S156" s="2049" t="s">
        <v>92</v>
      </c>
      <c r="T156" s="2055"/>
      <c r="U156" s="2055"/>
      <c r="V156" s="2056"/>
      <c r="W156" s="2052" t="s">
        <v>98</v>
      </c>
      <c r="X156" s="2050"/>
      <c r="Y156" s="2050"/>
      <c r="Z156" s="2051"/>
      <c r="AA156" s="2049" t="s">
        <v>99</v>
      </c>
      <c r="AB156" s="2050"/>
      <c r="AC156" s="2050"/>
      <c r="AD156" s="2051"/>
      <c r="AE156" s="2052" t="s">
        <v>84</v>
      </c>
      <c r="AF156" s="2050"/>
      <c r="AG156" s="2050"/>
      <c r="AH156" s="2051"/>
    </row>
    <row r="157" spans="1:34" s="1227" customFormat="1" ht="57.75" customHeight="1" hidden="1" outlineLevel="2">
      <c r="A157" s="1377"/>
      <c r="B157" s="1378"/>
      <c r="C157" s="1379"/>
      <c r="D157" s="1379"/>
      <c r="E157" s="1379"/>
      <c r="F157" s="1379"/>
      <c r="G157" s="1379"/>
      <c r="H157" s="1255"/>
      <c r="I157" s="1253"/>
      <c r="J157" s="1255"/>
      <c r="K157" s="1381" t="s">
        <v>136</v>
      </c>
      <c r="L157" s="1382" t="s">
        <v>184</v>
      </c>
      <c r="M157" s="1229" t="s">
        <v>38</v>
      </c>
      <c r="N157" s="1381" t="s">
        <v>39</v>
      </c>
      <c r="O157" s="1381" t="s">
        <v>36</v>
      </c>
      <c r="P157" s="1228" t="s">
        <v>37</v>
      </c>
      <c r="Q157" s="1229" t="s">
        <v>38</v>
      </c>
      <c r="R157" s="1381" t="s">
        <v>39</v>
      </c>
      <c r="S157" s="1381" t="s">
        <v>36</v>
      </c>
      <c r="T157" s="1228" t="s">
        <v>37</v>
      </c>
      <c r="U157" s="1229" t="s">
        <v>38</v>
      </c>
      <c r="V157" s="1381" t="s">
        <v>39</v>
      </c>
      <c r="W157" s="1228" t="s">
        <v>36</v>
      </c>
      <c r="X157" s="1228" t="s">
        <v>344</v>
      </c>
      <c r="Y157" s="1229" t="s">
        <v>38</v>
      </c>
      <c r="Z157" s="1230" t="s">
        <v>39</v>
      </c>
      <c r="AA157" s="1228" t="s">
        <v>36</v>
      </c>
      <c r="AB157" s="1228" t="s">
        <v>344</v>
      </c>
      <c r="AC157" s="1229" t="s">
        <v>38</v>
      </c>
      <c r="AD157" s="1230" t="s">
        <v>39</v>
      </c>
      <c r="AE157" s="1228" t="s">
        <v>36</v>
      </c>
      <c r="AF157" s="1228" t="s">
        <v>344</v>
      </c>
      <c r="AG157" s="1382" t="s">
        <v>38</v>
      </c>
      <c r="AH157" s="1383" t="s">
        <v>39</v>
      </c>
    </row>
    <row r="158" spans="1:34" s="1227" customFormat="1" ht="33.75" customHeight="1" hidden="1" outlineLevel="2">
      <c r="A158" s="1377"/>
      <c r="B158" s="1255" t="s">
        <v>197</v>
      </c>
      <c r="C158" s="1384"/>
      <c r="D158" s="1384"/>
      <c r="E158" s="1384"/>
      <c r="F158" s="1384"/>
      <c r="G158" s="1384"/>
      <c r="H158" s="1255"/>
      <c r="I158" s="1253"/>
      <c r="J158" s="1255"/>
      <c r="K158" s="1231" t="e">
        <f>#REF!+#REF!</f>
        <v>#REF!</v>
      </c>
      <c r="L158" s="1115">
        <f>MOLISA!L102+'MOCST '!L51+GSO!L57</f>
        <v>95165</v>
      </c>
      <c r="M158" s="1115">
        <f>MOLISA!M102+'MOCST '!M51+GSO!M57</f>
        <v>6661.55</v>
      </c>
      <c r="N158" s="1115">
        <f>MOLISA!N102+'MOCST '!N51+GSO!N57</f>
        <v>101826.55</v>
      </c>
      <c r="O158" s="1115">
        <f>MOLISA!O102+'MOCST '!O51+GSO!O57</f>
        <v>118592</v>
      </c>
      <c r="P158" s="1115">
        <f>MOLISA!P102+'MOCST '!P51+GSO!P57</f>
        <v>101090</v>
      </c>
      <c r="Q158" s="1115">
        <f>MOLISA!Q102+'MOCST '!Q51+GSO!Q57</f>
        <v>7076.300000000001</v>
      </c>
      <c r="R158" s="1228">
        <f>MOLISA!R102+'MOCST '!R51+GSO!R57</f>
        <v>108166.3</v>
      </c>
      <c r="S158" s="1115">
        <f>MOLISA!S102+'MOCST '!S51+GSO!S57</f>
        <v>-9042</v>
      </c>
      <c r="T158" s="1115">
        <f>MOLISA!T102+'MOCST '!T51+GSO!T57</f>
        <v>-5925</v>
      </c>
      <c r="U158" s="1115">
        <f>MOLISA!U102+'MOCST '!U51+GSO!U57</f>
        <v>-414.75000000000006</v>
      </c>
      <c r="V158" s="1115">
        <f>MOLISA!V102+'MOCST '!V51+GSO!V57</f>
        <v>-6339.75</v>
      </c>
      <c r="W158" s="1115">
        <f>MOLISA!W102+'MOCST '!W51+GSO!W57</f>
        <v>66100</v>
      </c>
      <c r="X158" s="1115">
        <f>MOLISA!X102+'MOCST '!X51+GSO!X57</f>
        <v>22692</v>
      </c>
      <c r="Y158" s="1115">
        <f>MOLISA!Y102+'MOCST '!Y51+GSO!Y57</f>
        <v>1588.44</v>
      </c>
      <c r="Z158" s="1115">
        <f>MOLISA!Z102+'MOCST '!Z51+GSO!Z57</f>
        <v>24280.44</v>
      </c>
      <c r="AA158" s="1115">
        <f>MOLISA!AA102+'MOCST '!AA51+GSO!AA57</f>
        <v>0</v>
      </c>
      <c r="AB158" s="1115">
        <f>MOLISA!AB102+'MOCST '!AB51+GSO!AB57</f>
        <v>0</v>
      </c>
      <c r="AC158" s="1115">
        <f>MOLISA!AC102+'MOCST '!AC51+GSO!AC57</f>
        <v>0</v>
      </c>
      <c r="AD158" s="1231">
        <f>MOLISA!AD102+'MOCST '!AD51+GSO!AD57</f>
        <v>0</v>
      </c>
      <c r="AE158" s="1115">
        <f>MOLISA!AE102+'MOCST '!AE51+GSO!AE57</f>
        <v>66100</v>
      </c>
      <c r="AF158" s="1115">
        <f>MOLISA!AF102+'MOCST '!AF51+GSO!AF57</f>
        <v>22692</v>
      </c>
      <c r="AG158" s="1115">
        <f>MOLISA!AG102+'MOCST '!AG51+GSO!AG57</f>
        <v>1588.44</v>
      </c>
      <c r="AH158" s="1115">
        <f>MOLISA!AH102+'MOCST '!AH51+GSO!AH57</f>
        <v>24280.44</v>
      </c>
    </row>
    <row r="159" spans="1:34" s="1227" customFormat="1" ht="33.75" customHeight="1" hidden="1" outlineLevel="2">
      <c r="A159" s="1377"/>
      <c r="B159" s="1255" t="s">
        <v>198</v>
      </c>
      <c r="C159" s="1379"/>
      <c r="D159" s="1379"/>
      <c r="E159" s="1379"/>
      <c r="F159" s="1379"/>
      <c r="G159" s="1379"/>
      <c r="H159" s="1255"/>
      <c r="I159" s="1319"/>
      <c r="J159" s="1255"/>
      <c r="K159" s="1231" t="e">
        <f>#REF!+#REF!</f>
        <v>#REF!</v>
      </c>
      <c r="L159" s="1115">
        <f>MOLISA!L103+'MOCST '!L52+GSO!L58</f>
        <v>93536</v>
      </c>
      <c r="M159" s="1115">
        <f>MOLISA!M103+'MOCST '!M52+GSO!M58</f>
        <v>6547.52</v>
      </c>
      <c r="N159" s="1115">
        <f>MOLISA!N103+'MOCST '!N52+GSO!N58</f>
        <v>100083.52</v>
      </c>
      <c r="O159" s="1115">
        <f>MOLISA!O103+'MOCST '!O52+GSO!O58</f>
        <v>145363</v>
      </c>
      <c r="P159" s="1115">
        <f>MOLISA!P103+'MOCST '!P52+GSO!P58</f>
        <v>63928</v>
      </c>
      <c r="Q159" s="1115">
        <f>MOLISA!Q103+'MOCST '!Q52+GSO!Q58</f>
        <v>4474.96</v>
      </c>
      <c r="R159" s="1228">
        <f>MOLISA!R103+'MOCST '!R52+GSO!R58</f>
        <v>68402.96</v>
      </c>
      <c r="S159" s="1115">
        <f>MOLISA!S103+'MOCST '!S52+GSO!S58</f>
        <v>-15363</v>
      </c>
      <c r="T159" s="1115">
        <f>MOLISA!T103+'MOCST '!T52+GSO!T58</f>
        <v>29608</v>
      </c>
      <c r="U159" s="1115">
        <f>MOLISA!U103+'MOCST '!U52+GSO!U58</f>
        <v>2072.5600000000004</v>
      </c>
      <c r="V159" s="1115">
        <f>MOLISA!V103+'MOCST '!V52+GSO!V58</f>
        <v>31680.56</v>
      </c>
      <c r="W159" s="1115">
        <f>MOLISA!W103+'MOCST '!W52+GSO!W58</f>
        <v>216643</v>
      </c>
      <c r="X159" s="1115">
        <f>MOLISA!X103+'MOCST '!X52+GSO!X58</f>
        <v>70144</v>
      </c>
      <c r="Y159" s="1115">
        <f>MOLISA!Y103+'MOCST '!Y52+GSO!Y58</f>
        <v>4910.080000000001</v>
      </c>
      <c r="Z159" s="1115">
        <f>MOLISA!Z103+'MOCST '!Z52+GSO!Z58</f>
        <v>75054.08</v>
      </c>
      <c r="AA159" s="1115">
        <f>MOLISA!AA103+'MOCST '!AA52+GSO!AA58</f>
        <v>27500</v>
      </c>
      <c r="AB159" s="1115">
        <f>MOLISA!AB103+'MOCST '!AB52+GSO!AB58</f>
        <v>0</v>
      </c>
      <c r="AC159" s="1115">
        <f>MOLISA!AC103+'MOCST '!AC52+GSO!AC58</f>
        <v>0</v>
      </c>
      <c r="AD159" s="1231">
        <f>MOLISA!AD103+'MOCST '!AD52+GSO!AD58</f>
        <v>0</v>
      </c>
      <c r="AE159" s="1115">
        <f>MOLISA!AE103+'MOCST '!AE52+GSO!AE58</f>
        <v>244143</v>
      </c>
      <c r="AF159" s="1115">
        <f>MOLISA!AF103+'MOCST '!AF52+GSO!AF58</f>
        <v>70144</v>
      </c>
      <c r="AG159" s="1115">
        <f>MOLISA!AG103+'MOCST '!AG52+GSO!AG58</f>
        <v>4910.080000000001</v>
      </c>
      <c r="AH159" s="1115">
        <f>MOLISA!AH103+'MOCST '!AH52+GSO!AH58</f>
        <v>75054.08</v>
      </c>
    </row>
    <row r="160" spans="1:34" s="1227" customFormat="1" ht="33.75" customHeight="1" hidden="1" outlineLevel="2">
      <c r="A160" s="1377"/>
      <c r="B160" s="1255" t="s">
        <v>199</v>
      </c>
      <c r="C160" s="1379"/>
      <c r="D160" s="1379"/>
      <c r="E160" s="1384"/>
      <c r="F160" s="1379"/>
      <c r="G160" s="1379"/>
      <c r="H160" s="1255"/>
      <c r="I160" s="1253"/>
      <c r="J160" s="1255"/>
      <c r="K160" s="1231" t="e">
        <f>#REF!+#REF!</f>
        <v>#REF!</v>
      </c>
      <c r="L160" s="1115">
        <f>MOLISA!L104+'MOCST '!L53+GSO!L59</f>
        <v>178659</v>
      </c>
      <c r="M160" s="1115">
        <f>MOLISA!M104+'MOCST '!M53+GSO!M59</f>
        <v>12506.130000000001</v>
      </c>
      <c r="N160" s="1115">
        <f>MOLISA!N104+'MOCST '!N53+GSO!N59</f>
        <v>191165.13</v>
      </c>
      <c r="O160" s="1115">
        <f>MOLISA!O104+'MOCST '!O53+GSO!O59</f>
        <v>72390</v>
      </c>
      <c r="P160" s="1115">
        <f>MOLISA!P104+'MOCST '!P53+GSO!P59</f>
        <v>135299</v>
      </c>
      <c r="Q160" s="1115">
        <f>MOLISA!Q104+'MOCST '!Q53+GSO!Q59</f>
        <v>9470.93</v>
      </c>
      <c r="R160" s="1228">
        <f>MOLISA!R104+'MOCST '!R53+GSO!R59</f>
        <v>144769.93000000002</v>
      </c>
      <c r="S160" s="1115">
        <f>MOLISA!S104+'MOCST '!S53+GSO!S59</f>
        <v>18435</v>
      </c>
      <c r="T160" s="1115">
        <f>MOLISA!T104+'MOCST '!T53+GSO!T59</f>
        <v>43360</v>
      </c>
      <c r="U160" s="1115">
        <f>MOLISA!U104+'MOCST '!U53+GSO!U59</f>
        <v>3035.2000000000003</v>
      </c>
      <c r="V160" s="1115">
        <f>MOLISA!V104+'MOCST '!V53+GSO!V59</f>
        <v>46395.2</v>
      </c>
      <c r="W160" s="1115">
        <f>MOLISA!W104+'MOCST '!W53+GSO!W59</f>
        <v>121751</v>
      </c>
      <c r="X160" s="1115">
        <f>MOLISA!X104+'MOCST '!X53+GSO!X59</f>
        <v>153888</v>
      </c>
      <c r="Y160" s="1115">
        <f>MOLISA!Y104+'MOCST '!Y53+GSO!Y59</f>
        <v>10772.16</v>
      </c>
      <c r="Z160" s="1115">
        <f>MOLISA!Z104+'MOCST '!Z53+GSO!Z59</f>
        <v>164660.15999999997</v>
      </c>
      <c r="AA160" s="1115">
        <f>MOLISA!AA104+'MOCST '!AA53+GSO!AA59</f>
        <v>0</v>
      </c>
      <c r="AB160" s="1115">
        <f>MOLISA!AB104+'MOCST '!AB53+GSO!AB59</f>
        <v>24057</v>
      </c>
      <c r="AC160" s="1115">
        <f>MOLISA!AC104+'MOCST '!AC53+GSO!AC59</f>
        <v>1683.9900000000002</v>
      </c>
      <c r="AD160" s="1231">
        <f>MOLISA!AD104+'MOCST '!AD53+GSO!AD59</f>
        <v>25740.99</v>
      </c>
      <c r="AE160" s="1115">
        <f>MOLISA!AE104+'MOCST '!AE53+GSO!AE59</f>
        <v>121751</v>
      </c>
      <c r="AF160" s="1115">
        <f>MOLISA!AF104+'MOCST '!AF53+GSO!AF59</f>
        <v>177945</v>
      </c>
      <c r="AG160" s="1115">
        <f>MOLISA!AG104+'MOCST '!AG53+GSO!AG59</f>
        <v>12456.15</v>
      </c>
      <c r="AH160" s="1115">
        <f>MOLISA!AH104+'MOCST '!AH53+GSO!AH59</f>
        <v>190401.15000000002</v>
      </c>
    </row>
    <row r="161" spans="1:34" s="1227" customFormat="1" ht="33.75" customHeight="1" hidden="1" outlineLevel="2">
      <c r="A161" s="1377"/>
      <c r="B161" s="1255" t="s">
        <v>201</v>
      </c>
      <c r="C161" s="1379"/>
      <c r="D161" s="1379"/>
      <c r="E161" s="1379"/>
      <c r="F161" s="1379"/>
      <c r="G161" s="1379"/>
      <c r="H161" s="1255"/>
      <c r="I161" s="1253"/>
      <c r="J161" s="1255"/>
      <c r="K161" s="1231" t="e">
        <f>#REF!+#REF!</f>
        <v>#REF!</v>
      </c>
      <c r="L161" s="1115">
        <f>MOLISA!L105+'MOCST '!L54+GSO!L60</f>
        <v>138603</v>
      </c>
      <c r="M161" s="1115">
        <f>MOLISA!M105+'MOCST '!M54+GSO!M60</f>
        <v>9702.210000000001</v>
      </c>
      <c r="N161" s="1115">
        <f>MOLISA!N105+'MOCST '!N54+GSO!N60</f>
        <v>148305.21</v>
      </c>
      <c r="O161" s="1115">
        <f>MOLISA!O105+'MOCST '!O54+GSO!O60</f>
        <v>38194</v>
      </c>
      <c r="P161" s="1115">
        <f>MOLISA!P105+'MOCST '!P54+GSO!P60</f>
        <v>130086</v>
      </c>
      <c r="Q161" s="1115">
        <f>MOLISA!Q105+'MOCST '!Q54+GSO!Q60</f>
        <v>9106.02</v>
      </c>
      <c r="R161" s="1228">
        <f>MOLISA!R105+'MOCST '!R54+GSO!R60</f>
        <v>139192.02</v>
      </c>
      <c r="S161" s="1115">
        <f>MOLISA!S105+'MOCST '!S54+GSO!S60</f>
        <v>42056</v>
      </c>
      <c r="T161" s="1115">
        <f>MOLISA!T105+'MOCST '!T54+GSO!T60</f>
        <v>8517</v>
      </c>
      <c r="U161" s="1115">
        <f>MOLISA!U105+'MOCST '!U54+GSO!U60</f>
        <v>596.19</v>
      </c>
      <c r="V161" s="1115">
        <f>MOLISA!V105+'MOCST '!V54+GSO!V60</f>
        <v>9113.19</v>
      </c>
      <c r="W161" s="1115">
        <f>MOLISA!W105+'MOCST '!W54+GSO!W60</f>
        <v>50863</v>
      </c>
      <c r="X161" s="1115">
        <f>MOLISA!X105+'MOCST '!X54+GSO!X60</f>
        <v>20935</v>
      </c>
      <c r="Y161" s="1115">
        <f>MOLISA!Y105+'MOCST '!Y54+GSO!Y60</f>
        <v>1465.45</v>
      </c>
      <c r="Z161" s="1115">
        <f>MOLISA!Z105+'MOCST '!Z54+GSO!Z60</f>
        <v>22400.45</v>
      </c>
      <c r="AA161" s="1115">
        <f>MOLISA!AA105+'MOCST '!AA54+GSO!AA60</f>
        <v>0</v>
      </c>
      <c r="AB161" s="1115">
        <f>MOLISA!AB105+'MOCST '!AB54+GSO!AB60</f>
        <v>0</v>
      </c>
      <c r="AC161" s="1115">
        <f>MOLISA!AC105+'MOCST '!AC54+GSO!AC60</f>
        <v>0</v>
      </c>
      <c r="AD161" s="1231">
        <f>MOLISA!AD105+'MOCST '!AD54+GSO!AD60</f>
        <v>0</v>
      </c>
      <c r="AE161" s="1115">
        <f>MOLISA!AE105+'MOCST '!AE54+GSO!AE60</f>
        <v>50863</v>
      </c>
      <c r="AF161" s="1115">
        <f>MOLISA!AF105+'MOCST '!AF54+GSO!AF60</f>
        <v>20935</v>
      </c>
      <c r="AG161" s="1115">
        <f>MOLISA!AG105+'MOCST '!AG54+GSO!AG60</f>
        <v>1465.45</v>
      </c>
      <c r="AH161" s="1115">
        <f>MOLISA!AH105+'MOCST '!AH54+GSO!AH60</f>
        <v>22400.45</v>
      </c>
    </row>
    <row r="162" spans="1:34" s="1227" customFormat="1" ht="33.75" customHeight="1" hidden="1" outlineLevel="2">
      <c r="A162" s="1377"/>
      <c r="B162" s="1255" t="s">
        <v>208</v>
      </c>
      <c r="C162" s="1379"/>
      <c r="D162" s="1379"/>
      <c r="E162" s="1379"/>
      <c r="F162" s="1379"/>
      <c r="G162" s="1379"/>
      <c r="H162" s="1255"/>
      <c r="I162" s="1253"/>
      <c r="J162" s="1255"/>
      <c r="K162" s="1231" t="e">
        <f>#REF!+#REF!</f>
        <v>#REF!</v>
      </c>
      <c r="L162" s="1115">
        <f>MOLISA!L106+'MOCST '!L55+GSO!L61</f>
        <v>2799</v>
      </c>
      <c r="M162" s="1115">
        <f>MOLISA!M106+'MOCST '!M55+GSO!M61</f>
        <v>195.93</v>
      </c>
      <c r="N162" s="1115">
        <f>MOLISA!N106+'MOCST '!N55+GSO!N61</f>
        <v>2994.93</v>
      </c>
      <c r="O162" s="1115">
        <f>MOLISA!O106+'MOCST '!O55+GSO!O61</f>
        <v>40686</v>
      </c>
      <c r="P162" s="1115">
        <f>MOLISA!P106+'MOCST '!P55+GSO!P61</f>
        <v>2749</v>
      </c>
      <c r="Q162" s="1115">
        <f>MOLISA!Q106+'MOCST '!Q55+GSO!Q61</f>
        <v>192.43</v>
      </c>
      <c r="R162" s="1228">
        <f>MOLISA!R106+'MOCST '!R55+GSO!R61</f>
        <v>2941.43</v>
      </c>
      <c r="S162" s="1115">
        <f>MOLISA!S106+'MOCST '!S55+GSO!S61</f>
        <v>-5227</v>
      </c>
      <c r="T162" s="1115">
        <f>MOLISA!T106+'MOCST '!T55+GSO!T61</f>
        <v>50</v>
      </c>
      <c r="U162" s="1115">
        <f>MOLISA!U106+'MOCST '!U55+GSO!U61</f>
        <v>3.5000000000000004</v>
      </c>
      <c r="V162" s="1115">
        <f>MOLISA!V106+'MOCST '!V55+GSO!V61</f>
        <v>53.5</v>
      </c>
      <c r="W162" s="1115">
        <f>MOLISA!W106+'MOCST '!W55+GSO!W61</f>
        <v>54812</v>
      </c>
      <c r="X162" s="1115">
        <f>MOLISA!X106+'MOCST '!X55+GSO!X61</f>
        <v>50</v>
      </c>
      <c r="Y162" s="1115">
        <f>MOLISA!Y106+'MOCST '!Y55+GSO!Y61</f>
        <v>3.5000000000000004</v>
      </c>
      <c r="Z162" s="1115">
        <f>MOLISA!Z106+'MOCST '!Z55+GSO!Z61</f>
        <v>53.5</v>
      </c>
      <c r="AA162" s="1115">
        <f>MOLISA!AA106+'MOCST '!AA55+GSO!AA61</f>
        <v>11150</v>
      </c>
      <c r="AB162" s="1115">
        <f>MOLISA!AB106+'MOCST '!AB55+GSO!AB61</f>
        <v>0</v>
      </c>
      <c r="AC162" s="1115">
        <f>MOLISA!AC106+'MOCST '!AC55+GSO!AC61</f>
        <v>0</v>
      </c>
      <c r="AD162" s="1231">
        <f>MOLISA!AD106+'MOCST '!AD55+GSO!AD61</f>
        <v>0</v>
      </c>
      <c r="AE162" s="1115">
        <f>MOLISA!AE106+'MOCST '!AE55+GSO!AE61</f>
        <v>65962</v>
      </c>
      <c r="AF162" s="1115">
        <f>MOLISA!AF106+'MOCST '!AF55+GSO!AF61</f>
        <v>50</v>
      </c>
      <c r="AG162" s="1115">
        <f>MOLISA!AG106+'MOCST '!AG55+GSO!AG61</f>
        <v>3.5000000000000004</v>
      </c>
      <c r="AH162" s="1115">
        <f>MOLISA!AH106+'MOCST '!AH55+GSO!AH61</f>
        <v>53.5</v>
      </c>
    </row>
    <row r="163" spans="1:34" s="1227" customFormat="1" ht="33.75" customHeight="1" hidden="1" outlineLevel="2">
      <c r="A163" s="1377"/>
      <c r="B163" s="1255" t="s">
        <v>200</v>
      </c>
      <c r="C163" s="1379"/>
      <c r="D163" s="1379"/>
      <c r="E163" s="1379"/>
      <c r="F163" s="1379"/>
      <c r="G163" s="1379"/>
      <c r="H163" s="1255"/>
      <c r="I163" s="1319"/>
      <c r="J163" s="1255"/>
      <c r="K163" s="1231" t="e">
        <f>#REF!+#REF!</f>
        <v>#REF!</v>
      </c>
      <c r="L163" s="1115">
        <f>MOLISA!L107+'MOCST '!L56+GSO!L62</f>
        <v>41124</v>
      </c>
      <c r="M163" s="1115">
        <f>MOLISA!M107+'MOCST '!M56+GSO!M62</f>
        <v>2878.6800000000003</v>
      </c>
      <c r="N163" s="1115">
        <f>MOLISA!N107+'MOCST '!N56+GSO!N62</f>
        <v>44002.68</v>
      </c>
      <c r="O163" s="1115">
        <f>MOLISA!O107+'MOCST '!O56+GSO!O62</f>
        <v>0</v>
      </c>
      <c r="P163" s="1115">
        <f>MOLISA!P107+'MOCST '!P56+GSO!P62</f>
        <v>43910</v>
      </c>
      <c r="Q163" s="1115">
        <f>MOLISA!Q107+'MOCST '!Q56+GSO!Q62</f>
        <v>3073.7000000000003</v>
      </c>
      <c r="R163" s="1228">
        <f>MOLISA!R107+'MOCST '!R56+GSO!R62</f>
        <v>46983.7</v>
      </c>
      <c r="S163" s="1115">
        <f>MOLISA!S107+'MOCST '!S56+GSO!S62</f>
        <v>0</v>
      </c>
      <c r="T163" s="1115">
        <f>MOLISA!T107+'MOCST '!T56+GSO!T62</f>
        <v>-2786</v>
      </c>
      <c r="U163" s="1115">
        <f>MOLISA!U107+'MOCST '!U56+GSO!U62</f>
        <v>-195.02</v>
      </c>
      <c r="V163" s="1115">
        <f>MOLISA!V107+'MOCST '!V56+GSO!V62</f>
        <v>-2981.02</v>
      </c>
      <c r="W163" s="1115">
        <f>MOLISA!W107+'MOCST '!W56+GSO!W62</f>
        <v>0</v>
      </c>
      <c r="X163" s="1115">
        <f>MOLISA!X107+'MOCST '!X56+GSO!X62</f>
        <v>6182</v>
      </c>
      <c r="Y163" s="1115">
        <f>MOLISA!Y107+'MOCST '!Y56+GSO!Y62</f>
        <v>432.74000000000007</v>
      </c>
      <c r="Z163" s="1115">
        <f>MOLISA!Z107+'MOCST '!Z56+GSO!Z62</f>
        <v>6614.74</v>
      </c>
      <c r="AA163" s="1115">
        <f>MOLISA!AA107+'MOCST '!AA56+GSO!AA62</f>
        <v>0</v>
      </c>
      <c r="AB163" s="1115">
        <f>MOLISA!AB107+'MOCST '!AB56+GSO!AB62</f>
        <v>0</v>
      </c>
      <c r="AC163" s="1115">
        <f>MOLISA!AC107+'MOCST '!AC56+GSO!AC62</f>
        <v>0</v>
      </c>
      <c r="AD163" s="1231">
        <f>MOLISA!AD107+'MOCST '!AD56+GSO!AD62</f>
        <v>0</v>
      </c>
      <c r="AE163" s="1115">
        <f>MOLISA!AE107+'MOCST '!AE56+GSO!AE62</f>
        <v>0</v>
      </c>
      <c r="AF163" s="1115">
        <f>MOLISA!AF107+'MOCST '!AF56+GSO!AF62</f>
        <v>6182</v>
      </c>
      <c r="AG163" s="1115">
        <f>MOLISA!AG107+'MOCST '!AG56+GSO!AG62</f>
        <v>432.74000000000007</v>
      </c>
      <c r="AH163" s="1115">
        <f>MOLISA!AH107+'MOCST '!AH56+GSO!AH62</f>
        <v>6614.74</v>
      </c>
    </row>
    <row r="164" spans="1:34" s="1227" customFormat="1" ht="33.75" customHeight="1" hidden="1" outlineLevel="2">
      <c r="A164" s="1377"/>
      <c r="B164" s="1255" t="s">
        <v>196</v>
      </c>
      <c r="C164" s="1379"/>
      <c r="D164" s="1379"/>
      <c r="E164" s="1384"/>
      <c r="F164" s="1379"/>
      <c r="G164" s="1379"/>
      <c r="H164" s="1255"/>
      <c r="I164" s="1253"/>
      <c r="J164" s="1255"/>
      <c r="K164" s="1231" t="e">
        <f>#REF!+#REF!</f>
        <v>#REF!</v>
      </c>
      <c r="L164" s="1115">
        <f>MOLISA!L108+'MOCST '!L57+GSO!L63</f>
        <v>38431</v>
      </c>
      <c r="M164" s="1115">
        <f>MOLISA!M108+'MOCST '!M57+GSO!M63</f>
        <v>2690.17</v>
      </c>
      <c r="N164" s="1115">
        <f>MOLISA!N108+'MOCST '!N57+GSO!N63</f>
        <v>41121.17</v>
      </c>
      <c r="O164" s="1115">
        <f>MOLISA!O108+'MOCST '!O57+GSO!O63</f>
        <v>48497</v>
      </c>
      <c r="P164" s="1115">
        <f>MOLISA!P108+'MOCST '!P57+GSO!P63</f>
        <v>17398</v>
      </c>
      <c r="Q164" s="1115">
        <f>MOLISA!Q108+'MOCST '!Q57+GSO!Q63</f>
        <v>1217.8600000000001</v>
      </c>
      <c r="R164" s="1228">
        <f>MOLISA!R108+'MOCST '!R57+GSO!R63</f>
        <v>18615.86</v>
      </c>
      <c r="S164" s="1115">
        <f>MOLISA!S108+'MOCST '!S57+GSO!S63</f>
        <v>31828</v>
      </c>
      <c r="T164" s="1115">
        <f>MOLISA!T108+'MOCST '!T57+GSO!T63</f>
        <v>21033</v>
      </c>
      <c r="U164" s="1115">
        <f>MOLISA!U108+'MOCST '!U57+GSO!U63</f>
        <v>1472.3100000000002</v>
      </c>
      <c r="V164" s="1115">
        <f>MOLISA!V108+'MOCST '!V57+GSO!V63</f>
        <v>22505.31</v>
      </c>
      <c r="W164" s="1115">
        <f>MOLISA!W108+'MOCST '!W57+GSO!W63</f>
        <v>45868</v>
      </c>
      <c r="X164" s="1115">
        <f>MOLISA!X108+'MOCST '!X57+GSO!X63</f>
        <v>27698.42</v>
      </c>
      <c r="Y164" s="1115">
        <f>MOLISA!Y108+'MOCST '!Y57+GSO!Y63</f>
        <v>1938.8894000000003</v>
      </c>
      <c r="Z164" s="1115">
        <f>MOLISA!Z108+'MOCST '!Z57+GSO!Z63</f>
        <v>29637.3094</v>
      </c>
      <c r="AA164" s="1115">
        <f>MOLISA!AA108+'MOCST '!AA57+GSO!AA63</f>
        <v>0</v>
      </c>
      <c r="AB164" s="1115">
        <f>MOLISA!AB108+'MOCST '!AB57+GSO!AB63</f>
        <v>0</v>
      </c>
      <c r="AC164" s="1115">
        <f>MOLISA!AC108+'MOCST '!AC57+GSO!AC63</f>
        <v>0</v>
      </c>
      <c r="AD164" s="1231">
        <f>MOLISA!AD108+'MOCST '!AD57+GSO!AD63</f>
        <v>0</v>
      </c>
      <c r="AE164" s="1115">
        <f>MOLISA!AE108+'MOCST '!AE57+GSO!AE63</f>
        <v>45868</v>
      </c>
      <c r="AF164" s="1115">
        <f>MOLISA!AF108+'MOCST '!AF57+GSO!AF63</f>
        <v>27698.42</v>
      </c>
      <c r="AG164" s="1115">
        <f>MOLISA!AG108+'MOCST '!AG57+GSO!AG63</f>
        <v>1938.8894000000003</v>
      </c>
      <c r="AH164" s="1115">
        <f>MOLISA!AH108+'MOCST '!AH57+GSO!AH63</f>
        <v>29637.3094</v>
      </c>
    </row>
    <row r="165" spans="1:34" s="1227" customFormat="1" ht="33.75" customHeight="1" hidden="1" outlineLevel="2">
      <c r="A165" s="1377"/>
      <c r="B165" s="1255" t="s">
        <v>421</v>
      </c>
      <c r="C165" s="1379"/>
      <c r="D165" s="1379"/>
      <c r="E165" s="1384"/>
      <c r="F165" s="1379"/>
      <c r="G165" s="1379"/>
      <c r="H165" s="1255"/>
      <c r="I165" s="1253"/>
      <c r="J165" s="1255"/>
      <c r="K165" s="1231" t="e">
        <f>#REF!+#REF!</f>
        <v>#REF!</v>
      </c>
      <c r="L165" s="1115">
        <f>MOLISA!L109+'MOCST '!L58+GSO!L64</f>
        <v>56074</v>
      </c>
      <c r="M165" s="1115">
        <f>MOLISA!M109+'MOCST '!M58+GSO!M64</f>
        <v>3925.1800000000003</v>
      </c>
      <c r="N165" s="1115">
        <f>MOLISA!N109+'MOCST '!N58+GSO!N64</f>
        <v>59999.18</v>
      </c>
      <c r="O165" s="1115">
        <f>MOLISA!O109+'MOCST '!O58+GSO!O64</f>
        <v>0</v>
      </c>
      <c r="P165" s="1115">
        <f>MOLISA!P109+'MOCST '!P58+GSO!P64</f>
        <v>15637</v>
      </c>
      <c r="Q165" s="1115">
        <f>MOLISA!Q109+'MOCST '!Q58+GSO!Q64</f>
        <v>1094.5900000000001</v>
      </c>
      <c r="R165" s="1228">
        <f>MOLISA!R109+'MOCST '!R58+GSO!R64</f>
        <v>16731.59</v>
      </c>
      <c r="S165" s="1115">
        <f>MOLISA!S109+'MOCST '!S58+GSO!S64</f>
        <v>0</v>
      </c>
      <c r="T165" s="1115">
        <f>MOLISA!T109+'MOCST '!T58+GSO!T64</f>
        <v>40437</v>
      </c>
      <c r="U165" s="1115">
        <f>MOLISA!U109+'MOCST '!U58+GSO!U64</f>
        <v>2830.59</v>
      </c>
      <c r="V165" s="1115">
        <f>MOLISA!V109+'MOCST '!V58+GSO!V64</f>
        <v>43267.59</v>
      </c>
      <c r="W165" s="1115">
        <f>MOLISA!W109+'MOCST '!W58+GSO!W64</f>
        <v>0</v>
      </c>
      <c r="X165" s="1115">
        <f>MOLISA!X109+'MOCST '!X58+GSO!X64</f>
        <v>40437</v>
      </c>
      <c r="Y165" s="1115">
        <f>MOLISA!Y109+'MOCST '!Y58+GSO!Y64</f>
        <v>2830.59</v>
      </c>
      <c r="Z165" s="1115">
        <f>MOLISA!Z109+'MOCST '!Z58+GSO!Z64</f>
        <v>43267.59</v>
      </c>
      <c r="AA165" s="1115">
        <f>MOLISA!AA109+'MOCST '!AA58+GSO!AA64</f>
        <v>0</v>
      </c>
      <c r="AB165" s="1115">
        <f>MOLISA!AB109+'MOCST '!AB58+GSO!AB64</f>
        <v>0</v>
      </c>
      <c r="AC165" s="1115">
        <f>MOLISA!AC109+'MOCST '!AC58+GSO!AC64</f>
        <v>0</v>
      </c>
      <c r="AD165" s="1231">
        <f>MOLISA!AD109+'MOCST '!AD58+GSO!AD64</f>
        <v>0</v>
      </c>
      <c r="AE165" s="1115">
        <f>MOLISA!AE109+'MOCST '!AE58+GSO!AE64</f>
        <v>0</v>
      </c>
      <c r="AF165" s="1115">
        <f>MOLISA!AF109+'MOCST '!AF58+GSO!AF64</f>
        <v>40437</v>
      </c>
      <c r="AG165" s="1115">
        <f>MOLISA!AG109+'MOCST '!AG58+GSO!AG64</f>
        <v>2830.59</v>
      </c>
      <c r="AH165" s="1115">
        <f>MOLISA!AH109+'MOCST '!AH58+GSO!AH64</f>
        <v>43267.59</v>
      </c>
    </row>
    <row r="166" spans="1:34" s="1227" customFormat="1" ht="33.75" customHeight="1" hidden="1" outlineLevel="2">
      <c r="A166" s="1377"/>
      <c r="B166" s="1255" t="s">
        <v>360</v>
      </c>
      <c r="C166" s="1379"/>
      <c r="D166" s="1379"/>
      <c r="E166" s="1384"/>
      <c r="F166" s="1379"/>
      <c r="G166" s="1379"/>
      <c r="H166" s="1255"/>
      <c r="I166" s="1253"/>
      <c r="J166" s="1255"/>
      <c r="K166" s="1231" t="e">
        <f>#REF!+#REF!</f>
        <v>#REF!</v>
      </c>
      <c r="L166" s="1115">
        <f>MOLISA!L110+'MOCST '!L59+GSO!L65</f>
        <v>54258</v>
      </c>
      <c r="M166" s="1115">
        <f>MOLISA!M110+'MOCST '!M59+GSO!M65</f>
        <v>3798.0600000000004</v>
      </c>
      <c r="N166" s="1115">
        <f>MOLISA!N110+'MOCST '!N59+GSO!N65</f>
        <v>58056.06</v>
      </c>
      <c r="O166" s="1115">
        <f>MOLISA!O110+'MOCST '!O59+GSO!O65</f>
        <v>32328</v>
      </c>
      <c r="P166" s="1115">
        <f>MOLISA!P110+'MOCST '!P59+GSO!P65</f>
        <v>82006</v>
      </c>
      <c r="Q166" s="1115">
        <f>MOLISA!Q110+'MOCST '!Q59+GSO!Q65</f>
        <v>5740.42</v>
      </c>
      <c r="R166" s="1228">
        <f>MOLISA!R110+'MOCST '!R59+GSO!R65</f>
        <v>87746.42</v>
      </c>
      <c r="S166" s="1115">
        <f>MOLISA!S110+'MOCST '!S59+GSO!S65</f>
        <v>-8510</v>
      </c>
      <c r="T166" s="1115">
        <f>MOLISA!T110+'MOCST '!T59+GSO!T65</f>
        <v>-27748</v>
      </c>
      <c r="U166" s="1115">
        <f>MOLISA!U110+'MOCST '!U59+GSO!U65</f>
        <v>-1942.3600000000001</v>
      </c>
      <c r="V166" s="1115">
        <f>MOLISA!V110+'MOCST '!V59+GSO!V65</f>
        <v>-29690.36</v>
      </c>
      <c r="W166" s="1115">
        <f>MOLISA!W110+'MOCST '!W59+GSO!W65</f>
        <v>0</v>
      </c>
      <c r="X166" s="1115">
        <f>MOLISA!X110+'MOCST '!X59+GSO!X65</f>
        <v>0</v>
      </c>
      <c r="Y166" s="1115">
        <f>MOLISA!Y110+'MOCST '!Y59+GSO!Y65</f>
        <v>0</v>
      </c>
      <c r="Z166" s="1115">
        <f>MOLISA!Z110+'MOCST '!Z59+GSO!Z65</f>
        <v>0</v>
      </c>
      <c r="AA166" s="1115">
        <f>MOLISA!AA110+'MOCST '!AA59+GSO!AA65</f>
        <v>0</v>
      </c>
      <c r="AB166" s="1115">
        <f>MOLISA!AB110+'MOCST '!AB59+GSO!AB65</f>
        <v>0</v>
      </c>
      <c r="AC166" s="1115">
        <f>MOLISA!AC110+'MOCST '!AC59+GSO!AC65</f>
        <v>0</v>
      </c>
      <c r="AD166" s="1231">
        <f>MOLISA!AD110+'MOCST '!AD59+GSO!AD65</f>
        <v>0</v>
      </c>
      <c r="AE166" s="1115">
        <f>MOLISA!AE110+'MOCST '!AE59+GSO!AE65</f>
        <v>0</v>
      </c>
      <c r="AF166" s="1115">
        <f>MOLISA!AF110+'MOCST '!AF59+GSO!AF65</f>
        <v>0</v>
      </c>
      <c r="AG166" s="1115">
        <f>MOLISA!AG110+'MOCST '!AG59+GSO!AG65</f>
        <v>0</v>
      </c>
      <c r="AH166" s="1115">
        <f>MOLISA!AH110+'MOCST '!AH59+GSO!AH65</f>
        <v>0</v>
      </c>
    </row>
    <row r="167" spans="1:34" s="1227" customFormat="1" ht="33.75" customHeight="1" hidden="1" outlineLevel="2">
      <c r="A167" s="1377"/>
      <c r="B167" s="1255" t="s">
        <v>361</v>
      </c>
      <c r="C167" s="1379"/>
      <c r="D167" s="1379"/>
      <c r="E167" s="1384"/>
      <c r="F167" s="1379"/>
      <c r="G167" s="1379"/>
      <c r="H167" s="1255"/>
      <c r="I167" s="1253"/>
      <c r="J167" s="1255"/>
      <c r="K167" s="1231" t="e">
        <f>#REF!+#REF!</f>
        <v>#REF!</v>
      </c>
      <c r="L167" s="1115">
        <f>MOLISA!L111+'MOCST '!L60+GSO!L66</f>
        <v>47368</v>
      </c>
      <c r="M167" s="1115">
        <f>MOLISA!M111+'MOCST '!M60+GSO!M66</f>
        <v>3315.76</v>
      </c>
      <c r="N167" s="1115">
        <f>MOLISA!N111+'MOCST '!N60+GSO!N66</f>
        <v>50683.76</v>
      </c>
      <c r="O167" s="1115">
        <f>MOLISA!O111+'MOCST '!O60+GSO!O66</f>
        <v>0</v>
      </c>
      <c r="P167" s="1115">
        <f>MOLISA!P111+'MOCST '!P60+GSO!P66</f>
        <v>19336</v>
      </c>
      <c r="Q167" s="1115">
        <f>MOLISA!Q111+'MOCST '!Q60+GSO!Q66</f>
        <v>1353.5200000000002</v>
      </c>
      <c r="R167" s="1228">
        <f>MOLISA!R111+'MOCST '!R60+GSO!R66</f>
        <v>20689.52</v>
      </c>
      <c r="S167" s="1115">
        <f>MOLISA!S111+'MOCST '!S60+GSO!S66</f>
        <v>0</v>
      </c>
      <c r="T167" s="1115">
        <f>MOLISA!T111+'MOCST '!T60+GSO!T66</f>
        <v>28032</v>
      </c>
      <c r="U167" s="1115">
        <f>MOLISA!U111+'MOCST '!U60+GSO!U66</f>
        <v>1962.2400000000002</v>
      </c>
      <c r="V167" s="1115">
        <f>MOLISA!V111+'MOCST '!V60+GSO!V66</f>
        <v>29994.24</v>
      </c>
      <c r="W167" s="1115">
        <f>MOLISA!W111+'MOCST '!W60+GSO!W66</f>
        <v>0</v>
      </c>
      <c r="X167" s="1115">
        <f>MOLISA!X111+'MOCST '!X60+GSO!X66</f>
        <v>28032</v>
      </c>
      <c r="Y167" s="1115">
        <f>MOLISA!Y111+'MOCST '!Y60+GSO!Y66</f>
        <v>1962.2400000000002</v>
      </c>
      <c r="Z167" s="1115">
        <f>MOLISA!Z111+'MOCST '!Z60+GSO!Z66</f>
        <v>29994.24</v>
      </c>
      <c r="AA167" s="1115">
        <f>MOLISA!AA111+'MOCST '!AA60+GSO!AA66</f>
        <v>0</v>
      </c>
      <c r="AB167" s="1115">
        <f>MOLISA!AB111+'MOCST '!AB60+GSO!AB66</f>
        <v>0</v>
      </c>
      <c r="AC167" s="1115">
        <f>MOLISA!AC111+'MOCST '!AC60+GSO!AC66</f>
        <v>0</v>
      </c>
      <c r="AD167" s="1231">
        <f>MOLISA!AD111+'MOCST '!AD60+GSO!AD66</f>
        <v>0</v>
      </c>
      <c r="AE167" s="1115">
        <f>MOLISA!AE111+'MOCST '!AE60+GSO!AE66</f>
        <v>0</v>
      </c>
      <c r="AF167" s="1115">
        <f>MOLISA!AF111+'MOCST '!AF60+GSO!AF66</f>
        <v>28032</v>
      </c>
      <c r="AG167" s="1115">
        <f>MOLISA!AG111+'MOCST '!AG60+GSO!AG66</f>
        <v>1962.2400000000002</v>
      </c>
      <c r="AH167" s="1115">
        <f>MOLISA!AH111+'MOCST '!AH60+GSO!AH66</f>
        <v>29994.24</v>
      </c>
    </row>
    <row r="168" spans="1:34" s="1227" customFormat="1" ht="24" customHeight="1" hidden="1" outlineLevel="2">
      <c r="A168" s="1377"/>
      <c r="B168" s="1385" t="s">
        <v>441</v>
      </c>
      <c r="C168" s="1379"/>
      <c r="D168" s="1379"/>
      <c r="E168" s="1384"/>
      <c r="F168" s="1379"/>
      <c r="G168" s="1379"/>
      <c r="H168" s="1255"/>
      <c r="I168" s="1253"/>
      <c r="J168" s="1255"/>
      <c r="K168" s="1232" t="e">
        <f>SUM(K158:K167)</f>
        <v>#REF!</v>
      </c>
      <c r="L168" s="1115">
        <f>MOLISA!L112+'MOCST '!L61+GSO!L67</f>
        <v>746017</v>
      </c>
      <c r="M168" s="1115">
        <f>MOLISA!M112+'MOCST '!M61+GSO!M67</f>
        <v>52221.19</v>
      </c>
      <c r="N168" s="1115">
        <f>MOLISA!N112+'MOCST '!N61+GSO!N67</f>
        <v>798238.19</v>
      </c>
      <c r="O168" s="1115">
        <f>MOLISA!O112+'MOCST '!O61+GSO!O67</f>
        <v>496050</v>
      </c>
      <c r="P168" s="1115">
        <f>SUM(P158:P167)</f>
        <v>611439</v>
      </c>
      <c r="Q168" s="1115">
        <f>MOLISA!Q112+'MOCST '!Q61+GSO!Q67</f>
        <v>42800.73</v>
      </c>
      <c r="R168" s="1228">
        <f>MOLISA!R112+'MOCST '!R61+GSO!R67</f>
        <v>654239.7300000001</v>
      </c>
      <c r="S168" s="1115">
        <f>MOLISA!S112+'MOCST '!S61+GSO!S67</f>
        <v>54177</v>
      </c>
      <c r="T168" s="1115">
        <f>MOLISA!T112+'MOCST '!T61+GSO!T67</f>
        <v>134578</v>
      </c>
      <c r="U168" s="1115">
        <f>MOLISA!U112+'MOCST '!U61+GSO!U67</f>
        <v>9420.46</v>
      </c>
      <c r="V168" s="1115">
        <f>MOLISA!V112+'MOCST '!V61+GSO!V67</f>
        <v>143998.46000000002</v>
      </c>
      <c r="W168" s="1115">
        <f>MOLISA!W112+'MOCST '!W61+GSO!W67</f>
        <v>556037</v>
      </c>
      <c r="X168" s="1115">
        <f>MOLISA!X112+'MOCST '!X61+GSO!X67</f>
        <v>370058.42000000004</v>
      </c>
      <c r="Y168" s="1115">
        <f>MOLISA!Y112+'MOCST '!Y61+GSO!Y67</f>
        <v>25904.089400000004</v>
      </c>
      <c r="Z168" s="1115">
        <f>MOLISA!Z112+'MOCST '!Z61+GSO!Z67</f>
        <v>395962.5094</v>
      </c>
      <c r="AA168" s="1115">
        <f>MOLISA!AA112+'MOCST '!AA61+GSO!AA67</f>
        <v>38650</v>
      </c>
      <c r="AB168" s="1115">
        <f>MOLISA!AB112+'MOCST '!AB61+GSO!AB67</f>
        <v>24057</v>
      </c>
      <c r="AC168" s="1115">
        <f>MOLISA!AC112+'MOCST '!AC61+GSO!AC67</f>
        <v>1683.9900000000002</v>
      </c>
      <c r="AD168" s="1231">
        <f>MOLISA!AD112+'MOCST '!AD61+GSO!AD67</f>
        <v>25740.99</v>
      </c>
      <c r="AE168" s="1115">
        <f>MOLISA!AE112+'MOCST '!AE61+GSO!AE67</f>
        <v>594687</v>
      </c>
      <c r="AF168" s="1115">
        <f>MOLISA!AF112+'MOCST '!AF61+GSO!AF67</f>
        <v>394115.42000000004</v>
      </c>
      <c r="AG168" s="1115">
        <f>MOLISA!AG112+'MOCST '!AG61+GSO!AG67</f>
        <v>27588.079400000006</v>
      </c>
      <c r="AH168" s="1115">
        <f>MOLISA!AH112+'MOCST '!AH61+GSO!AH67</f>
        <v>421703.4994000001</v>
      </c>
    </row>
    <row r="169" spans="1:34" s="1227" customFormat="1" ht="48.75" customHeight="1" hidden="1" outlineLevel="2">
      <c r="A169" s="1377"/>
      <c r="B169" s="1253" t="s">
        <v>442</v>
      </c>
      <c r="C169" s="1253"/>
      <c r="D169" s="1253"/>
      <c r="E169" s="1253"/>
      <c r="F169" s="1253"/>
      <c r="G169" s="1253"/>
      <c r="H169" s="1255"/>
      <c r="I169" s="1253"/>
      <c r="J169" s="1253"/>
      <c r="K169" s="1231" t="e">
        <f>#REF!+#REF!</f>
        <v>#REF!</v>
      </c>
      <c r="L169" s="1115">
        <f>MOLISA!L113+'MOCST '!L62+GSO!L68</f>
        <v>248324</v>
      </c>
      <c r="M169" s="1115">
        <f>MOLISA!M113+'MOCST '!M62+GSO!M68</f>
        <v>17382.68</v>
      </c>
      <c r="N169" s="1115">
        <f>MOLISA!N113+'MOCST '!N62+GSO!N68</f>
        <v>265706.68</v>
      </c>
      <c r="O169" s="1115">
        <f>MOLISA!O113+'MOCST '!O62+GSO!O68</f>
        <v>207358</v>
      </c>
      <c r="P169" s="1115">
        <f>MOLISA!P113+'MOCST '!P62+GSO!P68</f>
        <v>160550.83000000002</v>
      </c>
      <c r="Q169" s="1115">
        <f>MOLISA!Q113+'MOCST '!Q62+GSO!Q68</f>
        <v>8808.5581</v>
      </c>
      <c r="R169" s="1228">
        <f>MOLISA!R113+'MOCST '!R62+GSO!R68</f>
        <v>169359.38809999998</v>
      </c>
      <c r="S169" s="1115">
        <f>MOLISA!S113+'MOCST '!S62+GSO!S68</f>
        <v>111427</v>
      </c>
      <c r="T169" s="1115">
        <f>MOLISA!T113+'MOCST '!T62+GSO!T68</f>
        <v>87773.17</v>
      </c>
      <c r="U169" s="1115">
        <f>MOLISA!U113+'MOCST '!U62+GSO!U68</f>
        <v>8574.1219</v>
      </c>
      <c r="V169" s="1115">
        <f>MOLISA!V113+'MOCST '!V62+GSO!V68</f>
        <v>96347.2919</v>
      </c>
      <c r="W169" s="1115">
        <f>MOLISA!W113+'MOCST '!W62+GSO!W68</f>
        <v>294696.66000000003</v>
      </c>
      <c r="X169" s="1115">
        <f>MOLISA!X113+'MOCST '!X62+GSO!X68</f>
        <v>191345</v>
      </c>
      <c r="Y169" s="1115">
        <f>MOLISA!Y113+'MOCST '!Y62+GSO!Y68</f>
        <v>13394.150000000001</v>
      </c>
      <c r="Z169" s="1115">
        <f>MOLISA!Z113+'MOCST '!Z62+GSO!Z68</f>
        <v>204739.15</v>
      </c>
      <c r="AA169" s="1115">
        <f>MOLISA!AA113+'MOCST '!AA62+GSO!AA68</f>
        <v>30379</v>
      </c>
      <c r="AB169" s="1115">
        <f>MOLISA!AB113+'MOCST '!AB62+GSO!AB68</f>
        <v>48388</v>
      </c>
      <c r="AC169" s="1115">
        <f>MOLISA!AC113+'MOCST '!AC62+GSO!AC68</f>
        <v>3387.1600000000003</v>
      </c>
      <c r="AD169" s="1231">
        <f>MOLISA!AD113+'MOCST '!AD62+GSO!AD68</f>
        <v>51775.159999999996</v>
      </c>
      <c r="AE169" s="1115">
        <f>MOLISA!AE113+'MOCST '!AE62+GSO!AE68</f>
        <v>325075.66000000003</v>
      </c>
      <c r="AF169" s="1115">
        <f>MOLISA!AF113+'MOCST '!AF62+GSO!AF68</f>
        <v>239733</v>
      </c>
      <c r="AG169" s="1115">
        <f>MOLISA!AG113+'MOCST '!AG62+GSO!AG68</f>
        <v>16781.31</v>
      </c>
      <c r="AH169" s="1115">
        <f>MOLISA!AH113+'MOCST '!AH62+GSO!AH68</f>
        <v>256514.31</v>
      </c>
    </row>
    <row r="170" spans="1:34" s="1227" customFormat="1" ht="49.5" customHeight="1" hidden="1" outlineLevel="2">
      <c r="A170" s="1377"/>
      <c r="B170" s="1253" t="s">
        <v>443</v>
      </c>
      <c r="C170" s="1253"/>
      <c r="D170" s="1253"/>
      <c r="E170" s="1253"/>
      <c r="F170" s="1253"/>
      <c r="G170" s="1253"/>
      <c r="H170" s="1255"/>
      <c r="I170" s="1253"/>
      <c r="J170" s="1253"/>
      <c r="K170" s="1231" t="e">
        <f>SUM(#REF!)</f>
        <v>#REF!</v>
      </c>
      <c r="L170" s="1115">
        <f>MOLISA!L114+'MOCST '!L63+GSO!L69</f>
        <v>0</v>
      </c>
      <c r="M170" s="1115">
        <f>MOLISA!M114+'MOCST '!M63+GSO!M69</f>
        <v>60830.840000000004</v>
      </c>
      <c r="N170" s="1115">
        <f>MOLISA!N114+'MOCST '!N63+GSO!N69</f>
        <v>929842.84</v>
      </c>
      <c r="O170" s="1115">
        <f>MOLISA!O114+'MOCST '!O63+GSO!O69</f>
        <v>703408</v>
      </c>
      <c r="P170" s="1115">
        <f>MOLISA!P114+'MOCST '!P63+GSO!P69</f>
        <v>0</v>
      </c>
      <c r="Q170" s="1115">
        <f>MOLISA!Q114+'MOCST '!Q63+GSO!Q69</f>
        <v>49238.56</v>
      </c>
      <c r="R170" s="1228">
        <f>MOLISA!R114+'MOCST '!R63+GSO!R69</f>
        <v>752646.56</v>
      </c>
      <c r="S170" s="1115">
        <f>MOLISA!S114+'MOCST '!S63+GSO!S69</f>
        <v>165604</v>
      </c>
      <c r="T170" s="1115">
        <f>MOLISA!T114+'MOCST '!T63+GSO!T69</f>
        <v>0</v>
      </c>
      <c r="U170" s="1115">
        <f>MOLISA!U114+'MOCST '!U63+GSO!U69</f>
        <v>11592.28</v>
      </c>
      <c r="V170" s="1115">
        <f>MOLISA!V114+'MOCST '!V63+GSO!V69</f>
        <v>177196.28</v>
      </c>
      <c r="W170" s="1115">
        <f>MOLISA!W114+'MOCST '!W63+GSO!W69</f>
        <v>850733.66</v>
      </c>
      <c r="X170" s="1115">
        <f>MOLISA!X114+'MOCST '!X63+GSO!X69</f>
        <v>0</v>
      </c>
      <c r="Y170" s="1115">
        <f>MOLISA!Y114+'MOCST '!Y63+GSO!Y69</f>
        <v>59551.35620000001</v>
      </c>
      <c r="Z170" s="1115">
        <f>MOLISA!Z114+'MOCST '!Z63+GSO!Z69</f>
        <v>910285.0162000001</v>
      </c>
      <c r="AA170" s="1115">
        <f>MOLISA!AA114+'MOCST '!AA63+GSO!AA69</f>
        <v>69029</v>
      </c>
      <c r="AB170" s="1115">
        <f>MOLISA!AB114+'MOCST '!AB63+GSO!AB69</f>
        <v>0</v>
      </c>
      <c r="AC170" s="1115">
        <f>MOLISA!AC114+'MOCST '!AC63+GSO!AC69</f>
        <v>4832.030000000001</v>
      </c>
      <c r="AD170" s="1231">
        <f>MOLISA!AD114+'MOCST '!AD63+GSO!AD69</f>
        <v>73861.03</v>
      </c>
      <c r="AE170" s="1115">
        <f>MOLISA!AE114+'MOCST '!AE63+GSO!AE69</f>
        <v>919762.66</v>
      </c>
      <c r="AF170" s="1115">
        <f>MOLISA!AF114+'MOCST '!AF63+GSO!AF69</f>
        <v>0</v>
      </c>
      <c r="AG170" s="1115">
        <f>MOLISA!AG114+'MOCST '!AG63+GSO!AG69</f>
        <v>64383.38620000001</v>
      </c>
      <c r="AH170" s="1115">
        <f>MOLISA!AH114+'MOCST '!AH63+GSO!AH69</f>
        <v>984146.0462</v>
      </c>
    </row>
    <row r="171" spans="1:34" s="1227" customFormat="1" ht="68.25" customHeight="1" hidden="1" outlineLevel="2">
      <c r="A171" s="1377"/>
      <c r="B171" s="1255" t="s">
        <v>362</v>
      </c>
      <c r="C171" s="1255"/>
      <c r="D171" s="1255"/>
      <c r="E171" s="1255"/>
      <c r="F171" s="1255"/>
      <c r="G171" s="1255"/>
      <c r="H171" s="1255"/>
      <c r="I171" s="1255"/>
      <c r="J171" s="1255"/>
      <c r="K171" s="1232" t="e">
        <f>SUM(K169:K170)</f>
        <v>#REF!</v>
      </c>
      <c r="L171" s="1115">
        <f>MOLISA!L115+'MOCST '!L64+GSO!L70</f>
        <v>248324</v>
      </c>
      <c r="M171" s="1115">
        <f>MOLISA!M115+'MOCST '!M64+GSO!M70</f>
        <v>78213.52</v>
      </c>
      <c r="N171" s="1115">
        <f>MOLISA!N115+'MOCST '!N64+GSO!N70</f>
        <v>1195549.52</v>
      </c>
      <c r="O171" s="1115">
        <f>MOLISA!O115+'MOCST '!O64+GSO!O70</f>
        <v>703408</v>
      </c>
      <c r="P171" s="1115">
        <f>MOLISA!P115+'MOCST '!P64+GSO!P70</f>
        <v>160550.83000000002</v>
      </c>
      <c r="Q171" s="1115">
        <f>MOLISA!Q115+'MOCST '!Q64+GSO!Q70</f>
        <v>58047.11810000001</v>
      </c>
      <c r="R171" s="1228">
        <f>MOLISA!R115+'MOCST '!R64+GSO!R70</f>
        <v>922005.9481</v>
      </c>
      <c r="S171" s="1115">
        <f>MOLISA!S115+'MOCST '!S64+GSO!S70</f>
        <v>165604</v>
      </c>
      <c r="T171" s="1115">
        <f>MOLISA!T115+'MOCST '!T64+GSO!T70</f>
        <v>87773.17</v>
      </c>
      <c r="U171" s="1115">
        <f>MOLISA!U115+'MOCST '!U64+GSO!U70</f>
        <v>20166.4019</v>
      </c>
      <c r="V171" s="1115">
        <f>MOLISA!V115+'MOCST '!V64+GSO!V70</f>
        <v>273543.5719</v>
      </c>
      <c r="W171" s="1115">
        <f>MOLISA!W115+'MOCST '!W64+GSO!W70</f>
        <v>850733.66</v>
      </c>
      <c r="X171" s="1115">
        <f>MOLISA!X115+'MOCST '!X64+GSO!X70</f>
        <v>191345</v>
      </c>
      <c r="Y171" s="1115">
        <f>MOLISA!Y115+'MOCST '!Y64+GSO!Y70</f>
        <v>72945.5062</v>
      </c>
      <c r="Z171" s="1115">
        <f>MOLISA!Z115+'MOCST '!Z64+GSO!Z70</f>
        <v>1115024.1661999999</v>
      </c>
      <c r="AA171" s="1115">
        <f>MOLISA!AA115+'MOCST '!AA64+GSO!AA70</f>
        <v>69029</v>
      </c>
      <c r="AB171" s="1115">
        <f>MOLISA!AB115+'MOCST '!AB64+GSO!AB70</f>
        <v>48388</v>
      </c>
      <c r="AC171" s="1115">
        <f>MOLISA!AC115+'MOCST '!AC64+GSO!AC70</f>
        <v>8219.19</v>
      </c>
      <c r="AD171" s="1231">
        <f>MOLISA!AD115+'MOCST '!AD64+GSO!AD70</f>
        <v>125636.19</v>
      </c>
      <c r="AE171" s="1115">
        <f>MOLISA!AE115+'MOCST '!AE64+GSO!AE70</f>
        <v>919762.66</v>
      </c>
      <c r="AF171" s="1115">
        <f>MOLISA!AF115+'MOCST '!AF64+GSO!AF70</f>
        <v>239733</v>
      </c>
      <c r="AG171" s="1115">
        <f>MOLISA!AG115+'MOCST '!AG64+GSO!AG70</f>
        <v>81164.6962</v>
      </c>
      <c r="AH171" s="1115">
        <f>MOLISA!AH115+'MOCST '!AH64+GSO!AH70</f>
        <v>1240660.3562</v>
      </c>
    </row>
    <row r="172" spans="1:34" s="1227" customFormat="1" ht="41.25" customHeight="1" hidden="1" outlineLevel="2" thickBot="1">
      <c r="A172" s="1386"/>
      <c r="B172" s="1381" t="s">
        <v>146</v>
      </c>
      <c r="C172" s="1379"/>
      <c r="D172" s="1379"/>
      <c r="E172" s="1379"/>
      <c r="F172" s="1379"/>
      <c r="G172" s="1379"/>
      <c r="H172" s="1255"/>
      <c r="I172" s="1253"/>
      <c r="J172" s="1255"/>
      <c r="K172" s="1231" t="e">
        <f>SUM(K171+K168)</f>
        <v>#REF!</v>
      </c>
      <c r="L172" s="1232">
        <f>MOLISA!L116+'MOCST '!L65+GSO!L71</f>
        <v>994341</v>
      </c>
      <c r="M172" s="1232">
        <f>MOLISA!M116+'MOCST '!M65+GSO!M71</f>
        <v>130434.71</v>
      </c>
      <c r="N172" s="1232">
        <f>MOLISA!N116+'MOCST '!N65+GSO!N71</f>
        <v>1993787.71</v>
      </c>
      <c r="O172" s="1232">
        <f>MOLISA!O116+'MOCST '!O65+GSO!O71</f>
        <v>703408</v>
      </c>
      <c r="P172" s="1232">
        <f>MOLISA!P116+'MOCST '!P65+GSO!P71</f>
        <v>771989.83</v>
      </c>
      <c r="Q172" s="1232">
        <f>MOLISA!Q116+'MOCST '!Q65+GSO!Q71</f>
        <v>100847.8481</v>
      </c>
      <c r="R172" s="1228">
        <f>MOLISA!R116+'MOCST '!R65+GSO!R71</f>
        <v>1576245.6781</v>
      </c>
      <c r="S172" s="1232">
        <f>MOLISA!S116+'MOCST '!S65+GSO!S71</f>
        <v>165604</v>
      </c>
      <c r="T172" s="1232">
        <f>MOLISA!T116+'MOCST '!T65+GSO!T71</f>
        <v>222351.16999999998</v>
      </c>
      <c r="U172" s="1232">
        <f>MOLISA!U116+'MOCST '!U65+GSO!U71</f>
        <v>29586.8619</v>
      </c>
      <c r="V172" s="1232">
        <f>MOLISA!V116+'MOCST '!V65+GSO!V71</f>
        <v>417542.03190000006</v>
      </c>
      <c r="W172" s="1232">
        <f>MOLISA!W116+'MOCST '!W65+GSO!W71</f>
        <v>850733.66</v>
      </c>
      <c r="X172" s="1232">
        <f>MOLISA!X116+'MOCST '!X65+GSO!X71</f>
        <v>561403.42</v>
      </c>
      <c r="Y172" s="1232">
        <f>MOLISA!Y116+'MOCST '!Y65+GSO!Y71</f>
        <v>98849.59560000003</v>
      </c>
      <c r="Z172" s="1232">
        <f>MOLISA!Z116+'MOCST '!Z65+GSO!Z71</f>
        <v>1510986.6756</v>
      </c>
      <c r="AA172" s="1232">
        <f>MOLISA!AA116+'MOCST '!AA65+GSO!AA71</f>
        <v>69029</v>
      </c>
      <c r="AB172" s="1232">
        <f>MOLISA!AB116+'MOCST '!AB65+GSO!AB71</f>
        <v>72445</v>
      </c>
      <c r="AC172" s="1232">
        <f>MOLISA!AC116+'MOCST '!AC65+GSO!AC71</f>
        <v>9903.18</v>
      </c>
      <c r="AD172" s="1232">
        <f>MOLISA!AD116+'MOCST '!AD65+GSO!AD71</f>
        <v>151377.18</v>
      </c>
      <c r="AE172" s="1232">
        <f>MOLISA!AE116+'MOCST '!AE65+GSO!AE71</f>
        <v>919762.66</v>
      </c>
      <c r="AF172" s="1232">
        <f>MOLISA!AF116+'MOCST '!AF65+GSO!AF71</f>
        <v>633848.42</v>
      </c>
      <c r="AG172" s="1232">
        <f>MOLISA!AG116+'MOCST '!AG65+GSO!AG71</f>
        <v>108752.77560000002</v>
      </c>
      <c r="AH172" s="1232">
        <f>MOLISA!AH116+'MOCST '!AH65+GSO!AH71</f>
        <v>1662363.8556000001</v>
      </c>
    </row>
    <row r="173" spans="1:34" s="1227" customFormat="1" ht="45.75" customHeight="1" hidden="1" outlineLevel="1" collapsed="1" thickTop="1">
      <c r="A173" s="2061"/>
      <c r="B173" s="2062"/>
      <c r="C173" s="2062"/>
      <c r="D173" s="2062"/>
      <c r="E173" s="2062"/>
      <c r="F173" s="2063"/>
      <c r="G173" s="2067" t="s">
        <v>134</v>
      </c>
      <c r="H173" s="2067"/>
      <c r="I173" s="2067"/>
      <c r="J173" s="2067"/>
      <c r="K173" s="2067" t="s">
        <v>89</v>
      </c>
      <c r="L173" s="2067"/>
      <c r="M173" s="2067"/>
      <c r="N173" s="2067"/>
      <c r="O173" s="2057" t="s">
        <v>81</v>
      </c>
      <c r="P173" s="2057"/>
      <c r="Q173" s="2057"/>
      <c r="R173" s="2057"/>
      <c r="S173" s="2057" t="s">
        <v>92</v>
      </c>
      <c r="T173" s="2057"/>
      <c r="U173" s="2057"/>
      <c r="V173" s="2057"/>
      <c r="W173" s="2057" t="s">
        <v>98</v>
      </c>
      <c r="X173" s="2057"/>
      <c r="Y173" s="2057"/>
      <c r="Z173" s="2057"/>
      <c r="AA173" s="2057" t="s">
        <v>99</v>
      </c>
      <c r="AB173" s="2057"/>
      <c r="AC173" s="2057"/>
      <c r="AD173" s="2057"/>
      <c r="AE173" s="2057" t="s">
        <v>84</v>
      </c>
      <c r="AF173" s="2057"/>
      <c r="AG173" s="2057"/>
      <c r="AH173" s="2057"/>
    </row>
    <row r="174" spans="1:34" s="1227" customFormat="1" ht="72" customHeight="1" hidden="1" outlineLevel="1">
      <c r="A174" s="2064"/>
      <c r="B174" s="2065"/>
      <c r="C174" s="2065"/>
      <c r="D174" s="2065"/>
      <c r="E174" s="2065"/>
      <c r="F174" s="2066"/>
      <c r="G174" s="1701" t="s">
        <v>144</v>
      </c>
      <c r="H174" s="1416" t="s">
        <v>184</v>
      </c>
      <c r="I174" s="1415" t="s">
        <v>135</v>
      </c>
      <c r="J174" s="1702" t="s">
        <v>136</v>
      </c>
      <c r="K174" s="1557" t="s">
        <v>144</v>
      </c>
      <c r="L174" s="1416" t="s">
        <v>184</v>
      </c>
      <c r="M174" s="1415" t="s">
        <v>135</v>
      </c>
      <c r="N174" s="1546" t="s">
        <v>136</v>
      </c>
      <c r="O174" s="1703" t="s">
        <v>36</v>
      </c>
      <c r="P174" s="1416" t="s">
        <v>37</v>
      </c>
      <c r="Q174" s="1415" t="s">
        <v>38</v>
      </c>
      <c r="R174" s="1702" t="s">
        <v>39</v>
      </c>
      <c r="S174" s="1704" t="s">
        <v>36</v>
      </c>
      <c r="T174" s="1416" t="s">
        <v>37</v>
      </c>
      <c r="U174" s="1415" t="s">
        <v>38</v>
      </c>
      <c r="V174" s="1546" t="s">
        <v>39</v>
      </c>
      <c r="W174" s="1701" t="s">
        <v>36</v>
      </c>
      <c r="X174" s="1416" t="s">
        <v>344</v>
      </c>
      <c r="Y174" s="1415" t="s">
        <v>38</v>
      </c>
      <c r="Z174" s="1702" t="s">
        <v>39</v>
      </c>
      <c r="AA174" s="1557" t="s">
        <v>36</v>
      </c>
      <c r="AB174" s="1416" t="s">
        <v>344</v>
      </c>
      <c r="AC174" s="1415" t="s">
        <v>38</v>
      </c>
      <c r="AD174" s="1702" t="s">
        <v>39</v>
      </c>
      <c r="AE174" s="1701" t="s">
        <v>36</v>
      </c>
      <c r="AF174" s="1416" t="s">
        <v>344</v>
      </c>
      <c r="AG174" s="1415" t="s">
        <v>38</v>
      </c>
      <c r="AH174" s="1702" t="s">
        <v>39</v>
      </c>
    </row>
    <row r="175" spans="1:34" s="1227" customFormat="1" ht="43.5" customHeight="1" hidden="1" outlineLevel="1">
      <c r="A175" s="2068" t="s">
        <v>197</v>
      </c>
      <c r="B175" s="2069"/>
      <c r="C175" s="2069"/>
      <c r="D175" s="2069"/>
      <c r="E175" s="2069"/>
      <c r="F175" s="2070"/>
      <c r="G175" s="1451">
        <f>MOLISA!G102+'MOCST '!G51+GSO!G57</f>
        <v>253151</v>
      </c>
      <c r="H175" s="1387">
        <f>MOLISA!H102+'MOCST '!H51+GSO!H57</f>
        <v>226805</v>
      </c>
      <c r="I175" s="1387">
        <f>H175*7%</f>
        <v>15876.350000000002</v>
      </c>
      <c r="J175" s="1452">
        <f>SUM(H175:I175)</f>
        <v>242681.35</v>
      </c>
      <c r="K175" s="1450">
        <f>MOLISA!K102+'MOCST '!K51+GSO!K57</f>
        <v>109550</v>
      </c>
      <c r="L175" s="1369">
        <f>MOLISA!L102+'MOCST '!L51+GSO!L57</f>
        <v>95165</v>
      </c>
      <c r="M175" s="1369">
        <f>MOLISA!M102+'MOCST '!M51+GSO!M57</f>
        <v>6661.55</v>
      </c>
      <c r="N175" s="1454">
        <f>MOLISA!N102+'MOCST '!N51+GSO!N57</f>
        <v>101826.55</v>
      </c>
      <c r="O175" s="1389">
        <f>MOLISA!O102+'MOCST '!O51+GSO!O57</f>
        <v>118592</v>
      </c>
      <c r="P175" s="1369">
        <f>MOLISA!P102+'MOCST '!P51+GSO!P57</f>
        <v>101090</v>
      </c>
      <c r="Q175" s="1369">
        <f>P175*7%</f>
        <v>7076.300000000001</v>
      </c>
      <c r="R175" s="1388">
        <f>MOLISA!R102+'MOCST '!R51+GSO!R57</f>
        <v>108166.3</v>
      </c>
      <c r="S175" s="1450">
        <f>K175-O175</f>
        <v>-9042</v>
      </c>
      <c r="T175" s="1369">
        <f>L175-P175</f>
        <v>-5925</v>
      </c>
      <c r="U175" s="1369">
        <f>M175-Q175</f>
        <v>-414.7500000000009</v>
      </c>
      <c r="V175" s="1454">
        <f>N175-R175</f>
        <v>-6339.75</v>
      </c>
      <c r="W175" s="1389">
        <f>MOLISA!W102+'MOCST '!W51+GSO!W57</f>
        <v>66100</v>
      </c>
      <c r="X175" s="1369">
        <f>MOLISA!X102+'MOCST '!X51+GSO!X57</f>
        <v>22692</v>
      </c>
      <c r="Y175" s="1369">
        <f>MOLISA!Y102+'MOCST '!Y51+GSO!Y57</f>
        <v>1588.44</v>
      </c>
      <c r="Z175" s="1388">
        <f>MOLISA!Z102+'MOCST '!Z51+GSO!Z57</f>
        <v>24280.44</v>
      </c>
      <c r="AA175" s="1450">
        <f>MOLISA!AA102+'MOCST '!AA51+GSO!AA57</f>
        <v>0</v>
      </c>
      <c r="AB175" s="1369">
        <f>MOLISA!AB102+'MOCST '!AB51+GSO!AB57</f>
        <v>0</v>
      </c>
      <c r="AC175" s="1369">
        <f>MOLISA!AC102+'MOCST '!AC51+GSO!AC57</f>
        <v>0</v>
      </c>
      <c r="AD175" s="1388">
        <f>MOLISA!AD102+'MOCST '!AD51+GSO!AD57</f>
        <v>0</v>
      </c>
      <c r="AE175" s="1389">
        <f>MOLISA!AE102+'MOCST '!AE51+GSO!AE57</f>
        <v>66100</v>
      </c>
      <c r="AF175" s="1369">
        <f>MOLISA!AF102+'MOCST '!AF51+GSO!AF57</f>
        <v>22692</v>
      </c>
      <c r="AG175" s="1369">
        <f>MOLISA!AG102+'MOCST '!AG51+GSO!AG57</f>
        <v>1588.44</v>
      </c>
      <c r="AH175" s="1388">
        <f>MOLISA!AH102+'MOCST '!AH51+GSO!AH57</f>
        <v>24280.44</v>
      </c>
    </row>
    <row r="176" spans="1:41" s="1235" customFormat="1" ht="54.75" customHeight="1" hidden="1" outlineLevel="2">
      <c r="A176" s="2068" t="s">
        <v>198</v>
      </c>
      <c r="B176" s="2069"/>
      <c r="C176" s="2069"/>
      <c r="D176" s="2069"/>
      <c r="E176" s="2069"/>
      <c r="F176" s="2070"/>
      <c r="G176" s="1451">
        <f>MOLISA!G103+'MOCST '!G52+GSO!G58</f>
        <v>411962</v>
      </c>
      <c r="H176" s="1387">
        <f>MOLISA!H103+'MOCST '!H52+GSO!H58</f>
        <v>201277</v>
      </c>
      <c r="I176" s="1387">
        <f aca="true" t="shared" si="54" ref="I176:I185">H176*7%</f>
        <v>14089.390000000001</v>
      </c>
      <c r="J176" s="1452">
        <f aca="true" t="shared" si="55" ref="J176:J185">SUM(H176:I176)</f>
        <v>215366.39</v>
      </c>
      <c r="K176" s="1450">
        <f>MOLISA!K103+'MOCST '!K52+GSO!K58</f>
        <v>130000</v>
      </c>
      <c r="L176" s="1369">
        <f>MOLISA!L103+'MOCST '!L52+GSO!L58</f>
        <v>93536</v>
      </c>
      <c r="M176" s="1369">
        <f>MOLISA!M103+'MOCST '!M52+GSO!M58</f>
        <v>6547.52</v>
      </c>
      <c r="N176" s="1454">
        <f>MOLISA!N103+'MOCST '!N52+GSO!N58</f>
        <v>100083.52</v>
      </c>
      <c r="O176" s="1389">
        <f>MOLISA!O103+'MOCST '!O52+GSO!O58</f>
        <v>145363</v>
      </c>
      <c r="P176" s="1369">
        <f>MOLISA!P103+'MOCST '!P52+GSO!P58</f>
        <v>63928</v>
      </c>
      <c r="Q176" s="1369">
        <f aca="true" t="shared" si="56" ref="Q176:Q184">P176*7%</f>
        <v>4474.96</v>
      </c>
      <c r="R176" s="1388">
        <f>MOLISA!R103+'MOCST '!R52+GSO!R58</f>
        <v>68402.96</v>
      </c>
      <c r="S176" s="1450">
        <f aca="true" t="shared" si="57" ref="S176:S189">K176-O176</f>
        <v>-15363</v>
      </c>
      <c r="T176" s="1369">
        <f aca="true" t="shared" si="58" ref="T176:T189">L176-P176</f>
        <v>29608</v>
      </c>
      <c r="U176" s="1369">
        <f aca="true" t="shared" si="59" ref="U176:U189">M176-Q176</f>
        <v>2072.5600000000004</v>
      </c>
      <c r="V176" s="1454">
        <f>MOLISA!V103+'MOCST '!V52+GSO!V58</f>
        <v>31680.56</v>
      </c>
      <c r="W176" s="1389">
        <f>MOLISA!W103+'MOCST '!W52+GSO!W58</f>
        <v>216643</v>
      </c>
      <c r="X176" s="1369">
        <f>MOLISA!X103+'MOCST '!X52+GSO!X58</f>
        <v>70144</v>
      </c>
      <c r="Y176" s="1369">
        <f>MOLISA!Y103+'MOCST '!Y52+GSO!Y58</f>
        <v>4910.080000000001</v>
      </c>
      <c r="Z176" s="1388">
        <f>MOLISA!Z103+'MOCST '!Z52+GSO!Z58</f>
        <v>75054.08</v>
      </c>
      <c r="AA176" s="1450">
        <f>MOLISA!AA103+'MOCST '!AA52+GSO!AA58</f>
        <v>27500</v>
      </c>
      <c r="AB176" s="1369">
        <f>MOLISA!AB103+'MOCST '!AB52+GSO!AB58</f>
        <v>0</v>
      </c>
      <c r="AC176" s="1369">
        <f>MOLISA!AC103+'MOCST '!AC52+GSO!AC58</f>
        <v>0</v>
      </c>
      <c r="AD176" s="1388">
        <f>MOLISA!AD103+'MOCST '!AD52+GSO!AD58</f>
        <v>0</v>
      </c>
      <c r="AE176" s="1389">
        <f>MOLISA!AE103+'MOCST '!AE52+GSO!AE58</f>
        <v>244143</v>
      </c>
      <c r="AF176" s="1369">
        <f>MOLISA!AF103+'MOCST '!AF52+GSO!AF58</f>
        <v>70144</v>
      </c>
      <c r="AG176" s="1369">
        <f>MOLISA!AG103+'MOCST '!AG52+GSO!AG58</f>
        <v>4910.080000000001</v>
      </c>
      <c r="AH176" s="1388">
        <f>MOLISA!AH103+'MOCST '!AH52+GSO!AH58</f>
        <v>75054.08</v>
      </c>
      <c r="AN176" s="1227"/>
      <c r="AO176" s="1227"/>
    </row>
    <row r="177" spans="1:41" s="1235" customFormat="1" ht="66.75" customHeight="1" hidden="1" outlineLevel="2">
      <c r="A177" s="2068" t="s">
        <v>199</v>
      </c>
      <c r="B177" s="2069"/>
      <c r="C177" s="2069"/>
      <c r="D177" s="2069"/>
      <c r="E177" s="2069"/>
      <c r="F177" s="2070"/>
      <c r="G177" s="1451">
        <f>MOLISA!G104+'MOCST '!G53+GSO!G59</f>
        <v>212629</v>
      </c>
      <c r="H177" s="1387">
        <f>MOLISA!H104+'MOCST '!H53+GSO!H59</f>
        <v>397159</v>
      </c>
      <c r="I177" s="1387">
        <f t="shared" si="54"/>
        <v>27801.13</v>
      </c>
      <c r="J177" s="1452">
        <f t="shared" si="55"/>
        <v>424960.13</v>
      </c>
      <c r="K177" s="1450">
        <f>MOLISA!K104+'MOCST '!K53+GSO!K59</f>
        <v>90825</v>
      </c>
      <c r="L177" s="1369">
        <f>MOLISA!L104+'MOCST '!L53+GSO!L59</f>
        <v>178659</v>
      </c>
      <c r="M177" s="1369">
        <f>MOLISA!M104+'MOCST '!M53+GSO!M59</f>
        <v>12506.130000000001</v>
      </c>
      <c r="N177" s="1454">
        <f>MOLISA!N104+'MOCST '!N53+GSO!N59</f>
        <v>191165.13</v>
      </c>
      <c r="O177" s="1389">
        <f>MOLISA!O104+'MOCST '!O53+GSO!O59</f>
        <v>72390</v>
      </c>
      <c r="P177" s="1369">
        <f>MOLISA!P104+'MOCST '!P53+GSO!P59</f>
        <v>135299</v>
      </c>
      <c r="Q177" s="1369">
        <f t="shared" si="56"/>
        <v>9470.93</v>
      </c>
      <c r="R177" s="1388">
        <f>MOLISA!R104+'MOCST '!R53+GSO!R59</f>
        <v>144769.93000000002</v>
      </c>
      <c r="S177" s="1450">
        <f t="shared" si="57"/>
        <v>18435</v>
      </c>
      <c r="T177" s="1369">
        <f t="shared" si="58"/>
        <v>43360</v>
      </c>
      <c r="U177" s="1369">
        <f t="shared" si="59"/>
        <v>3035.2000000000007</v>
      </c>
      <c r="V177" s="1454">
        <f>MOLISA!V104+'MOCST '!V53+GSO!V59</f>
        <v>46395.2</v>
      </c>
      <c r="W177" s="1389">
        <f>MOLISA!W104+'MOCST '!W53+GSO!W59</f>
        <v>121751</v>
      </c>
      <c r="X177" s="1369">
        <f>MOLISA!X104+'MOCST '!X53+GSO!X59</f>
        <v>153888</v>
      </c>
      <c r="Y177" s="1369">
        <f>MOLISA!Y104+'MOCST '!Y53+GSO!Y59</f>
        <v>10772.16</v>
      </c>
      <c r="Z177" s="1388">
        <f>MOLISA!Z104+'MOCST '!Z53+GSO!Z59</f>
        <v>164660.15999999997</v>
      </c>
      <c r="AA177" s="1450">
        <f>MOLISA!AA104+'MOCST '!AA53+GSO!AA59</f>
        <v>0</v>
      </c>
      <c r="AB177" s="1369">
        <f>MOLISA!AB104+'MOCST '!AB53+GSO!AB59</f>
        <v>24057</v>
      </c>
      <c r="AC177" s="1369">
        <f>MOLISA!AC104+'MOCST '!AC53+GSO!AC59</f>
        <v>1683.9900000000002</v>
      </c>
      <c r="AD177" s="1388">
        <f>MOLISA!AD104+'MOCST '!AD53+GSO!AD59</f>
        <v>25740.99</v>
      </c>
      <c r="AE177" s="1389">
        <f>MOLISA!AE104+'MOCST '!AE53+GSO!AE59</f>
        <v>121751</v>
      </c>
      <c r="AF177" s="1369">
        <f>MOLISA!AF104+'MOCST '!AF53+GSO!AF59</f>
        <v>177945</v>
      </c>
      <c r="AG177" s="1369">
        <f>MOLISA!AG104+'MOCST '!AG53+GSO!AG59</f>
        <v>12456.15</v>
      </c>
      <c r="AH177" s="1388">
        <f>MOLISA!AH104+'MOCST '!AH53+GSO!AH59</f>
        <v>190401.15000000002</v>
      </c>
      <c r="AN177" s="1227"/>
      <c r="AO177" s="1227"/>
    </row>
    <row r="178" spans="1:41" s="1235" customFormat="1" ht="33.75" customHeight="1" hidden="1" outlineLevel="2">
      <c r="A178" s="2068" t="s">
        <v>201</v>
      </c>
      <c r="B178" s="2069"/>
      <c r="C178" s="2069"/>
      <c r="D178" s="2069"/>
      <c r="E178" s="2069"/>
      <c r="F178" s="2070"/>
      <c r="G178" s="1451">
        <f>MOLISA!G105+'MOCST '!G54+GSO!G60</f>
        <v>110000</v>
      </c>
      <c r="H178" s="1387">
        <f>MOLISA!H105+'MOCST '!H54+GSO!H60</f>
        <v>201752</v>
      </c>
      <c r="I178" s="1387">
        <f t="shared" si="54"/>
        <v>14122.640000000001</v>
      </c>
      <c r="J178" s="1452">
        <f t="shared" si="55"/>
        <v>215874.64</v>
      </c>
      <c r="K178" s="1450">
        <f>MOLISA!K105+'MOCST '!K54+GSO!K60</f>
        <v>80250</v>
      </c>
      <c r="L178" s="1369">
        <f>MOLISA!L105+'MOCST '!L54+GSO!L60</f>
        <v>138603</v>
      </c>
      <c r="M178" s="1369">
        <f>MOLISA!M105+'MOCST '!M54+GSO!M60</f>
        <v>9702.210000000001</v>
      </c>
      <c r="N178" s="1454">
        <f>MOLISA!N105+'MOCST '!N54+GSO!N60</f>
        <v>148305.21</v>
      </c>
      <c r="O178" s="1389">
        <f>MOLISA!O105+'MOCST '!O54+GSO!O60</f>
        <v>38194</v>
      </c>
      <c r="P178" s="1369">
        <f>MOLISA!P105+'MOCST '!P54+GSO!P60</f>
        <v>130086</v>
      </c>
      <c r="Q178" s="1369">
        <f t="shared" si="56"/>
        <v>9106.02</v>
      </c>
      <c r="R178" s="1388">
        <f>MOLISA!R105+'MOCST '!R54+GSO!R60</f>
        <v>139192.02</v>
      </c>
      <c r="S178" s="1450">
        <f t="shared" si="57"/>
        <v>42056</v>
      </c>
      <c r="T178" s="1369">
        <f t="shared" si="58"/>
        <v>8517</v>
      </c>
      <c r="U178" s="1369">
        <f t="shared" si="59"/>
        <v>596.1900000000005</v>
      </c>
      <c r="V178" s="1454">
        <f>MOLISA!V105+'MOCST '!V54+GSO!V60</f>
        <v>9113.19</v>
      </c>
      <c r="W178" s="1389">
        <f>MOLISA!W105+'MOCST '!W54+GSO!W60</f>
        <v>50863</v>
      </c>
      <c r="X178" s="1369">
        <f>MOLISA!X105+'MOCST '!X54+GSO!X60</f>
        <v>20935</v>
      </c>
      <c r="Y178" s="1369">
        <f>MOLISA!Y105+'MOCST '!Y54+GSO!Y60</f>
        <v>1465.45</v>
      </c>
      <c r="Z178" s="1388">
        <f>MOLISA!Z105+'MOCST '!Z54+GSO!Z60</f>
        <v>22400.45</v>
      </c>
      <c r="AA178" s="1450">
        <f>MOLISA!AA105+'MOCST '!AA54+GSO!AA60</f>
        <v>0</v>
      </c>
      <c r="AB178" s="1369">
        <f>MOLISA!AB105+'MOCST '!AB54+GSO!AB60</f>
        <v>0</v>
      </c>
      <c r="AC178" s="1369">
        <f>MOLISA!AC105+'MOCST '!AC54+GSO!AC60</f>
        <v>0</v>
      </c>
      <c r="AD178" s="1388">
        <f>MOLISA!AD105+'MOCST '!AD54+GSO!AD60</f>
        <v>0</v>
      </c>
      <c r="AE178" s="1389">
        <f>MOLISA!AE105+'MOCST '!AE54+GSO!AE60</f>
        <v>50863</v>
      </c>
      <c r="AF178" s="1369">
        <f>MOLISA!AF105+'MOCST '!AF54+GSO!AF60</f>
        <v>20935</v>
      </c>
      <c r="AG178" s="1369">
        <f>MOLISA!AG105+'MOCST '!AG54+GSO!AG60</f>
        <v>1465.45</v>
      </c>
      <c r="AH178" s="1388">
        <f>MOLISA!AH105+'MOCST '!AH54+GSO!AH60</f>
        <v>22400.45</v>
      </c>
      <c r="AN178" s="1227"/>
      <c r="AO178" s="1227"/>
    </row>
    <row r="179" spans="1:41" s="1235" customFormat="1" ht="33.75" customHeight="1" hidden="1" outlineLevel="2">
      <c r="A179" s="2068" t="s">
        <v>208</v>
      </c>
      <c r="B179" s="2069"/>
      <c r="C179" s="2069"/>
      <c r="D179" s="2069"/>
      <c r="E179" s="2069"/>
      <c r="F179" s="2070"/>
      <c r="G179" s="1451">
        <f>MOLISA!G106+'MOCST '!G55+GSO!G61</f>
        <v>99261</v>
      </c>
      <c r="H179" s="1387">
        <f>MOLISA!H106+'MOCST '!H55+GSO!H61</f>
        <v>2799</v>
      </c>
      <c r="I179" s="1387">
        <f t="shared" si="54"/>
        <v>195.93</v>
      </c>
      <c r="J179" s="1452">
        <f t="shared" si="55"/>
        <v>2994.93</v>
      </c>
      <c r="K179" s="1450">
        <f>MOLISA!K106+'MOCST '!K55+GSO!K61</f>
        <v>35459</v>
      </c>
      <c r="L179" s="1369">
        <f>MOLISA!L106+'MOCST '!L55+GSO!L61</f>
        <v>2799</v>
      </c>
      <c r="M179" s="1369">
        <f>MOLISA!M106+'MOCST '!M55+GSO!M61</f>
        <v>195.93</v>
      </c>
      <c r="N179" s="1454">
        <f>MOLISA!N106+'MOCST '!N55+GSO!N61</f>
        <v>2994.93</v>
      </c>
      <c r="O179" s="1389">
        <f>MOLISA!O106+'MOCST '!O55+GSO!O61</f>
        <v>40686</v>
      </c>
      <c r="P179" s="1369">
        <f>MOLISA!P106+'MOCST '!P55+GSO!P61</f>
        <v>2749</v>
      </c>
      <c r="Q179" s="1369">
        <f t="shared" si="56"/>
        <v>192.43</v>
      </c>
      <c r="R179" s="1388">
        <f>MOLISA!R106+'MOCST '!R55+GSO!R61</f>
        <v>2941.43</v>
      </c>
      <c r="S179" s="1450">
        <f t="shared" si="57"/>
        <v>-5227</v>
      </c>
      <c r="T179" s="1369">
        <f t="shared" si="58"/>
        <v>50</v>
      </c>
      <c r="U179" s="1369">
        <f t="shared" si="59"/>
        <v>3.5</v>
      </c>
      <c r="V179" s="1454">
        <f>MOLISA!V106+'MOCST '!V55+GSO!V61</f>
        <v>53.5</v>
      </c>
      <c r="W179" s="1389">
        <f>MOLISA!W106+'MOCST '!W55+GSO!W61</f>
        <v>54812</v>
      </c>
      <c r="X179" s="1369">
        <f>MOLISA!X106+'MOCST '!X55+GSO!X61</f>
        <v>50</v>
      </c>
      <c r="Y179" s="1369">
        <f>MOLISA!Y106+'MOCST '!Y55+GSO!Y61</f>
        <v>3.5000000000000004</v>
      </c>
      <c r="Z179" s="1388">
        <f>MOLISA!Z106+'MOCST '!Z55+GSO!Z61</f>
        <v>53.5</v>
      </c>
      <c r="AA179" s="1450">
        <f>MOLISA!AA106+'MOCST '!AA55+GSO!AA61</f>
        <v>11150</v>
      </c>
      <c r="AB179" s="1369">
        <f>MOLISA!AB106+'MOCST '!AB55+GSO!AB61</f>
        <v>0</v>
      </c>
      <c r="AC179" s="1369">
        <f>MOLISA!AC106+'MOCST '!AC55+GSO!AC61</f>
        <v>0</v>
      </c>
      <c r="AD179" s="1388">
        <f>MOLISA!AD106+'MOCST '!AD55+GSO!AD61</f>
        <v>0</v>
      </c>
      <c r="AE179" s="1389">
        <f>MOLISA!AE106+'MOCST '!AE55+GSO!AE61</f>
        <v>65962</v>
      </c>
      <c r="AF179" s="1369">
        <f>MOLISA!AF106+'MOCST '!AF55+GSO!AF61</f>
        <v>50</v>
      </c>
      <c r="AG179" s="1369">
        <f>MOLISA!AG106+'MOCST '!AG55+GSO!AG61</f>
        <v>3.5000000000000004</v>
      </c>
      <c r="AH179" s="1388">
        <f>MOLISA!AH106+'MOCST '!AH55+GSO!AH61</f>
        <v>53.5</v>
      </c>
      <c r="AN179" s="1227"/>
      <c r="AO179" s="1227"/>
    </row>
    <row r="180" spans="1:41" s="1235" customFormat="1" ht="33.75" customHeight="1" hidden="1" outlineLevel="2">
      <c r="A180" s="2068" t="s">
        <v>200</v>
      </c>
      <c r="B180" s="2069"/>
      <c r="C180" s="2069"/>
      <c r="D180" s="2069"/>
      <c r="E180" s="2069"/>
      <c r="F180" s="2070"/>
      <c r="G180" s="1451">
        <f>MOLISA!G107+'MOCST '!G56+GSO!G62</f>
        <v>0</v>
      </c>
      <c r="H180" s="1387">
        <f>MOLISA!H107+'MOCST '!H56+GSO!H62</f>
        <v>118982</v>
      </c>
      <c r="I180" s="1387">
        <f t="shared" si="54"/>
        <v>8328.740000000002</v>
      </c>
      <c r="J180" s="1452">
        <f t="shared" si="55"/>
        <v>127310.74</v>
      </c>
      <c r="K180" s="1450">
        <f>MOLISA!K107+'MOCST '!K56+GSO!K62</f>
        <v>0</v>
      </c>
      <c r="L180" s="1369">
        <f>MOLISA!L107+'MOCST '!L56+GSO!L62</f>
        <v>41124</v>
      </c>
      <c r="M180" s="1369">
        <f>MOLISA!M107+'MOCST '!M56+GSO!M62</f>
        <v>2878.6800000000003</v>
      </c>
      <c r="N180" s="1454">
        <f>MOLISA!N107+'MOCST '!N56+GSO!N62</f>
        <v>44002.68</v>
      </c>
      <c r="O180" s="1389">
        <f>MOLISA!O107+'MOCST '!O56+GSO!O62</f>
        <v>0</v>
      </c>
      <c r="P180" s="1369">
        <f>MOLISA!P107+'MOCST '!P56+GSO!P62</f>
        <v>43910</v>
      </c>
      <c r="Q180" s="1369">
        <f t="shared" si="56"/>
        <v>3073.7000000000003</v>
      </c>
      <c r="R180" s="1388">
        <f>MOLISA!R107+'MOCST '!R56+GSO!R62</f>
        <v>46983.7</v>
      </c>
      <c r="S180" s="1450">
        <f t="shared" si="57"/>
        <v>0</v>
      </c>
      <c r="T180" s="1369">
        <f t="shared" si="58"/>
        <v>-2786</v>
      </c>
      <c r="U180" s="1369">
        <f t="shared" si="59"/>
        <v>-195.01999999999998</v>
      </c>
      <c r="V180" s="1454">
        <f>MOLISA!V107+'MOCST '!V56+GSO!V62</f>
        <v>-2981.02</v>
      </c>
      <c r="W180" s="1389">
        <f>MOLISA!W107+'MOCST '!W56+GSO!W62</f>
        <v>0</v>
      </c>
      <c r="X180" s="1369">
        <f>MOLISA!X107+'MOCST '!X56+GSO!X62</f>
        <v>6182</v>
      </c>
      <c r="Y180" s="1369">
        <f>MOLISA!Y107+'MOCST '!Y56+GSO!Y62</f>
        <v>432.74000000000007</v>
      </c>
      <c r="Z180" s="1388">
        <f>MOLISA!Z107+'MOCST '!Z56+GSO!Z62</f>
        <v>6614.74</v>
      </c>
      <c r="AA180" s="1450">
        <f>MOLISA!AA107+'MOCST '!AA56+GSO!AA62</f>
        <v>0</v>
      </c>
      <c r="AB180" s="1369">
        <f>MOLISA!AB107+'MOCST '!AB56+GSO!AB62</f>
        <v>0</v>
      </c>
      <c r="AC180" s="1369">
        <f>MOLISA!AC107+'MOCST '!AC56+GSO!AC62</f>
        <v>0</v>
      </c>
      <c r="AD180" s="1388">
        <f>MOLISA!AD107+'MOCST '!AD56+GSO!AD62</f>
        <v>0</v>
      </c>
      <c r="AE180" s="1389">
        <f>MOLISA!AE107+'MOCST '!AE56+GSO!AE62</f>
        <v>0</v>
      </c>
      <c r="AF180" s="1369">
        <f>MOLISA!AF107+'MOCST '!AF56+GSO!AF62</f>
        <v>6182</v>
      </c>
      <c r="AG180" s="1369">
        <f>MOLISA!AG107+'MOCST '!AG56+GSO!AG62</f>
        <v>432.74000000000007</v>
      </c>
      <c r="AH180" s="1388">
        <f>MOLISA!AH107+'MOCST '!AH56+GSO!AH62</f>
        <v>6614.74</v>
      </c>
      <c r="AN180" s="1227"/>
      <c r="AO180" s="1227"/>
    </row>
    <row r="181" spans="1:41" s="1235" customFormat="1" ht="33.75" customHeight="1" hidden="1" outlineLevel="2">
      <c r="A181" s="2068" t="s">
        <v>196</v>
      </c>
      <c r="B181" s="2069"/>
      <c r="C181" s="2069"/>
      <c r="D181" s="2069"/>
      <c r="E181" s="2069"/>
      <c r="F181" s="2070"/>
      <c r="G181" s="1451">
        <f>MOLISA!G108+'MOCST '!G57+GSO!G63</f>
        <v>102736</v>
      </c>
      <c r="H181" s="1387">
        <f>MOLISA!H108+'MOCST '!H57+GSO!H63</f>
        <v>49349</v>
      </c>
      <c r="I181" s="1387">
        <f t="shared" si="54"/>
        <v>3454.4300000000003</v>
      </c>
      <c r="J181" s="1452">
        <f t="shared" si="55"/>
        <v>52803.43</v>
      </c>
      <c r="K181" s="1450">
        <f>MOLISA!K108+'MOCST '!K57+GSO!K63</f>
        <v>80325</v>
      </c>
      <c r="L181" s="1369">
        <f>MOLISA!L108+'MOCST '!L57+GSO!L63</f>
        <v>38431</v>
      </c>
      <c r="M181" s="1369">
        <f>MOLISA!M108+'MOCST '!M57+GSO!M63</f>
        <v>2690.17</v>
      </c>
      <c r="N181" s="1454">
        <f>MOLISA!N108+'MOCST '!N57+GSO!N63</f>
        <v>41121.17</v>
      </c>
      <c r="O181" s="1389">
        <f>MOLISA!O108+'MOCST '!O57+GSO!O63</f>
        <v>48497</v>
      </c>
      <c r="P181" s="1369">
        <f>MOLISA!P108+'MOCST '!P57+GSO!P63</f>
        <v>17398</v>
      </c>
      <c r="Q181" s="1369">
        <f t="shared" si="56"/>
        <v>1217.8600000000001</v>
      </c>
      <c r="R181" s="1388">
        <f>MOLISA!R108+'MOCST '!R57+GSO!R63</f>
        <v>18615.86</v>
      </c>
      <c r="S181" s="1450">
        <f t="shared" si="57"/>
        <v>31828</v>
      </c>
      <c r="T181" s="1369">
        <f t="shared" si="58"/>
        <v>21033</v>
      </c>
      <c r="U181" s="1369">
        <f t="shared" si="59"/>
        <v>1472.31</v>
      </c>
      <c r="V181" s="1454">
        <f>MOLISA!V108+'MOCST '!V57+GSO!V63</f>
        <v>22505.31</v>
      </c>
      <c r="W181" s="1389">
        <f>MOLISA!W108+'MOCST '!W57+GSO!W63</f>
        <v>45868</v>
      </c>
      <c r="X181" s="1369">
        <f>MOLISA!X108+'MOCST '!X57+GSO!X63</f>
        <v>27698.42</v>
      </c>
      <c r="Y181" s="1369">
        <f>MOLISA!Y108+'MOCST '!Y57+GSO!Y63</f>
        <v>1938.8894000000003</v>
      </c>
      <c r="Z181" s="1388">
        <f>MOLISA!Z108+'MOCST '!Z57+GSO!Z63</f>
        <v>29637.3094</v>
      </c>
      <c r="AA181" s="1450">
        <f>MOLISA!AA108+'MOCST '!AA57+GSO!AA63</f>
        <v>0</v>
      </c>
      <c r="AB181" s="1369">
        <f>MOLISA!AB108+'MOCST '!AB57+GSO!AB63</f>
        <v>0</v>
      </c>
      <c r="AC181" s="1369">
        <f>MOLISA!AC108+'MOCST '!AC57+GSO!AC63</f>
        <v>0</v>
      </c>
      <c r="AD181" s="1388">
        <f>MOLISA!AD108+'MOCST '!AD57+GSO!AD63</f>
        <v>0</v>
      </c>
      <c r="AE181" s="1389">
        <f>MOLISA!AE108+'MOCST '!AE57+GSO!AE63</f>
        <v>45868</v>
      </c>
      <c r="AF181" s="1369">
        <f>MOLISA!AF108+'MOCST '!AF57+GSO!AF63</f>
        <v>27698.42</v>
      </c>
      <c r="AG181" s="1369">
        <f>MOLISA!AG108+'MOCST '!AG57+GSO!AG63</f>
        <v>1938.8894000000003</v>
      </c>
      <c r="AH181" s="1388">
        <f>MOLISA!AH108+'MOCST '!AH57+GSO!AH63</f>
        <v>29637.3094</v>
      </c>
      <c r="AN181" s="1227"/>
      <c r="AO181" s="1227"/>
    </row>
    <row r="182" spans="1:41" s="1235" customFormat="1" ht="33.75" customHeight="1" hidden="1" outlineLevel="2">
      <c r="A182" s="2068" t="s">
        <v>421</v>
      </c>
      <c r="B182" s="2069"/>
      <c r="C182" s="2069"/>
      <c r="D182" s="2069"/>
      <c r="E182" s="2069"/>
      <c r="F182" s="2070"/>
      <c r="G182" s="1451">
        <f>MOLISA!G109+'MOCST '!G58+GSO!G64</f>
        <v>0</v>
      </c>
      <c r="H182" s="1387">
        <f>MOLISA!H109+'MOCST '!H58+GSO!H64</f>
        <v>84112</v>
      </c>
      <c r="I182" s="1387">
        <f t="shared" si="54"/>
        <v>5887.84</v>
      </c>
      <c r="J182" s="1452">
        <f t="shared" si="55"/>
        <v>89999.84</v>
      </c>
      <c r="K182" s="1450">
        <f>MOLISA!K109+'MOCST '!K58+GSO!K64</f>
        <v>0</v>
      </c>
      <c r="L182" s="1369">
        <f>MOLISA!L109+'MOCST '!L58+GSO!L64</f>
        <v>56074</v>
      </c>
      <c r="M182" s="1369">
        <f>MOLISA!M109+'MOCST '!M58+GSO!M64</f>
        <v>3925.1800000000003</v>
      </c>
      <c r="N182" s="1454">
        <f>MOLISA!N109+'MOCST '!N58+GSO!N64</f>
        <v>59999.18</v>
      </c>
      <c r="O182" s="1389">
        <f>MOLISA!O109+'MOCST '!O58+GSO!O64</f>
        <v>0</v>
      </c>
      <c r="P182" s="1369">
        <f>MOLISA!P109+'MOCST '!P58+GSO!P64</f>
        <v>15637</v>
      </c>
      <c r="Q182" s="1369">
        <f t="shared" si="56"/>
        <v>1094.5900000000001</v>
      </c>
      <c r="R182" s="1388">
        <f>MOLISA!R109+'MOCST '!R58+GSO!R64</f>
        <v>16731.59</v>
      </c>
      <c r="S182" s="1450">
        <f t="shared" si="57"/>
        <v>0</v>
      </c>
      <c r="T182" s="1369">
        <f t="shared" si="58"/>
        <v>40437</v>
      </c>
      <c r="U182" s="1369">
        <f t="shared" si="59"/>
        <v>2830.59</v>
      </c>
      <c r="V182" s="1454">
        <f>MOLISA!V109+'MOCST '!V58+GSO!V64</f>
        <v>43267.59</v>
      </c>
      <c r="W182" s="1389">
        <f>MOLISA!W109+'MOCST '!W58+GSO!W64</f>
        <v>0</v>
      </c>
      <c r="X182" s="1369">
        <f>MOLISA!X109+'MOCST '!X58+GSO!X64</f>
        <v>40437</v>
      </c>
      <c r="Y182" s="1369">
        <f>MOLISA!Y109+'MOCST '!Y58+GSO!Y64</f>
        <v>2830.59</v>
      </c>
      <c r="Z182" s="1388">
        <f>MOLISA!Z109+'MOCST '!Z58+GSO!Z64</f>
        <v>43267.59</v>
      </c>
      <c r="AA182" s="1450">
        <f>MOLISA!AA109+'MOCST '!AA58+GSO!AA64</f>
        <v>0</v>
      </c>
      <c r="AB182" s="1369">
        <f>MOLISA!AB109+'MOCST '!AB58+GSO!AB64</f>
        <v>0</v>
      </c>
      <c r="AC182" s="1369">
        <f>MOLISA!AC109+'MOCST '!AC58+GSO!AC64</f>
        <v>0</v>
      </c>
      <c r="AD182" s="1388">
        <f>MOLISA!AD109+'MOCST '!AD58+GSO!AD64</f>
        <v>0</v>
      </c>
      <c r="AE182" s="1389">
        <f>MOLISA!AE109+'MOCST '!AE58+GSO!AE64</f>
        <v>0</v>
      </c>
      <c r="AF182" s="1369">
        <f>MOLISA!AF109+'MOCST '!AF58+GSO!AF64</f>
        <v>40437</v>
      </c>
      <c r="AG182" s="1369">
        <f>MOLISA!AG109+'MOCST '!AG58+GSO!AG64</f>
        <v>2830.59</v>
      </c>
      <c r="AH182" s="1388">
        <f>MOLISA!AH109+'MOCST '!AH58+GSO!AH64</f>
        <v>43267.59</v>
      </c>
      <c r="AN182" s="1227"/>
      <c r="AO182" s="1227"/>
    </row>
    <row r="183" spans="1:41" s="1235" customFormat="1" ht="33.75" customHeight="1" hidden="1" outlineLevel="2">
      <c r="A183" s="2068" t="s">
        <v>360</v>
      </c>
      <c r="B183" s="2069"/>
      <c r="C183" s="2069"/>
      <c r="D183" s="2069"/>
      <c r="E183" s="2069"/>
      <c r="F183" s="2070"/>
      <c r="G183" s="1451">
        <f>MOLISA!G110+'MOCST '!G59+GSO!G65</f>
        <v>235346</v>
      </c>
      <c r="H183" s="1387">
        <f>MOLISA!H110+'MOCST '!H59+GSO!H65</f>
        <v>161000</v>
      </c>
      <c r="I183" s="1387">
        <f t="shared" si="54"/>
        <v>11270.000000000002</v>
      </c>
      <c r="J183" s="1452">
        <f t="shared" si="55"/>
        <v>172270</v>
      </c>
      <c r="K183" s="1450">
        <f>MOLISA!K110+'MOCST '!K59+GSO!K65</f>
        <v>23818</v>
      </c>
      <c r="L183" s="1369">
        <f>MOLISA!L110+'MOCST '!L59+GSO!L65</f>
        <v>54258</v>
      </c>
      <c r="M183" s="1369">
        <f>MOLISA!M110+'MOCST '!M59+GSO!M65</f>
        <v>3798.0600000000004</v>
      </c>
      <c r="N183" s="1454">
        <f>MOLISA!N110+'MOCST '!N59+GSO!N65</f>
        <v>58056.06</v>
      </c>
      <c r="O183" s="1389">
        <f>MOLISA!O110+'MOCST '!O59+GSO!O65</f>
        <v>32328</v>
      </c>
      <c r="P183" s="1369">
        <f>MOLISA!P110+'MOCST '!P59+GSO!P65</f>
        <v>82006</v>
      </c>
      <c r="Q183" s="1369">
        <f t="shared" si="56"/>
        <v>5740.420000000001</v>
      </c>
      <c r="R183" s="1388">
        <f>MOLISA!R110+'MOCST '!R59+GSO!R65</f>
        <v>87746.42</v>
      </c>
      <c r="S183" s="1450">
        <f t="shared" si="57"/>
        <v>-8510</v>
      </c>
      <c r="T183" s="1369">
        <f t="shared" si="58"/>
        <v>-27748</v>
      </c>
      <c r="U183" s="1369">
        <f t="shared" si="59"/>
        <v>-1942.3600000000006</v>
      </c>
      <c r="V183" s="1454">
        <f>MOLISA!V110+'MOCST '!V59+GSO!V65</f>
        <v>-29690.36</v>
      </c>
      <c r="W183" s="1389">
        <f>MOLISA!W110+'MOCST '!W59+GSO!W65</f>
        <v>0</v>
      </c>
      <c r="X183" s="1369">
        <f>MOLISA!X110+'MOCST '!X59+GSO!X65</f>
        <v>0</v>
      </c>
      <c r="Y183" s="1369">
        <f>MOLISA!Y110+'MOCST '!Y59+GSO!Y65</f>
        <v>0</v>
      </c>
      <c r="Z183" s="1388">
        <f>MOLISA!Z110+'MOCST '!Z59+GSO!Z65</f>
        <v>0</v>
      </c>
      <c r="AA183" s="1450">
        <f>MOLISA!AA110+'MOCST '!AA59+GSO!AA65</f>
        <v>0</v>
      </c>
      <c r="AB183" s="1369">
        <f>MOLISA!AB110+'MOCST '!AB59+GSO!AB65</f>
        <v>0</v>
      </c>
      <c r="AC183" s="1369">
        <f>MOLISA!AC110+'MOCST '!AC59+GSO!AC65</f>
        <v>0</v>
      </c>
      <c r="AD183" s="1388">
        <f>MOLISA!AD110+'MOCST '!AD59+GSO!AD65</f>
        <v>0</v>
      </c>
      <c r="AE183" s="1389">
        <f>MOLISA!AE110+'MOCST '!AE59+GSO!AE65</f>
        <v>0</v>
      </c>
      <c r="AF183" s="1369">
        <f>MOLISA!AF110+'MOCST '!AF59+GSO!AF65</f>
        <v>0</v>
      </c>
      <c r="AG183" s="1369">
        <f>MOLISA!AG110+'MOCST '!AG59+GSO!AG65</f>
        <v>0</v>
      </c>
      <c r="AH183" s="1388">
        <f>MOLISA!AH110+'MOCST '!AH59+GSO!AH65</f>
        <v>0</v>
      </c>
      <c r="AI183" s="1375"/>
      <c r="AJ183" s="1375"/>
      <c r="AK183" s="1375"/>
      <c r="AN183" s="1375"/>
      <c r="AO183" s="1375"/>
    </row>
    <row r="184" spans="1:41" s="1235" customFormat="1" ht="33.75" customHeight="1" hidden="1" outlineLevel="2">
      <c r="A184" s="2068" t="s">
        <v>361</v>
      </c>
      <c r="B184" s="2069"/>
      <c r="C184" s="2069"/>
      <c r="D184" s="2069"/>
      <c r="E184" s="2069"/>
      <c r="F184" s="2070"/>
      <c r="G184" s="1451">
        <f>MOLISA!G111+'MOCST '!G60+GSO!G66</f>
        <v>0</v>
      </c>
      <c r="H184" s="1387">
        <f>MOLISA!H111+'MOCST '!H60+GSO!H66</f>
        <v>195405</v>
      </c>
      <c r="I184" s="1387">
        <f t="shared" si="54"/>
        <v>13678.350000000002</v>
      </c>
      <c r="J184" s="1452">
        <f t="shared" si="55"/>
        <v>209083.35</v>
      </c>
      <c r="K184" s="1450">
        <f>MOLISA!K111+'MOCST '!K60+GSO!K66</f>
        <v>0</v>
      </c>
      <c r="L184" s="1369">
        <f>MOLISA!L111+'MOCST '!L60+GSO!L66</f>
        <v>47368</v>
      </c>
      <c r="M184" s="1369">
        <f>MOLISA!M111+'MOCST '!M60+GSO!M66</f>
        <v>3315.76</v>
      </c>
      <c r="N184" s="1454">
        <f>MOLISA!N111+'MOCST '!N60+GSO!N66</f>
        <v>50683.76</v>
      </c>
      <c r="O184" s="1389">
        <f>MOLISA!O111+'MOCST '!O60+GSO!O66</f>
        <v>0</v>
      </c>
      <c r="P184" s="1369">
        <f>MOLISA!P111+'MOCST '!P60+GSO!P66</f>
        <v>19336</v>
      </c>
      <c r="Q184" s="1369">
        <f t="shared" si="56"/>
        <v>1353.5200000000002</v>
      </c>
      <c r="R184" s="1388">
        <f>MOLISA!R111+'MOCST '!R60+GSO!R66</f>
        <v>20689.52</v>
      </c>
      <c r="S184" s="1450">
        <f t="shared" si="57"/>
        <v>0</v>
      </c>
      <c r="T184" s="1369">
        <f t="shared" si="58"/>
        <v>28032</v>
      </c>
      <c r="U184" s="1369">
        <f t="shared" si="59"/>
        <v>1962.24</v>
      </c>
      <c r="V184" s="1454">
        <f>MOLISA!V111+'MOCST '!V60+GSO!V66</f>
        <v>29994.24</v>
      </c>
      <c r="W184" s="1389">
        <f>MOLISA!W111+'MOCST '!W60+GSO!W66</f>
        <v>0</v>
      </c>
      <c r="X184" s="1369">
        <f>MOLISA!X111+'MOCST '!X60+GSO!X66</f>
        <v>28032</v>
      </c>
      <c r="Y184" s="1369">
        <f>MOLISA!Y111+'MOCST '!Y60+GSO!Y66</f>
        <v>1962.2400000000002</v>
      </c>
      <c r="Z184" s="1388">
        <f>MOLISA!Z111+'MOCST '!Z60+GSO!Z66</f>
        <v>29994.24</v>
      </c>
      <c r="AA184" s="1450">
        <f>MOLISA!AA111+'MOCST '!AA60+GSO!AA66</f>
        <v>0</v>
      </c>
      <c r="AB184" s="1369">
        <f>MOLISA!AB111+'MOCST '!AB60+GSO!AB66</f>
        <v>0</v>
      </c>
      <c r="AC184" s="1369">
        <f>MOLISA!AC111+'MOCST '!AC60+GSO!AC66</f>
        <v>0</v>
      </c>
      <c r="AD184" s="1388">
        <f>MOLISA!AD111+'MOCST '!AD60+GSO!AD66</f>
        <v>0</v>
      </c>
      <c r="AE184" s="1389">
        <f>MOLISA!AE111+'MOCST '!AE60+GSO!AE66</f>
        <v>0</v>
      </c>
      <c r="AF184" s="1369">
        <f>MOLISA!AF111+'MOCST '!AF60+GSO!AF66</f>
        <v>28032</v>
      </c>
      <c r="AG184" s="1369">
        <f>MOLISA!AG111+'MOCST '!AG60+GSO!AG66</f>
        <v>1962.2400000000002</v>
      </c>
      <c r="AH184" s="1388">
        <f>MOLISA!AH111+'MOCST '!AH60+GSO!AH66</f>
        <v>29994.24</v>
      </c>
      <c r="AJ184" s="1227"/>
      <c r="AK184" s="1227"/>
      <c r="AN184" s="1227"/>
      <c r="AO184" s="1227"/>
    </row>
    <row r="185" spans="1:41" s="1146" customFormat="1" ht="33.75" customHeight="1" hidden="1" outlineLevel="2">
      <c r="A185" s="2074" t="s">
        <v>101</v>
      </c>
      <c r="B185" s="2075"/>
      <c r="C185" s="2075"/>
      <c r="D185" s="2075"/>
      <c r="E185" s="2075"/>
      <c r="F185" s="2076"/>
      <c r="G185" s="1459">
        <f>MOLISA!G112+'MOCST '!G61+GSO!G67</f>
        <v>1425085</v>
      </c>
      <c r="H185" s="1181">
        <f>MOLISA!H112+'MOCST '!H61+GSO!H67</f>
        <v>1638640</v>
      </c>
      <c r="I185" s="1181">
        <f t="shared" si="54"/>
        <v>114704.80000000002</v>
      </c>
      <c r="J185" s="1460">
        <f t="shared" si="55"/>
        <v>1753344.8</v>
      </c>
      <c r="K185" s="1213">
        <f>MOLISA!K112+'MOCST '!K61+GSO!K67</f>
        <v>550227</v>
      </c>
      <c r="L185" s="1209">
        <f>MOLISA!L112+'MOCST '!L61+GSO!L67</f>
        <v>746017</v>
      </c>
      <c r="M185" s="1209">
        <f>MOLISA!M112+'MOCST '!M61+GSO!M67</f>
        <v>52221.19</v>
      </c>
      <c r="N185" s="1461">
        <f>MOLISA!N112+'MOCST '!N61+GSO!N67</f>
        <v>798238.19</v>
      </c>
      <c r="O185" s="1211">
        <f>MOLISA!O112+'MOCST '!O61+GSO!O67</f>
        <v>496050</v>
      </c>
      <c r="P185" s="1209">
        <f>MOLISA!P112+'MOCST '!P61+GSO!P67</f>
        <v>611439</v>
      </c>
      <c r="Q185" s="1209">
        <f>MOLISA!Q112+'MOCST '!Q61+GSO!Q67</f>
        <v>42800.73</v>
      </c>
      <c r="R185" s="1210">
        <f>MOLISA!R112+'MOCST '!R61+GSO!R67</f>
        <v>654239.7300000001</v>
      </c>
      <c r="S185" s="1213">
        <f t="shared" si="57"/>
        <v>54177</v>
      </c>
      <c r="T185" s="1209">
        <f t="shared" si="58"/>
        <v>134578</v>
      </c>
      <c r="U185" s="1209">
        <f t="shared" si="59"/>
        <v>9420.46</v>
      </c>
      <c r="V185" s="1461">
        <f>MOLISA!V112+'MOCST '!V61+GSO!V67</f>
        <v>143998.46000000002</v>
      </c>
      <c r="W185" s="1211">
        <f>MOLISA!W112+'MOCST '!W61+GSO!W67</f>
        <v>556037</v>
      </c>
      <c r="X185" s="1209">
        <f>MOLISA!X112+'MOCST '!X61+GSO!X67</f>
        <v>370058.42000000004</v>
      </c>
      <c r="Y185" s="1209">
        <f>MOLISA!Y112+'MOCST '!Y61+GSO!Y67</f>
        <v>25904.089400000004</v>
      </c>
      <c r="Z185" s="1210">
        <f>MOLISA!Z112+'MOCST '!Z61+GSO!Z67</f>
        <v>395962.5094</v>
      </c>
      <c r="AA185" s="1213">
        <f>MOLISA!AA112+'MOCST '!AA61+GSO!AA67</f>
        <v>38650</v>
      </c>
      <c r="AB185" s="1209">
        <f>MOLISA!AB112+'MOCST '!AB61+GSO!AB67</f>
        <v>24057</v>
      </c>
      <c r="AC185" s="1209">
        <f>MOLISA!AC112+'MOCST '!AC61+GSO!AC67</f>
        <v>1683.9900000000002</v>
      </c>
      <c r="AD185" s="1210">
        <f>MOLISA!AD112+'MOCST '!AD61+GSO!AD67</f>
        <v>25740.99</v>
      </c>
      <c r="AE185" s="1211">
        <f>MOLISA!AE112+'MOCST '!AE61+GSO!AE67</f>
        <v>594687</v>
      </c>
      <c r="AF185" s="1209">
        <f>MOLISA!AF112+'MOCST '!AF61+GSO!AF67</f>
        <v>394115.42000000004</v>
      </c>
      <c r="AG185" s="1209">
        <f>MOLISA!AG112+'MOCST '!AG61+GSO!AG67</f>
        <v>27588.079400000006</v>
      </c>
      <c r="AH185" s="1210">
        <f>MOLISA!AH112+'MOCST '!AH61+GSO!AH67</f>
        <v>421703.4994000001</v>
      </c>
      <c r="AJ185" s="776"/>
      <c r="AK185" s="776"/>
      <c r="AN185" s="776"/>
      <c r="AO185" s="776"/>
    </row>
    <row r="186" spans="1:41" s="1235" customFormat="1" ht="33.75" customHeight="1" hidden="1" outlineLevel="2">
      <c r="A186" s="2071" t="s">
        <v>137</v>
      </c>
      <c r="B186" s="2072"/>
      <c r="C186" s="2072"/>
      <c r="D186" s="2072"/>
      <c r="E186" s="2072"/>
      <c r="F186" s="2073"/>
      <c r="G186" s="1451">
        <f>MOLISA!G113+'MOCST '!G62+GSO!G68</f>
        <v>591647</v>
      </c>
      <c r="H186" s="1387">
        <f>MOLISA!H113+'MOCST '!H62+GSO!H68</f>
        <v>531544</v>
      </c>
      <c r="I186" s="1387">
        <f>H186*7%-2</f>
        <v>37206.08</v>
      </c>
      <c r="J186" s="1388">
        <f>SUM(H186:I186)</f>
        <v>568750.08</v>
      </c>
      <c r="K186" s="1450">
        <f>MOLISA!K113+'MOCST '!K62+GSO!K68</f>
        <v>318785</v>
      </c>
      <c r="L186" s="1369">
        <f>MOLISA!L113+'MOCST '!L62+GSO!L68</f>
        <v>248324</v>
      </c>
      <c r="M186" s="1369">
        <f>MOLISA!M113+'MOCST '!M62+GSO!M68</f>
        <v>17382.68</v>
      </c>
      <c r="N186" s="1454">
        <f>MOLISA!N113+'MOCST '!N62+GSO!N68</f>
        <v>265706.68</v>
      </c>
      <c r="O186" s="1389">
        <f>MOLISA!O113+'MOCST '!O62+GSO!O68</f>
        <v>207358</v>
      </c>
      <c r="P186" s="1369">
        <f>MOLISA!P113+'MOCST '!P62+GSO!P68</f>
        <v>160550.83000000002</v>
      </c>
      <c r="Q186" s="1369">
        <f>MOLISA!Q113+'MOCST '!Q62+GSO!Q68</f>
        <v>8808.5581</v>
      </c>
      <c r="R186" s="1388">
        <f>MOLISA!R113+'MOCST '!R62+GSO!R68</f>
        <v>169359.38809999998</v>
      </c>
      <c r="S186" s="1450">
        <f t="shared" si="57"/>
        <v>111427</v>
      </c>
      <c r="T186" s="1369">
        <f t="shared" si="58"/>
        <v>87773.16999999998</v>
      </c>
      <c r="U186" s="1369">
        <f t="shared" si="59"/>
        <v>8574.1219</v>
      </c>
      <c r="V186" s="1454">
        <f>MOLISA!V113+'MOCST '!V62+GSO!V68</f>
        <v>96347.2919</v>
      </c>
      <c r="W186" s="1389">
        <f>MOLISA!W113+'MOCST '!W62+GSO!W68</f>
        <v>294696.66000000003</v>
      </c>
      <c r="X186" s="1369">
        <f>MOLISA!X113+'MOCST '!X62+GSO!X68</f>
        <v>191345</v>
      </c>
      <c r="Y186" s="1369">
        <f>MOLISA!Y113+'MOCST '!Y62+GSO!Y68</f>
        <v>13394.150000000001</v>
      </c>
      <c r="Z186" s="1388">
        <f>MOLISA!Z113+'MOCST '!Z62+GSO!Z68</f>
        <v>204739.15</v>
      </c>
      <c r="AA186" s="1450">
        <f>MOLISA!AA113+'MOCST '!AA62+GSO!AA68</f>
        <v>30379</v>
      </c>
      <c r="AB186" s="1369">
        <f>MOLISA!AB113+'MOCST '!AB62+GSO!AB68</f>
        <v>48388</v>
      </c>
      <c r="AC186" s="1369">
        <f>MOLISA!AC113+'MOCST '!AC62+GSO!AC68</f>
        <v>3387.1600000000003</v>
      </c>
      <c r="AD186" s="1388">
        <f>MOLISA!AD113+'MOCST '!AD62+GSO!AD68</f>
        <v>51775.159999999996</v>
      </c>
      <c r="AE186" s="1389">
        <f>MOLISA!AE113+'MOCST '!AE62+GSO!AE68</f>
        <v>325075.66000000003</v>
      </c>
      <c r="AF186" s="1369">
        <f>MOLISA!AF113+'MOCST '!AF62+GSO!AF68</f>
        <v>239733</v>
      </c>
      <c r="AG186" s="1369">
        <f>MOLISA!AG113+'MOCST '!AG62+GSO!AG68</f>
        <v>16781.31</v>
      </c>
      <c r="AH186" s="1388">
        <f>MOLISA!AH113+'MOCST '!AH62+GSO!AH68</f>
        <v>256514.31</v>
      </c>
      <c r="AI186" s="1457">
        <f>X206</f>
        <v>256512.3765</v>
      </c>
      <c r="AJ186" s="1241"/>
      <c r="AK186" s="1241"/>
      <c r="AN186" s="1241"/>
      <c r="AO186" s="1241"/>
    </row>
    <row r="187" spans="1:41" s="1235" customFormat="1" ht="54" customHeight="1" hidden="1" outlineLevel="2">
      <c r="A187" s="2071" t="s">
        <v>427</v>
      </c>
      <c r="B187" s="2072"/>
      <c r="C187" s="2072"/>
      <c r="D187" s="2072"/>
      <c r="E187" s="2072"/>
      <c r="F187" s="2073"/>
      <c r="G187" s="1451">
        <f>MOLISA!G114+'MOCST '!G63+GSO!G69</f>
        <v>2016732</v>
      </c>
      <c r="H187" s="1387">
        <f>MOLISA!H114+'MOCST '!H63+GSO!H69</f>
        <v>0</v>
      </c>
      <c r="I187" s="1387">
        <f>G187*7%+2</f>
        <v>141173.24000000002</v>
      </c>
      <c r="J187" s="1453">
        <f>SUM(G187:I187)</f>
        <v>2157905.24</v>
      </c>
      <c r="K187" s="1450">
        <f>MOLISA!K114+'MOCST '!K63+GSO!K69</f>
        <v>869012</v>
      </c>
      <c r="L187" s="1369">
        <f>MOLISA!L114+'MOCST '!L63+GSO!L69</f>
        <v>0</v>
      </c>
      <c r="M187" s="1369">
        <f>MOLISA!M114+'MOCST '!M63+GSO!M69</f>
        <v>60830.840000000004</v>
      </c>
      <c r="N187" s="1454">
        <f>MOLISA!N114+'MOCST '!N63+GSO!N69</f>
        <v>929842.84</v>
      </c>
      <c r="O187" s="1389">
        <f>MOLISA!O114+'MOCST '!O63+GSO!O69</f>
        <v>703408</v>
      </c>
      <c r="P187" s="1369">
        <f>MOLISA!P114+'MOCST '!P63+GSO!P69</f>
        <v>0</v>
      </c>
      <c r="Q187" s="1369">
        <f>MOLISA!Q114+'MOCST '!Q63+GSO!Q69</f>
        <v>49238.56</v>
      </c>
      <c r="R187" s="1388">
        <f>MOLISA!R114+'MOCST '!R63+GSO!R69</f>
        <v>752646.56</v>
      </c>
      <c r="S187" s="1450">
        <f t="shared" si="57"/>
        <v>165604</v>
      </c>
      <c r="T187" s="1369">
        <f t="shared" si="58"/>
        <v>0</v>
      </c>
      <c r="U187" s="1369">
        <f t="shared" si="59"/>
        <v>11592.280000000006</v>
      </c>
      <c r="V187" s="1454">
        <f>MOLISA!V114+'MOCST '!V63+GSO!V69</f>
        <v>177196.28</v>
      </c>
      <c r="W187" s="1389">
        <f>MOLISA!W114+'MOCST '!W63+GSO!W69</f>
        <v>850733.66</v>
      </c>
      <c r="X187" s="1369">
        <f>MOLISA!X114+'MOCST '!X63+GSO!X69</f>
        <v>0</v>
      </c>
      <c r="Y187" s="1369">
        <f>MOLISA!Y114+'MOCST '!Y63+GSO!Y69</f>
        <v>59551.35620000001</v>
      </c>
      <c r="Z187" s="1388">
        <f>MOLISA!Z114+'MOCST '!Z63+GSO!Z69</f>
        <v>910285.0162000001</v>
      </c>
      <c r="AA187" s="1450">
        <f>MOLISA!AA114+'MOCST '!AA63+GSO!AA69</f>
        <v>69029</v>
      </c>
      <c r="AB187" s="1369">
        <f>MOLISA!AB114+'MOCST '!AB63+GSO!AB69</f>
        <v>0</v>
      </c>
      <c r="AC187" s="1369">
        <f>MOLISA!AC114+'MOCST '!AC63+GSO!AC69</f>
        <v>4832.030000000001</v>
      </c>
      <c r="AD187" s="1388">
        <f>MOLISA!AD114+'MOCST '!AD63+GSO!AD69</f>
        <v>73861.03</v>
      </c>
      <c r="AE187" s="1389">
        <f>MOLISA!AE114+'MOCST '!AE63+GSO!AE69</f>
        <v>919762.66</v>
      </c>
      <c r="AF187" s="1369">
        <f>MOLISA!AF114+'MOCST '!AF63+GSO!AF69</f>
        <v>0</v>
      </c>
      <c r="AG187" s="1369">
        <f>MOLISA!AG114+'MOCST '!AG63+GSO!AG69</f>
        <v>64383.38620000001</v>
      </c>
      <c r="AH187" s="1388">
        <f>MOLISA!AH114+'MOCST '!AH63+GSO!AH69</f>
        <v>984146.0462</v>
      </c>
      <c r="AI187" s="1457">
        <f>P206</f>
        <v>984149.7</v>
      </c>
      <c r="AJ187" s="1241"/>
      <c r="AK187" s="1244"/>
      <c r="AN187" s="1241"/>
      <c r="AO187" s="1244"/>
    </row>
    <row r="188" spans="1:41" s="1146" customFormat="1" ht="44.25" customHeight="1" hidden="1" outlineLevel="2">
      <c r="A188" s="2074" t="s">
        <v>362</v>
      </c>
      <c r="B188" s="2075"/>
      <c r="C188" s="2075"/>
      <c r="D188" s="2075"/>
      <c r="E188" s="2075"/>
      <c r="F188" s="2076"/>
      <c r="G188" s="1459">
        <f>MOLISA!G115+'MOCST '!G64+GSO!G70</f>
        <v>2016732</v>
      </c>
      <c r="H188" s="1181">
        <f>MOLISA!H115+'MOCST '!H64+GSO!H70</f>
        <v>531544</v>
      </c>
      <c r="I188" s="1181">
        <f>MOLISA!I115+'MOCST '!I64+GSO!I70</f>
        <v>178379.97999999998</v>
      </c>
      <c r="J188" s="1216">
        <f>SUM(J186:J187)</f>
        <v>2726655.3200000003</v>
      </c>
      <c r="K188" s="1213">
        <f>MOLISA!K115+'MOCST '!K64+GSO!K70</f>
        <v>869012</v>
      </c>
      <c r="L188" s="1209">
        <f>MOLISA!L115+'MOCST '!L64+GSO!L70</f>
        <v>248324</v>
      </c>
      <c r="M188" s="1209">
        <f>MOLISA!M115+'MOCST '!M64+GSO!M70</f>
        <v>78213.52</v>
      </c>
      <c r="N188" s="1461">
        <f>MOLISA!N115+'MOCST '!N64+GSO!N70</f>
        <v>1195549.52</v>
      </c>
      <c r="O188" s="1211">
        <f>MOLISA!O115+'MOCST '!O64+GSO!O70</f>
        <v>703408</v>
      </c>
      <c r="P188" s="1209">
        <f>MOLISA!P115+'MOCST '!P64+GSO!P70</f>
        <v>160550.83000000002</v>
      </c>
      <c r="Q188" s="1209">
        <f>MOLISA!Q115+'MOCST '!Q64+GSO!Q70</f>
        <v>58047.11810000001</v>
      </c>
      <c r="R188" s="1210">
        <f>MOLISA!R115+'MOCST '!R64+GSO!R70</f>
        <v>922005.9481</v>
      </c>
      <c r="S188" s="1213">
        <f t="shared" si="57"/>
        <v>165604</v>
      </c>
      <c r="T188" s="1209">
        <f t="shared" si="58"/>
        <v>87773.16999999998</v>
      </c>
      <c r="U188" s="1209">
        <f t="shared" si="59"/>
        <v>20166.401899999997</v>
      </c>
      <c r="V188" s="1461">
        <f>MOLISA!V115+'MOCST '!V64+GSO!V70</f>
        <v>273543.5719</v>
      </c>
      <c r="W188" s="1211">
        <f>MOLISA!W115+'MOCST '!W64+GSO!W70</f>
        <v>850733.66</v>
      </c>
      <c r="X188" s="1209">
        <f>MOLISA!X115+'MOCST '!X64+GSO!X70</f>
        <v>191345</v>
      </c>
      <c r="Y188" s="1209">
        <f>MOLISA!Y115+'MOCST '!Y64+GSO!Y70</f>
        <v>72945.5062</v>
      </c>
      <c r="Z188" s="1210">
        <f>MOLISA!Z115+'MOCST '!Z64+GSO!Z70</f>
        <v>1115024.1661999999</v>
      </c>
      <c r="AA188" s="1213">
        <f>MOLISA!AA115+'MOCST '!AA64+GSO!AA70</f>
        <v>69029</v>
      </c>
      <c r="AB188" s="1209">
        <f>MOLISA!AB115+'MOCST '!AB64+GSO!AB70</f>
        <v>48388</v>
      </c>
      <c r="AC188" s="1209">
        <f>MOLISA!AC115+'MOCST '!AC64+GSO!AC70</f>
        <v>8219.19</v>
      </c>
      <c r="AD188" s="1210">
        <f>MOLISA!AD115+'MOCST '!AD64+GSO!AD70</f>
        <v>125636.19</v>
      </c>
      <c r="AE188" s="1211">
        <f>MOLISA!AE115+'MOCST '!AE64+GSO!AE70</f>
        <v>919762.66</v>
      </c>
      <c r="AF188" s="1209">
        <f>MOLISA!AF115+'MOCST '!AF64+GSO!AF70</f>
        <v>239733</v>
      </c>
      <c r="AG188" s="1209">
        <f>MOLISA!AG115+'MOCST '!AG64+GSO!AG70</f>
        <v>81164.6962</v>
      </c>
      <c r="AH188" s="1210">
        <f>MOLISA!AH115+'MOCST '!AH64+GSO!AH70</f>
        <v>1240660.3562</v>
      </c>
      <c r="AI188" s="1217">
        <f>Y206</f>
        <v>1240662.0765</v>
      </c>
      <c r="AN188" s="776"/>
      <c r="AO188" s="776"/>
    </row>
    <row r="189" spans="1:41" s="1146" customFormat="1" ht="48.75" customHeight="1" hidden="1" outlineLevel="2" thickBot="1">
      <c r="A189" s="2077" t="s">
        <v>146</v>
      </c>
      <c r="B189" s="2078"/>
      <c r="C189" s="2078"/>
      <c r="D189" s="2078"/>
      <c r="E189" s="2078"/>
      <c r="F189" s="2079"/>
      <c r="G189" s="1479">
        <f>MOLISA!G116+'MOCST '!G65+GSO!G71</f>
        <v>2016732</v>
      </c>
      <c r="H189" s="1480">
        <f>MOLISA!H116+'MOCST '!H65+GSO!H71</f>
        <v>2170184</v>
      </c>
      <c r="I189" s="1480">
        <f>MOLISA!I116+'MOCST '!I65+GSO!I71</f>
        <v>293084.78</v>
      </c>
      <c r="J189" s="1481">
        <f>J188+J185</f>
        <v>4480000.12</v>
      </c>
      <c r="K189" s="1482">
        <f>MOLISA!K116+'MOCST '!K65+GSO!K71</f>
        <v>869012</v>
      </c>
      <c r="L189" s="1483">
        <f>MOLISA!L116+'MOCST '!L65+GSO!L71</f>
        <v>994341</v>
      </c>
      <c r="M189" s="1483">
        <f>MOLISA!M116+'MOCST '!M65+GSO!M71</f>
        <v>130434.71</v>
      </c>
      <c r="N189" s="1484">
        <f>MOLISA!N116+'MOCST '!N65+GSO!N71</f>
        <v>1993787.71</v>
      </c>
      <c r="O189" s="1485">
        <f>MOLISA!O116+'MOCST '!O65+GSO!O71</f>
        <v>703408</v>
      </c>
      <c r="P189" s="1483">
        <f>MOLISA!P116+'MOCST '!P65+GSO!P71</f>
        <v>771989.83</v>
      </c>
      <c r="Q189" s="1483">
        <f>MOLISA!Q116+'MOCST '!Q65+GSO!Q71</f>
        <v>100847.8481</v>
      </c>
      <c r="R189" s="1481">
        <f>MOLISA!R116+'MOCST '!R65+GSO!R71</f>
        <v>1576245.6781</v>
      </c>
      <c r="S189" s="1486">
        <f t="shared" si="57"/>
        <v>165604</v>
      </c>
      <c r="T189" s="1487">
        <f t="shared" si="58"/>
        <v>222351.17000000004</v>
      </c>
      <c r="U189" s="1487">
        <f t="shared" si="59"/>
        <v>29586.861900000004</v>
      </c>
      <c r="V189" s="1488">
        <f>MOLISA!V116+'MOCST '!V65+GSO!V71</f>
        <v>417542.03190000006</v>
      </c>
      <c r="W189" s="1485">
        <f>MOLISA!W116+'MOCST '!W65+GSO!W71</f>
        <v>850733.66</v>
      </c>
      <c r="X189" s="1483">
        <f>MOLISA!X116+'MOCST '!X65+GSO!X71</f>
        <v>561403.42</v>
      </c>
      <c r="Y189" s="1483">
        <f>MOLISA!Y116+'MOCST '!Y65+GSO!Y71</f>
        <v>98849.59560000003</v>
      </c>
      <c r="Z189" s="1481">
        <f>MOLISA!Z116+'MOCST '!Z65+GSO!Z71</f>
        <v>1510986.6756</v>
      </c>
      <c r="AA189" s="1482">
        <f>MOLISA!AA116+'MOCST '!AA65+GSO!AA71</f>
        <v>69029</v>
      </c>
      <c r="AB189" s="1483">
        <f>MOLISA!AB116+'MOCST '!AB65+GSO!AB71</f>
        <v>72445</v>
      </c>
      <c r="AC189" s="1483">
        <f>MOLISA!AC116+'MOCST '!AC65+GSO!AC71</f>
        <v>9903.18</v>
      </c>
      <c r="AD189" s="1481">
        <f>MOLISA!AD116+'MOCST '!AD65+GSO!AD71</f>
        <v>151377.18</v>
      </c>
      <c r="AE189" s="1485">
        <f>MOLISA!AE116+'MOCST '!AE65+GSO!AE71</f>
        <v>919762.66</v>
      </c>
      <c r="AF189" s="1483">
        <f>MOLISA!AF116+'MOCST '!AF65+GSO!AF71</f>
        <v>633848.42</v>
      </c>
      <c r="AG189" s="1483">
        <f>MOLISA!AG116+'MOCST '!AG65+GSO!AG71</f>
        <v>108752.77560000002</v>
      </c>
      <c r="AH189" s="1481">
        <f>MOLISA!AH116+'MOCST '!AH65+GSO!AH71</f>
        <v>1662363.8556000001</v>
      </c>
      <c r="AN189" s="1121"/>
      <c r="AO189" s="776"/>
    </row>
    <row r="190" spans="2:34" s="1227" customFormat="1" ht="41.25" customHeight="1" hidden="1" outlineLevel="2" thickTop="1">
      <c r="B190" s="1375"/>
      <c r="C190" s="1371"/>
      <c r="D190" s="1371"/>
      <c r="E190" s="1371"/>
      <c r="F190" s="1371"/>
      <c r="G190" s="1371"/>
      <c r="H190" s="1370"/>
      <c r="I190" s="1372"/>
      <c r="J190" s="1370"/>
      <c r="K190" s="1373"/>
      <c r="L190" s="788"/>
      <c r="M190" s="788"/>
      <c r="N190" s="788"/>
      <c r="O190" s="788"/>
      <c r="P190" s="788"/>
      <c r="Q190" s="788"/>
      <c r="R190" s="1390"/>
      <c r="S190" s="788"/>
      <c r="T190" s="788"/>
      <c r="U190" s="788"/>
      <c r="V190" s="788"/>
      <c r="W190" s="788"/>
      <c r="X190" s="788"/>
      <c r="Y190" s="788"/>
      <c r="Z190" s="788"/>
      <c r="AA190" s="788"/>
      <c r="AB190" s="788"/>
      <c r="AC190" s="788"/>
      <c r="AD190" s="788"/>
      <c r="AE190" s="788"/>
      <c r="AF190" s="788"/>
      <c r="AG190" s="788"/>
      <c r="AH190" s="788"/>
    </row>
    <row r="191" spans="1:21" ht="15" customHeight="1" hidden="1" outlineLevel="1" collapsed="1">
      <c r="A191" s="1233"/>
      <c r="B191" s="1233"/>
      <c r="C191" s="1391"/>
      <c r="D191" s="1391"/>
      <c r="E191" s="1391"/>
      <c r="F191" s="1391"/>
      <c r="G191" s="1234" t="s">
        <v>325</v>
      </c>
      <c r="H191" s="1234"/>
      <c r="I191" s="1234"/>
      <c r="J191" s="1234"/>
      <c r="K191" s="1234"/>
      <c r="L191" s="1234"/>
      <c r="M191" s="1393"/>
      <c r="N191" s="1234"/>
      <c r="O191" s="1234"/>
      <c r="P191" s="1234"/>
      <c r="Q191" s="1234"/>
      <c r="R191" s="1234" t="s">
        <v>132</v>
      </c>
      <c r="S191" s="1234"/>
      <c r="T191" s="1234"/>
      <c r="U191" s="1234"/>
    </row>
    <row r="192" spans="3:43" s="1394" customFormat="1" ht="69" customHeight="1" hidden="1" outlineLevel="1">
      <c r="C192" s="1395"/>
      <c r="D192" s="1395"/>
      <c r="E192" s="1395"/>
      <c r="F192" s="1395"/>
      <c r="G192" s="1415" t="s">
        <v>485</v>
      </c>
      <c r="H192" s="1416" t="s">
        <v>106</v>
      </c>
      <c r="I192" s="1416" t="s">
        <v>107</v>
      </c>
      <c r="J192" s="1416" t="s">
        <v>116</v>
      </c>
      <c r="K192" s="1416" t="s">
        <v>124</v>
      </c>
      <c r="L192" s="1416" t="s">
        <v>111</v>
      </c>
      <c r="M192" s="1416" t="s">
        <v>110</v>
      </c>
      <c r="N192" s="1416" t="s">
        <v>108</v>
      </c>
      <c r="O192" s="1416" t="s">
        <v>109</v>
      </c>
      <c r="P192" s="1415" t="s">
        <v>118</v>
      </c>
      <c r="Q192" s="1396"/>
      <c r="R192" s="1415" t="s">
        <v>485</v>
      </c>
      <c r="S192" s="1415" t="s">
        <v>106</v>
      </c>
      <c r="T192" s="1415" t="s">
        <v>107</v>
      </c>
      <c r="U192" s="1415" t="s">
        <v>116</v>
      </c>
      <c r="V192" s="1415" t="s">
        <v>108</v>
      </c>
      <c r="W192" s="1415" t="s">
        <v>109</v>
      </c>
      <c r="X192" s="1415" t="s">
        <v>118</v>
      </c>
      <c r="Y192" s="1415" t="s">
        <v>484</v>
      </c>
      <c r="AE192" s="1396"/>
      <c r="AF192" s="1396"/>
      <c r="AG192" s="1396"/>
      <c r="AH192" s="1396"/>
      <c r="AI192" s="1396"/>
      <c r="AJ192" s="1396"/>
      <c r="AK192" s="1396"/>
      <c r="AL192" s="1396"/>
      <c r="AM192" s="1396"/>
      <c r="AN192" s="1396"/>
      <c r="AO192" s="1396"/>
      <c r="AP192" s="1396"/>
      <c r="AQ192" s="1396"/>
    </row>
    <row r="193" spans="3:43" s="1397" customFormat="1" ht="30" customHeight="1" hidden="1" outlineLevel="1">
      <c r="C193" s="1395"/>
      <c r="D193" s="1395"/>
      <c r="E193" s="1395"/>
      <c r="F193" s="1395"/>
      <c r="G193" s="1415"/>
      <c r="H193" s="1705" t="s">
        <v>112</v>
      </c>
      <c r="I193" s="1705" t="s">
        <v>113</v>
      </c>
      <c r="J193" s="1705" t="s">
        <v>114</v>
      </c>
      <c r="K193" s="1705" t="s">
        <v>115</v>
      </c>
      <c r="L193" s="1705" t="s">
        <v>117</v>
      </c>
      <c r="M193" s="1705" t="s">
        <v>125</v>
      </c>
      <c r="N193" s="1705" t="s">
        <v>126</v>
      </c>
      <c r="O193" s="1705" t="s">
        <v>127</v>
      </c>
      <c r="P193" s="1706" t="s">
        <v>128</v>
      </c>
      <c r="Q193" s="1398"/>
      <c r="R193" s="1415"/>
      <c r="S193" s="1415" t="s">
        <v>112</v>
      </c>
      <c r="T193" s="1415" t="s">
        <v>113</v>
      </c>
      <c r="U193" s="1415" t="s">
        <v>114</v>
      </c>
      <c r="V193" s="1415" t="s">
        <v>115</v>
      </c>
      <c r="W193" s="1415" t="s">
        <v>129</v>
      </c>
      <c r="X193" s="1415" t="s">
        <v>130</v>
      </c>
      <c r="Y193" s="1415"/>
      <c r="AE193" s="1398"/>
      <c r="AF193" s="1398"/>
      <c r="AG193" s="1398"/>
      <c r="AH193" s="1398"/>
      <c r="AI193" s="1398"/>
      <c r="AJ193" s="1398"/>
      <c r="AK193" s="1398"/>
      <c r="AL193" s="1398"/>
      <c r="AM193" s="1398"/>
      <c r="AN193" s="1398"/>
      <c r="AO193" s="1398"/>
      <c r="AP193" s="1398"/>
      <c r="AQ193" s="1398"/>
    </row>
    <row r="194" spans="7:45" ht="34.5" customHeight="1" hidden="1" outlineLevel="1">
      <c r="G194" s="1399" t="s">
        <v>358</v>
      </c>
      <c r="H194" s="1400">
        <f>SUM('[1]MOLISA'!L136+'[1]MOCST '!I89+'[1]GSO'!L101)</f>
        <v>28500</v>
      </c>
      <c r="I194" s="1400">
        <f>SUM('[1]MOLISA'!M136+'[1]MOCST '!J89+'[1]GSO'!M101)</f>
        <v>9717.65</v>
      </c>
      <c r="J194" s="1400">
        <f>SUM('[1]MOLISA'!N136+'[1]MOCST '!K89+'[1]GSO'!N101)</f>
        <v>5500</v>
      </c>
      <c r="K194" s="1400">
        <f>SUM('[1]MOLISA'!O136+'[1]MOCST '!L89+'[1]GSO'!O101)</f>
        <v>4517.83</v>
      </c>
      <c r="L194" s="1400">
        <f>MOLISA!K121+'MOCST '!O71+GSO!L76</f>
        <v>8463</v>
      </c>
      <c r="M194" s="1400">
        <f>MOLISA!L121+'MOCST '!P71+GSO!M76</f>
        <v>3945.17</v>
      </c>
      <c r="N194" s="1400">
        <f>SUM(K194+M194)</f>
        <v>8463</v>
      </c>
      <c r="O194" s="1400">
        <f aca="true" t="shared" si="60" ref="O194:O205">SUM(J194-N194)</f>
        <v>-2963</v>
      </c>
      <c r="P194" s="1707">
        <f aca="true" t="shared" si="61" ref="P194:P205">SUM(H194-I194-N194)</f>
        <v>10319.349999999999</v>
      </c>
      <c r="R194" s="1290" t="s">
        <v>358</v>
      </c>
      <c r="S194" s="1328">
        <f>SUM(MOLISA!R121+'MOCST '!V71+GSO!S76)</f>
        <v>6000</v>
      </c>
      <c r="T194" s="1328">
        <f>SUM('[1]MOLISA'!X136+'[1]MOCST '!U89+'[1]GSO'!X101)</f>
        <v>2559</v>
      </c>
      <c r="U194" s="1328">
        <f>SUM('[1]MOLISA'!Y136+'[1]MOCST '!V89+'[1]GSO'!Y101)</f>
        <v>2200</v>
      </c>
      <c r="V194" s="1328">
        <f>SUM(MOLISA!U121+'MOCST '!Y71+GSO!V76)</f>
        <v>2006.17</v>
      </c>
      <c r="W194" s="1328">
        <f>SUM(U194-V194)</f>
        <v>193.82999999999993</v>
      </c>
      <c r="X194" s="1709">
        <f>SUM(S194-T194-V194)</f>
        <v>1434.83</v>
      </c>
      <c r="Y194" s="1711">
        <f aca="true" t="shared" si="62" ref="Y194:Y205">SUM(P194+X194)</f>
        <v>11754.179999999998</v>
      </c>
      <c r="AE194" s="1233"/>
      <c r="AF194" s="1233"/>
      <c r="AG194" s="1233"/>
      <c r="AH194" s="1233"/>
      <c r="AR194" s="1245"/>
      <c r="AS194" s="1245"/>
    </row>
    <row r="195" spans="7:45" ht="34.5" customHeight="1" hidden="1" outlineLevel="1">
      <c r="G195" s="1399" t="s">
        <v>357</v>
      </c>
      <c r="H195" s="1400">
        <f>SUM('[1]MOLISA'!L137+'[1]MOCST '!I90+'[1]GSO'!L102)</f>
        <v>261204</v>
      </c>
      <c r="I195" s="1400">
        <f>SUM('[1]MOLISA'!M137+'[1]MOCST '!J90+'[1]GSO'!M102)</f>
        <v>23410.309999999998</v>
      </c>
      <c r="J195" s="1400">
        <f>SUM('[1]MOLISA'!N137+'[1]MOCST '!K90+'[1]GSO'!N102)</f>
        <v>88488</v>
      </c>
      <c r="K195" s="1400">
        <f>SUM('[1]MOLISA'!O137+'[1]MOCST '!L90+'[1]GSO'!O102)</f>
        <v>54821.26999999999</v>
      </c>
      <c r="L195" s="1400">
        <f>MOLISA!K122+'MOCST '!O72+GSO!L77</f>
        <v>65169</v>
      </c>
      <c r="M195" s="1400">
        <f>MOLISA!L122+'MOCST '!P72+GSO!M77</f>
        <v>10347.730000000003</v>
      </c>
      <c r="N195" s="1400">
        <f aca="true" t="shared" si="63" ref="N195:N205">SUM(K195+M195)</f>
        <v>65168.99999999999</v>
      </c>
      <c r="O195" s="1400">
        <f t="shared" si="60"/>
        <v>23319.000000000007</v>
      </c>
      <c r="P195" s="1707">
        <f t="shared" si="61"/>
        <v>172624.69</v>
      </c>
      <c r="R195" s="1290" t="s">
        <v>357</v>
      </c>
      <c r="S195" s="1328">
        <f>SUM(MOLISA!R122+'MOCST '!V72+GSO!S77)</f>
        <v>269572</v>
      </c>
      <c r="T195" s="1328">
        <f>SUM('[1]MOLISA'!X137+'[1]MOCST '!U90+'[1]GSO'!X102)</f>
        <v>104511</v>
      </c>
      <c r="U195" s="1328">
        <f>SUM('[1]MOLISA'!Y137+'[1]MOCST '!V90+'[1]GSO'!Y102)</f>
        <v>166200</v>
      </c>
      <c r="V195" s="1328">
        <f>SUM(MOLISA!U122+'MOCST '!Y72+GSO!V77)</f>
        <v>124835.51</v>
      </c>
      <c r="W195" s="1328">
        <f aca="true" t="shared" si="64" ref="W195:W205">SUM(U195-V195)</f>
        <v>41364.490000000005</v>
      </c>
      <c r="X195" s="1709">
        <f aca="true" t="shared" si="65" ref="X195:X205">SUM(S195-T195-V195)</f>
        <v>40225.490000000005</v>
      </c>
      <c r="Y195" s="1711">
        <f t="shared" si="62"/>
        <v>212850.18</v>
      </c>
      <c r="AE195" s="1233"/>
      <c r="AF195" s="1233"/>
      <c r="AG195" s="1233"/>
      <c r="AH195" s="1233"/>
      <c r="AR195" s="1245"/>
      <c r="AS195" s="1245"/>
    </row>
    <row r="196" spans="7:45" ht="34.5" customHeight="1" hidden="1" outlineLevel="1">
      <c r="G196" s="1399" t="s">
        <v>423</v>
      </c>
      <c r="H196" s="1400">
        <f>SUM('[1]MOLISA'!L138+'[1]MOCST '!I91+'[1]GSO'!L103)</f>
        <v>0</v>
      </c>
      <c r="I196" s="1400">
        <f>SUM('[1]MOLISA'!M138+'[1]MOCST '!J91+'[1]GSO'!M103)</f>
        <v>0</v>
      </c>
      <c r="J196" s="1400">
        <f>SUM('[1]MOLISA'!N138+'[1]MOCST '!K91+'[1]GSO'!N103)</f>
        <v>0</v>
      </c>
      <c r="K196" s="1400">
        <f>SUM('[1]MOLISA'!O138+'[1]MOCST '!L91+'[1]GSO'!O103)</f>
        <v>0</v>
      </c>
      <c r="L196" s="1400">
        <f>MOLISA!K123+'MOCST '!O73+GSO!L78</f>
        <v>0</v>
      </c>
      <c r="M196" s="1400">
        <f>MOLISA!L123+'MOCST '!P73+GSO!M78</f>
        <v>0</v>
      </c>
      <c r="N196" s="1400">
        <f t="shared" si="63"/>
        <v>0</v>
      </c>
      <c r="O196" s="1400">
        <f t="shared" si="60"/>
        <v>0</v>
      </c>
      <c r="P196" s="1707">
        <f t="shared" si="61"/>
        <v>0</v>
      </c>
      <c r="R196" s="1290" t="s">
        <v>423</v>
      </c>
      <c r="S196" s="1328">
        <f>SUM(MOLISA!R123+'MOCST '!V73+GSO!S78)</f>
        <v>13000</v>
      </c>
      <c r="T196" s="1328">
        <f>SUM('[1]MOLISA'!X138+'[1]MOCST '!U91+'[1]GSO'!X103)</f>
        <v>0</v>
      </c>
      <c r="U196" s="1328">
        <f>SUM('[1]MOLISA'!Y138+'[1]MOCST '!V91+'[1]GSO'!Y103)</f>
        <v>2000</v>
      </c>
      <c r="V196" s="1328">
        <f>SUM(MOLISA!U123+'MOCST '!Y73+GSO!V78)</f>
        <v>7189.32</v>
      </c>
      <c r="W196" s="1328">
        <f t="shared" si="64"/>
        <v>-5189.32</v>
      </c>
      <c r="X196" s="1709">
        <f t="shared" si="65"/>
        <v>5810.68</v>
      </c>
      <c r="Y196" s="1711">
        <f t="shared" si="62"/>
        <v>5810.68</v>
      </c>
      <c r="AE196" s="1233"/>
      <c r="AF196" s="1233"/>
      <c r="AG196" s="1233"/>
      <c r="AH196" s="1233"/>
      <c r="AR196" s="1245"/>
      <c r="AS196" s="1245"/>
    </row>
    <row r="197" spans="7:45" ht="34.5" customHeight="1" hidden="1" outlineLevel="1">
      <c r="G197" s="1399" t="s">
        <v>334</v>
      </c>
      <c r="H197" s="1400">
        <f>SUM('[1]MOLISA'!L139+'[1]MOCST '!I92+'[1]GSO'!L104)</f>
        <v>457153</v>
      </c>
      <c r="I197" s="1400">
        <f>SUM('[1]MOLISA'!M139+'[1]MOCST '!J92+'[1]GSO'!M104)</f>
        <v>59961.56</v>
      </c>
      <c r="J197" s="1400">
        <f>SUM('[1]MOLISA'!N139+'[1]MOCST '!K92+'[1]GSO'!N104)</f>
        <v>210212</v>
      </c>
      <c r="K197" s="1400">
        <f>SUM('[1]MOLISA'!O139+'[1]MOCST '!L92+'[1]GSO'!O104)</f>
        <v>67156.05</v>
      </c>
      <c r="L197" s="1400">
        <f>MOLISA!K124+'MOCST '!O74+GSO!L79</f>
        <v>97400</v>
      </c>
      <c r="M197" s="1400">
        <f>MOLISA!L124+'MOCST '!P74+GSO!M79</f>
        <v>30243.949999999997</v>
      </c>
      <c r="N197" s="1400">
        <f t="shared" si="63"/>
        <v>97400</v>
      </c>
      <c r="O197" s="1400">
        <f t="shared" si="60"/>
        <v>112812</v>
      </c>
      <c r="P197" s="1707">
        <f t="shared" si="61"/>
        <v>299791.44</v>
      </c>
      <c r="R197" s="1290" t="s">
        <v>334</v>
      </c>
      <c r="S197" s="1328">
        <f>SUM(MOLISA!R124+'MOCST '!V74+GSO!S79)</f>
        <v>16357</v>
      </c>
      <c r="T197" s="1328">
        <f>SUM('[1]MOLISA'!X139+'[1]MOCST '!U92+'[1]GSO'!X104)</f>
        <v>14</v>
      </c>
      <c r="U197" s="1328">
        <f>SUM('[1]MOLISA'!Y139+'[1]MOCST '!V92+'[1]GSO'!Y104)</f>
        <v>11816</v>
      </c>
      <c r="V197" s="1328">
        <f>SUM(MOLISA!U124+'MOCST '!Y74+GSO!V79)</f>
        <v>0</v>
      </c>
      <c r="W197" s="1328">
        <f t="shared" si="64"/>
        <v>11816</v>
      </c>
      <c r="X197" s="1709">
        <f t="shared" si="65"/>
        <v>16343</v>
      </c>
      <c r="Y197" s="1711">
        <f t="shared" si="62"/>
        <v>316134.44</v>
      </c>
      <c r="AE197" s="1233"/>
      <c r="AF197" s="1233"/>
      <c r="AG197" s="1233"/>
      <c r="AH197" s="1233"/>
      <c r="AR197" s="1245"/>
      <c r="AS197" s="1245"/>
    </row>
    <row r="198" spans="7:45" ht="34.5" customHeight="1" hidden="1" outlineLevel="1">
      <c r="G198" s="1399" t="s">
        <v>120</v>
      </c>
      <c r="H198" s="1400">
        <f>SUM('[1]MOLISA'!L140+'[1]MOCST '!I93+'[1]GSO'!L105)</f>
        <v>65939</v>
      </c>
      <c r="I198" s="1400">
        <f>MOLISA!H125+'MOCST '!L75+GSO!I80</f>
        <v>8679.08</v>
      </c>
      <c r="J198" s="1400">
        <f>SUM('[1]MOLISA'!N140+'[1]MOCST '!K93+'[1]GSO'!N105)</f>
        <v>55888</v>
      </c>
      <c r="K198" s="1400">
        <f>SUM('[1]MOLISA'!O140+'[1]MOCST '!L93+'[1]GSO'!O105)</f>
        <v>25185.06</v>
      </c>
      <c r="L198" s="1400">
        <f>MOLISA!K125+'MOCST '!O75+GSO!L80</f>
        <v>44529</v>
      </c>
      <c r="M198" s="1400">
        <f>MOLISA!L125+'MOCST '!P75+GSO!M80</f>
        <v>19343.94</v>
      </c>
      <c r="N198" s="1400">
        <f t="shared" si="63"/>
        <v>44529</v>
      </c>
      <c r="O198" s="1400">
        <f t="shared" si="60"/>
        <v>11359</v>
      </c>
      <c r="P198" s="1707">
        <f t="shared" si="61"/>
        <v>12730.919999999998</v>
      </c>
      <c r="R198" s="1290" t="s">
        <v>120</v>
      </c>
      <c r="S198" s="1328">
        <f>SUM(MOLISA!R125+'MOCST '!V75+GSO!S80)</f>
        <v>8259</v>
      </c>
      <c r="T198" s="1328">
        <f>SUM('[1]MOLISA'!X140+'[1]MOCST '!U93+'[1]GSO'!X105)</f>
        <v>5909</v>
      </c>
      <c r="U198" s="1328">
        <f>SUM('[1]MOLISA'!Y140+'[1]MOCST '!V93+'[1]GSO'!Y105)</f>
        <v>2000</v>
      </c>
      <c r="V198" s="1328">
        <f>SUM(MOLISA!U125+'MOCST '!Y75+GSO!V80)</f>
        <v>0</v>
      </c>
      <c r="W198" s="1328">
        <f t="shared" si="64"/>
        <v>2000</v>
      </c>
      <c r="X198" s="1709">
        <f t="shared" si="65"/>
        <v>2350</v>
      </c>
      <c r="Y198" s="1711">
        <f t="shared" si="62"/>
        <v>15080.919999999998</v>
      </c>
      <c r="AE198" s="1233"/>
      <c r="AF198" s="1233"/>
      <c r="AG198" s="1233"/>
      <c r="AH198" s="1233"/>
      <c r="AR198" s="1245"/>
      <c r="AS198" s="1245"/>
    </row>
    <row r="199" spans="7:45" ht="34.5" customHeight="1" hidden="1" outlineLevel="1">
      <c r="G199" s="1399" t="s">
        <v>413</v>
      </c>
      <c r="H199" s="1400">
        <f>SUM('[1]MOLISA'!L141+'[1]MOCST '!I94+'[1]GSO'!L106)</f>
        <v>103400</v>
      </c>
      <c r="I199" s="1400">
        <f>SUM('[1]MOLISA'!M141+'[1]MOCST '!J94+'[1]GSO'!M106)</f>
        <v>12775.29</v>
      </c>
      <c r="J199" s="1400">
        <f>SUM('[1]MOLISA'!N141+'[1]MOCST '!K94+'[1]GSO'!N106)</f>
        <v>5459</v>
      </c>
      <c r="K199" s="1400">
        <f>SUM('[1]MOLISA'!O141+'[1]MOCST '!L94+'[1]GSO'!O106)</f>
        <v>3715.39</v>
      </c>
      <c r="L199" s="1400">
        <f>MOLISA!K126+'MOCST '!O76+GSO!L81</f>
        <v>4584</v>
      </c>
      <c r="M199" s="1400">
        <f>MOLISA!L126+'MOCST '!P76+GSO!M81</f>
        <v>868.6100000000001</v>
      </c>
      <c r="N199" s="1400">
        <f t="shared" si="63"/>
        <v>4584</v>
      </c>
      <c r="O199" s="1400">
        <f t="shared" si="60"/>
        <v>875</v>
      </c>
      <c r="P199" s="1707">
        <f t="shared" si="61"/>
        <v>86040.70999999999</v>
      </c>
      <c r="R199" s="1290" t="s">
        <v>413</v>
      </c>
      <c r="S199" s="1328">
        <f>SUM(MOLISA!R126+'MOCST '!V76+GSO!S81)</f>
        <v>6988</v>
      </c>
      <c r="T199" s="1328">
        <f>SUM('[1]MOLISA'!X141+'[1]MOCST '!U94+'[1]GSO'!X106)</f>
        <v>7451</v>
      </c>
      <c r="U199" s="1328">
        <f>SUM('[1]MOLISA'!Y141+'[1]MOCST '!V94+'[1]GSO'!Y106)</f>
        <v>0</v>
      </c>
      <c r="V199" s="1328">
        <f>SUM(MOLISA!U126+'MOCST '!Y76+GSO!V81)</f>
        <v>0</v>
      </c>
      <c r="W199" s="1328">
        <f t="shared" si="64"/>
        <v>0</v>
      </c>
      <c r="X199" s="1709">
        <f t="shared" si="65"/>
        <v>-463</v>
      </c>
      <c r="Y199" s="1711">
        <f t="shared" si="62"/>
        <v>85577.70999999999</v>
      </c>
      <c r="AE199" s="1233"/>
      <c r="AF199" s="1233"/>
      <c r="AG199" s="1233"/>
      <c r="AH199" s="1233"/>
      <c r="AR199" s="1245"/>
      <c r="AS199" s="1245"/>
    </row>
    <row r="200" spans="7:45" ht="34.5" customHeight="1" hidden="1" outlineLevel="1">
      <c r="G200" s="1399" t="s">
        <v>335</v>
      </c>
      <c r="H200" s="1400">
        <f>SUM('[1]MOLISA'!L142+'[1]MOCST '!I95+'[1]GSO'!L107)</f>
        <v>452083</v>
      </c>
      <c r="I200" s="1400">
        <f>SUM('[1]MOLISA'!M142+'[1]MOCST '!J95+'[1]GSO'!M107)</f>
        <v>45587.24</v>
      </c>
      <c r="J200" s="1400">
        <f>SUM('[1]MOLISA'!N142+'[1]MOCST '!K95+'[1]GSO'!N107)</f>
        <v>320380</v>
      </c>
      <c r="K200" s="1400">
        <f>SUM('[1]MOLISA'!O142+'[1]MOCST '!L95+'[1]GSO'!O107)</f>
        <v>165172.47</v>
      </c>
      <c r="L200" s="1400">
        <f>MOLISA!K127+'MOCST '!O77+GSO!L82</f>
        <v>310245</v>
      </c>
      <c r="M200" s="1400">
        <f>MOLISA!L127+'MOCST '!P77+GSO!M82</f>
        <v>145072.53</v>
      </c>
      <c r="N200" s="1400">
        <f t="shared" si="63"/>
        <v>310245</v>
      </c>
      <c r="O200" s="1400">
        <f t="shared" si="60"/>
        <v>10135</v>
      </c>
      <c r="P200" s="1707">
        <f t="shared" si="61"/>
        <v>96250.76000000001</v>
      </c>
      <c r="R200" s="1290" t="s">
        <v>335</v>
      </c>
      <c r="S200" s="1328">
        <f>SUM(MOLISA!R127+'MOCST '!V77+GSO!S82)</f>
        <v>31021</v>
      </c>
      <c r="T200" s="1328">
        <f>SUM('[1]MOLISA'!X142+'[1]MOCST '!U95+'[1]GSO'!X107)</f>
        <v>0</v>
      </c>
      <c r="U200" s="1328">
        <f>SUM('[1]MOLISA'!Y142+'[1]MOCST '!V95+'[1]GSO'!Y107)</f>
        <v>32000</v>
      </c>
      <c r="V200" s="1328">
        <f>SUM(MOLISA!U127+'MOCST '!Y77+GSO!V82)</f>
        <v>6008.78</v>
      </c>
      <c r="W200" s="1328">
        <f t="shared" si="64"/>
        <v>25991.22</v>
      </c>
      <c r="X200" s="1709">
        <f t="shared" si="65"/>
        <v>25012.22</v>
      </c>
      <c r="Y200" s="1711">
        <f t="shared" si="62"/>
        <v>121262.98000000001</v>
      </c>
      <c r="AE200" s="1233"/>
      <c r="AF200" s="1233"/>
      <c r="AG200" s="1233"/>
      <c r="AH200" s="1233"/>
      <c r="AR200" s="1245"/>
      <c r="AS200" s="1245"/>
    </row>
    <row r="201" spans="7:45" ht="34.5" customHeight="1" hidden="1" outlineLevel="1">
      <c r="G201" s="1399" t="s">
        <v>345</v>
      </c>
      <c r="H201" s="1400">
        <f>SUM('[1]MOLISA'!L143+'[1]MOCST '!I96+'[1]GSO'!L108)</f>
        <v>159986</v>
      </c>
      <c r="I201" s="1400">
        <f>SUM('[1]MOLISA'!M143+'[1]MOCST '!J96+'[1]GSO'!M108)</f>
        <v>12253.28</v>
      </c>
      <c r="J201" s="1400">
        <f>SUM('[1]MOLISA'!N143+'[1]MOCST '!K96+'[1]GSO'!N108)</f>
        <v>77700</v>
      </c>
      <c r="K201" s="1400">
        <f>SUM('[1]MOLISA'!O143+'[1]MOCST '!L96+'[1]GSO'!O108)</f>
        <v>46089.06</v>
      </c>
      <c r="L201" s="1400">
        <f>MOLISA!K128+'MOCST '!O78+GSO!L83</f>
        <v>91414</v>
      </c>
      <c r="M201" s="1400">
        <f>MOLISA!L128+'MOCST '!P78+GSO!M83</f>
        <v>45324.94</v>
      </c>
      <c r="N201" s="1400">
        <f t="shared" si="63"/>
        <v>91414</v>
      </c>
      <c r="O201" s="1400">
        <f t="shared" si="60"/>
        <v>-13714</v>
      </c>
      <c r="P201" s="1707">
        <f t="shared" si="61"/>
        <v>56318.72</v>
      </c>
      <c r="R201" s="1290" t="s">
        <v>345</v>
      </c>
      <c r="S201" s="1328">
        <f>SUM(MOLISA!R128+'MOCST '!V78+GSO!S83)</f>
        <v>63455</v>
      </c>
      <c r="T201" s="1328">
        <f>SUM('[1]MOLISA'!X143+'[1]MOCST '!U96+'[1]GSO'!X108)</f>
        <v>8830</v>
      </c>
      <c r="U201" s="1328">
        <f>SUM('[1]MOLISA'!Y143+'[1]MOCST '!V96+'[1]GSO'!Y108)</f>
        <v>23683</v>
      </c>
      <c r="V201" s="1328">
        <f>SUM(MOLISA!U128+'MOCST '!Y78+GSO!V83)</f>
        <v>20498.22</v>
      </c>
      <c r="W201" s="1328">
        <f t="shared" si="64"/>
        <v>3184.779999999999</v>
      </c>
      <c r="X201" s="1709">
        <f t="shared" si="65"/>
        <v>34126.78</v>
      </c>
      <c r="Y201" s="1711">
        <f t="shared" si="62"/>
        <v>90445.5</v>
      </c>
      <c r="AE201" s="1233"/>
      <c r="AF201" s="1233"/>
      <c r="AG201" s="1233"/>
      <c r="AH201" s="1233"/>
      <c r="AR201" s="1245"/>
      <c r="AS201" s="1245"/>
    </row>
    <row r="202" spans="7:45" ht="34.5" customHeight="1" hidden="1" outlineLevel="1">
      <c r="G202" s="1399" t="s">
        <v>78</v>
      </c>
      <c r="H202" s="1400">
        <f>SUM('[1]MOLISA'!L144+'[1]MOCST '!I97+'[1]GSO'!L109)</f>
        <v>439015</v>
      </c>
      <c r="I202" s="1400">
        <f>SUM('[1]MOLISA'!M144+'[1]MOCST '!J97+'[1]GSO'!M109)</f>
        <v>215861.65</v>
      </c>
      <c r="J202" s="1400">
        <f>SUM('[1]MOLISA'!N144+'[1]MOCST '!K97+'[1]GSO'!N109)</f>
        <v>98530</v>
      </c>
      <c r="K202" s="1400">
        <f>SUM('[1]MOLISA'!O144+'[1]MOCST '!L97+'[1]GSO'!O109)</f>
        <v>35054.64</v>
      </c>
      <c r="L202" s="1400">
        <f>MOLISA!K129+'MOCST '!O79+GSO!L84</f>
        <v>77726</v>
      </c>
      <c r="M202" s="1400">
        <f>MOLISA!L129+'MOCST '!P79+GSO!M84</f>
        <v>42671.36</v>
      </c>
      <c r="N202" s="1400">
        <f t="shared" si="63"/>
        <v>77726</v>
      </c>
      <c r="O202" s="1400">
        <f t="shared" si="60"/>
        <v>20804</v>
      </c>
      <c r="P202" s="1707">
        <f t="shared" si="61"/>
        <v>145427.35</v>
      </c>
      <c r="R202" s="1290" t="s">
        <v>78</v>
      </c>
      <c r="S202" s="1328">
        <f>SUM(MOLISA!R129+'MOCST '!V79+GSO!S84)</f>
        <v>30715</v>
      </c>
      <c r="T202" s="1328">
        <f>SUM('[1]MOLISA'!X144+'[1]MOCST '!U97+'[1]GSO'!X109)</f>
        <v>0</v>
      </c>
      <c r="U202" s="1328">
        <f>SUM('[1]MOLISA'!Y144+'[1]MOCST '!V97+'[1]GSO'!Y109)</f>
        <v>0</v>
      </c>
      <c r="V202" s="1328">
        <f>SUM(MOLISA!U129+'MOCST '!Y79+GSO!V84)</f>
        <v>0</v>
      </c>
      <c r="W202" s="1328">
        <f t="shared" si="64"/>
        <v>0</v>
      </c>
      <c r="X202" s="1709">
        <f t="shared" si="65"/>
        <v>30715</v>
      </c>
      <c r="Y202" s="1711">
        <f t="shared" si="62"/>
        <v>176142.35</v>
      </c>
      <c r="AE202" s="1233"/>
      <c r="AF202" s="1233"/>
      <c r="AG202" s="1233"/>
      <c r="AH202" s="1233"/>
      <c r="AR202" s="1245"/>
      <c r="AS202" s="1245"/>
    </row>
    <row r="203" spans="7:45" ht="34.5" customHeight="1" hidden="1" outlineLevel="1">
      <c r="G203" s="1399" t="s">
        <v>359</v>
      </c>
      <c r="H203" s="1400">
        <f>SUM('[1]MOLISA'!L145+'[1]MOCST '!I98+'[1]GSO'!L110)</f>
        <v>9749</v>
      </c>
      <c r="I203" s="1400">
        <f>SUM('[1]MOLISA'!M145+'[1]MOCST '!J98+'[1]GSO'!M110)</f>
        <v>4119.23</v>
      </c>
      <c r="J203" s="1400">
        <f>SUM('[1]MOLISA'!N145+'[1]MOCST '!K98+'[1]GSO'!N110)</f>
        <v>4000</v>
      </c>
      <c r="K203" s="1400">
        <f>SUM('[1]MOLISA'!O145+'[1]MOCST '!L98+'[1]GSO'!O110)</f>
        <v>3065.32</v>
      </c>
      <c r="L203" s="1400">
        <f>MOLISA!K130+'MOCST '!O80+GSO!L85</f>
        <v>3878</v>
      </c>
      <c r="M203" s="1400">
        <f>MOLISA!L130+'MOCST '!P80+GSO!M85</f>
        <v>812.6799999999998</v>
      </c>
      <c r="N203" s="1400">
        <f t="shared" si="63"/>
        <v>3878</v>
      </c>
      <c r="O203" s="1400">
        <f t="shared" si="60"/>
        <v>122</v>
      </c>
      <c r="P203" s="1707">
        <f t="shared" si="61"/>
        <v>1751.7700000000004</v>
      </c>
      <c r="R203" s="1290" t="s">
        <v>359</v>
      </c>
      <c r="S203" s="1328">
        <f>SUM(MOLISA!R130+'MOCST '!V80+GSO!S85)</f>
        <v>16824</v>
      </c>
      <c r="T203" s="1328">
        <f>SUM('[1]MOLISA'!X145+'[1]MOCST '!U98+'[1]GSO'!X110)</f>
        <v>4617</v>
      </c>
      <c r="U203" s="1328">
        <f>SUM('[1]MOLISA'!Y145+'[1]MOCST '!V98+'[1]GSO'!Y110)</f>
        <v>2125</v>
      </c>
      <c r="V203" s="1328">
        <f>SUM(MOLISA!U130+'MOCST '!Y80+GSO!V85)</f>
        <v>0</v>
      </c>
      <c r="W203" s="1328">
        <f t="shared" si="64"/>
        <v>2125</v>
      </c>
      <c r="X203" s="1709">
        <f t="shared" si="65"/>
        <v>12207</v>
      </c>
      <c r="Y203" s="1711">
        <f t="shared" si="62"/>
        <v>13958.77</v>
      </c>
      <c r="AE203" s="1233"/>
      <c r="AF203" s="1233"/>
      <c r="AG203" s="1233"/>
      <c r="AH203" s="1233"/>
      <c r="AR203" s="1245"/>
      <c r="AS203" s="1245"/>
    </row>
    <row r="204" spans="7:45" ht="34.5" customHeight="1" hidden="1" outlineLevel="1">
      <c r="G204" s="1399" t="s">
        <v>86</v>
      </c>
      <c r="H204" s="1400">
        <f>SUM('[1]MOLISA'!L146+'[1]MOCST '!I99+'[1]GSO'!L111)</f>
        <v>39705</v>
      </c>
      <c r="I204" s="1400">
        <f>SUM('[1]MOLISA'!M146+'[1]MOCST '!J99+'[1]GSO'!M111)</f>
        <v>0</v>
      </c>
      <c r="J204" s="1400">
        <f>SUM('[1]MOLISA'!N146+'[1]MOCST '!K99+'[1]GSO'!N111)</f>
        <v>2855</v>
      </c>
      <c r="K204" s="1400">
        <f>SUM('[1]MOLISA'!O146+'[1]MOCST '!L99+'[1]GSO'!O111)</f>
        <v>0</v>
      </c>
      <c r="L204" s="1400">
        <f>MOLISA!K131+'MOCST '!O81+GSO!L86</f>
        <v>0</v>
      </c>
      <c r="M204" s="1400">
        <f>MOLISA!L131+'MOCST '!P81+GSO!M86</f>
        <v>0</v>
      </c>
      <c r="N204" s="1400">
        <f t="shared" si="63"/>
        <v>0</v>
      </c>
      <c r="O204" s="1400">
        <f t="shared" si="60"/>
        <v>2855</v>
      </c>
      <c r="P204" s="1707">
        <f t="shared" si="61"/>
        <v>39705</v>
      </c>
      <c r="R204" s="1290" t="s">
        <v>86</v>
      </c>
      <c r="S204" s="1328">
        <f>SUM(MOLISA!R131+'MOCST '!V81+GSO!S86)</f>
        <v>69350</v>
      </c>
      <c r="T204" s="1328">
        <f>SUM('[1]MOLISA'!X146+'[1]MOCST '!U99+'[1]GSO'!X111)</f>
        <v>0</v>
      </c>
      <c r="U204" s="1328">
        <f>SUM('[1]MOLISA'!Y146+'[1]MOCST '!V99+'[1]GSO'!Y111)</f>
        <v>6300</v>
      </c>
      <c r="V204" s="1328">
        <f>SUM(MOLISA!U131+'MOCST '!Y81+GSO!V86)</f>
        <v>13.05</v>
      </c>
      <c r="W204" s="1328">
        <f t="shared" si="64"/>
        <v>6286.95</v>
      </c>
      <c r="X204" s="1709">
        <f t="shared" si="65"/>
        <v>69336.95</v>
      </c>
      <c r="Y204" s="1711">
        <f t="shared" si="62"/>
        <v>109041.95</v>
      </c>
      <c r="AE204" s="1233"/>
      <c r="AF204" s="1233"/>
      <c r="AG204" s="1233"/>
      <c r="AH204" s="1233"/>
      <c r="AR204" s="1245"/>
      <c r="AS204" s="1245"/>
    </row>
    <row r="205" spans="7:45" ht="34.5" customHeight="1" hidden="1" outlineLevel="1">
      <c r="G205" s="1399" t="s">
        <v>87</v>
      </c>
      <c r="H205" s="1400">
        <f>SUM('[1]MOLISA'!L147+'[1]MOCST '!I100+'[1]GSO'!L112)</f>
        <v>141171</v>
      </c>
      <c r="I205" s="1400">
        <f>SUM('[1]MOLISA'!M147+'[1]MOCST '!J100+'[1]GSO'!M112)</f>
        <v>28743.449999999997</v>
      </c>
      <c r="J205" s="1400">
        <f>SUM('[1]MOLISA'!N147+'[1]MOCST '!K100+'[1]GSO'!N112)</f>
        <v>60831</v>
      </c>
      <c r="K205" s="1400">
        <f>SUM('[1]MOLISA'!O147+'[1]MOCST '!L100+'[1]GSO'!O112)</f>
        <v>28334.4</v>
      </c>
      <c r="L205" s="1400">
        <f>MOLISA!K132+'MOCST '!O82+GSO!L87</f>
        <v>49238.56</v>
      </c>
      <c r="M205" s="1400">
        <f>MOLISA!L132+'MOCST '!P82+GSO!M87</f>
        <v>20904.160000000003</v>
      </c>
      <c r="N205" s="1400">
        <f t="shared" si="63"/>
        <v>49238.560000000005</v>
      </c>
      <c r="O205" s="1400">
        <f t="shared" si="60"/>
        <v>11592.439999999995</v>
      </c>
      <c r="P205" s="1707">
        <f t="shared" si="61"/>
        <v>63188.99</v>
      </c>
      <c r="R205" s="1290" t="s">
        <v>87</v>
      </c>
      <c r="S205" s="1328">
        <f>SUM(MOLISA!R132+'MOCST '!V82+GSO!S87)</f>
        <v>37209</v>
      </c>
      <c r="T205" s="1328">
        <f>SUM('[1]MOLISA'!X147+'[1]MOCST '!U100+'[1]GSO'!X112)</f>
        <v>8987</v>
      </c>
      <c r="U205" s="1328">
        <f>SUM('[1]MOLISA'!Y147+'[1]MOCST '!V100+'[1]GSO'!Y112)</f>
        <v>17383</v>
      </c>
      <c r="V205" s="1328">
        <f>SUM(MOLISA!U132+'MOCST '!Y82+GSO!V87)</f>
        <v>8808.5735</v>
      </c>
      <c r="W205" s="1328">
        <f t="shared" si="64"/>
        <v>8574.4265</v>
      </c>
      <c r="X205" s="1709">
        <f t="shared" si="65"/>
        <v>19413.4265</v>
      </c>
      <c r="Y205" s="1711">
        <f t="shared" si="62"/>
        <v>82602.41649999999</v>
      </c>
      <c r="AE205" s="1233"/>
      <c r="AF205" s="1233"/>
      <c r="AG205" s="1233"/>
      <c r="AH205" s="1233"/>
      <c r="AR205" s="1245"/>
      <c r="AS205" s="1245"/>
    </row>
    <row r="206" spans="3:43" s="1192" customFormat="1" ht="39.75" customHeight="1" hidden="1" outlineLevel="1">
      <c r="C206" s="1489"/>
      <c r="D206" s="1489"/>
      <c r="E206" s="1489"/>
      <c r="F206" s="1489"/>
      <c r="G206" s="1490" t="s">
        <v>88</v>
      </c>
      <c r="H206" s="808">
        <f aca="true" t="shared" si="66" ref="H206:P206">SUM(H194:H205)</f>
        <v>2157905</v>
      </c>
      <c r="I206" s="808">
        <f t="shared" si="66"/>
        <v>421108.73999999993</v>
      </c>
      <c r="J206" s="808">
        <f t="shared" si="66"/>
        <v>929843</v>
      </c>
      <c r="K206" s="808">
        <f t="shared" si="66"/>
        <v>433111.49000000005</v>
      </c>
      <c r="L206" s="808">
        <f t="shared" si="66"/>
        <v>752646.56</v>
      </c>
      <c r="M206" s="808">
        <f t="shared" si="66"/>
        <v>319535.06999999995</v>
      </c>
      <c r="N206" s="808">
        <f t="shared" si="66"/>
        <v>752646.56</v>
      </c>
      <c r="O206" s="808">
        <f t="shared" si="66"/>
        <v>177196.44</v>
      </c>
      <c r="P206" s="1708">
        <f t="shared" si="66"/>
        <v>984149.7</v>
      </c>
      <c r="R206" s="1491" t="s">
        <v>88</v>
      </c>
      <c r="S206" s="1208">
        <f aca="true" t="shared" si="67" ref="S206:Y206">SUM(S194:S205)</f>
        <v>568750</v>
      </c>
      <c r="T206" s="1208">
        <f t="shared" si="67"/>
        <v>142878</v>
      </c>
      <c r="U206" s="1208">
        <f t="shared" si="67"/>
        <v>265707</v>
      </c>
      <c r="V206" s="1208">
        <f>SUM(V194:V205)</f>
        <v>169359.6235</v>
      </c>
      <c r="W206" s="1208">
        <f t="shared" si="67"/>
        <v>96347.3765</v>
      </c>
      <c r="X206" s="1710">
        <f t="shared" si="67"/>
        <v>256512.3765</v>
      </c>
      <c r="Y206" s="1605">
        <f t="shared" si="67"/>
        <v>1240662.0765</v>
      </c>
      <c r="Z206" s="1492"/>
      <c r="AA206" s="1193"/>
      <c r="AB206" s="1193"/>
      <c r="AC206" s="1193"/>
      <c r="AD206" s="1492"/>
      <c r="AE206" s="1193"/>
      <c r="AF206" s="1193"/>
      <c r="AG206" s="1193"/>
      <c r="AH206" s="1193"/>
      <c r="AI206" s="1193"/>
      <c r="AJ206" s="1193"/>
      <c r="AK206" s="1193"/>
      <c r="AL206" s="1193"/>
      <c r="AM206" s="1193"/>
      <c r="AN206" s="1193"/>
      <c r="AO206" s="1193"/>
      <c r="AP206" s="1193"/>
      <c r="AQ206" s="1193"/>
    </row>
    <row r="207" spans="18:30" ht="15" hidden="1" outlineLevel="1">
      <c r="R207" s="1245"/>
      <c r="T207" s="1246"/>
      <c r="V207" s="1404"/>
      <c r="W207" s="1245"/>
      <c r="Y207" s="1233"/>
      <c r="Z207" s="1233"/>
      <c r="AA207" s="1234"/>
      <c r="AB207" s="1234"/>
      <c r="AD207" s="1233"/>
    </row>
    <row r="208" spans="18:30" ht="15" hidden="1" outlineLevel="1">
      <c r="R208" s="1245"/>
      <c r="T208" s="1246"/>
      <c r="V208" s="1245"/>
      <c r="W208" s="1245"/>
      <c r="Y208" s="1233"/>
      <c r="Z208" s="1233"/>
      <c r="AA208" s="1234"/>
      <c r="AB208" s="1234"/>
      <c r="AD208" s="1233"/>
    </row>
    <row r="209" spans="9:30" ht="15.75" collapsed="1" thickTop="1">
      <c r="I209" s="1462"/>
      <c r="J209" s="1463"/>
      <c r="K209" s="1464"/>
      <c r="L209" s="1465" t="s">
        <v>167</v>
      </c>
      <c r="M209" s="1466">
        <v>1263074</v>
      </c>
      <c r="N209" s="1464"/>
      <c r="O209" s="1464"/>
      <c r="P209" s="1464"/>
      <c r="Q209" s="1464"/>
      <c r="R209" s="1464"/>
      <c r="S209" s="1464"/>
      <c r="T209" s="1464"/>
      <c r="U209" s="1464"/>
      <c r="V209" s="1467"/>
      <c r="W209" s="1464"/>
      <c r="X209" s="1464"/>
      <c r="Y209" s="1464"/>
      <c r="Z209" s="1233"/>
      <c r="AD209" s="1233"/>
    </row>
    <row r="210" spans="9:30" ht="15" hidden="1" outlineLevel="1">
      <c r="I210" s="1462"/>
      <c r="J210" s="1463"/>
      <c r="K210" s="1464"/>
      <c r="L210" s="1468" t="s">
        <v>157</v>
      </c>
      <c r="M210" s="1466">
        <v>294161</v>
      </c>
      <c r="N210" s="1464"/>
      <c r="O210" s="1464"/>
      <c r="P210" s="1464"/>
      <c r="Q210" s="1464"/>
      <c r="R210" s="1464"/>
      <c r="S210" s="1469"/>
      <c r="T210" s="1469"/>
      <c r="U210" s="1464"/>
      <c r="V210" s="1467"/>
      <c r="W210" s="1464"/>
      <c r="X210" s="1464"/>
      <c r="Y210" s="1464"/>
      <c r="Z210" s="1247"/>
      <c r="AA210" s="1247"/>
      <c r="AB210" s="1247"/>
      <c r="AD210" s="1233"/>
    </row>
    <row r="211" spans="9:30" ht="15" hidden="1" outlineLevel="1">
      <c r="I211" s="1462"/>
      <c r="J211" s="1463"/>
      <c r="K211" s="1464"/>
      <c r="L211" s="1468" t="s">
        <v>364</v>
      </c>
      <c r="M211" s="1466">
        <v>600670</v>
      </c>
      <c r="N211" s="1464"/>
      <c r="O211" s="1464"/>
      <c r="P211" s="1464"/>
      <c r="Q211" s="1464"/>
      <c r="R211" s="1464"/>
      <c r="S211" s="1464"/>
      <c r="T211" s="1464"/>
      <c r="U211" s="1464"/>
      <c r="V211" s="1467"/>
      <c r="W211" s="1464"/>
      <c r="X211" s="1464"/>
      <c r="Y211" s="1464"/>
      <c r="Z211" s="1233"/>
      <c r="AD211" s="1233"/>
    </row>
    <row r="212" spans="9:30" ht="15" hidden="1" outlineLevel="1">
      <c r="I212" s="1462"/>
      <c r="J212" s="1463"/>
      <c r="K212" s="1464"/>
      <c r="L212" s="1463"/>
      <c r="M212" s="1470">
        <f>SUM(M209:M211)</f>
        <v>2157905</v>
      </c>
      <c r="N212" s="1464"/>
      <c r="O212" s="1464"/>
      <c r="P212" s="1464"/>
      <c r="Q212" s="1464"/>
      <c r="R212" s="1464"/>
      <c r="S212" s="1464"/>
      <c r="T212" s="1464"/>
      <c r="U212" s="1464"/>
      <c r="V212" s="1467"/>
      <c r="W212" s="1464"/>
      <c r="X212" s="1464"/>
      <c r="Y212" s="1464"/>
      <c r="Z212" s="1392"/>
      <c r="AD212" s="1233"/>
    </row>
    <row r="213" spans="9:30" ht="15" hidden="1" outlineLevel="1">
      <c r="I213" s="1462"/>
      <c r="J213" s="1463"/>
      <c r="K213" s="1464"/>
      <c r="L213" s="1463"/>
      <c r="M213" s="1463"/>
      <c r="N213" s="1464"/>
      <c r="O213" s="1464"/>
      <c r="P213" s="1464"/>
      <c r="Q213" s="1464"/>
      <c r="R213" s="1464"/>
      <c r="S213" s="1464"/>
      <c r="T213" s="1464"/>
      <c r="U213" s="1464"/>
      <c r="V213" s="1467"/>
      <c r="W213" s="1464"/>
      <c r="X213" s="1464"/>
      <c r="Y213" s="1464"/>
      <c r="Z213" s="1233"/>
      <c r="AD213" s="1233"/>
    </row>
    <row r="214" spans="9:30" ht="15" hidden="1" outlineLevel="1">
      <c r="I214" s="1462"/>
      <c r="J214" s="1463"/>
      <c r="K214" s="1464"/>
      <c r="L214" s="1463"/>
      <c r="M214" s="1463"/>
      <c r="N214" s="1464"/>
      <c r="O214" s="1464"/>
      <c r="P214" s="1464"/>
      <c r="Q214" s="1464"/>
      <c r="R214" s="1464"/>
      <c r="S214" s="1464"/>
      <c r="T214" s="1464"/>
      <c r="U214" s="1464"/>
      <c r="V214" s="1467"/>
      <c r="W214" s="1464"/>
      <c r="X214" s="1464"/>
      <c r="Y214" s="1464"/>
      <c r="Z214" s="1233"/>
      <c r="AD214" s="1233"/>
    </row>
    <row r="215" spans="9:30" ht="15" hidden="1" outlineLevel="1">
      <c r="I215" s="1462"/>
      <c r="J215" s="1463"/>
      <c r="K215" s="1464"/>
      <c r="L215" s="1463" t="s">
        <v>450</v>
      </c>
      <c r="M215" s="1463"/>
      <c r="N215" s="1464"/>
      <c r="O215" s="1464"/>
      <c r="P215" s="1464"/>
      <c r="Q215" s="1464"/>
      <c r="R215" s="1464"/>
      <c r="S215" s="1464"/>
      <c r="T215" s="1464"/>
      <c r="U215" s="1464"/>
      <c r="V215" s="1467"/>
      <c r="W215" s="1464"/>
      <c r="X215" s="1464"/>
      <c r="Y215" s="1464"/>
      <c r="Z215" s="1233"/>
      <c r="AD215" s="1233"/>
    </row>
    <row r="216" spans="9:30" ht="15" hidden="1" outlineLevel="1">
      <c r="I216" s="1462"/>
      <c r="J216" s="1463"/>
      <c r="K216" s="1464"/>
      <c r="L216" s="1463"/>
      <c r="M216" s="1463"/>
      <c r="N216" s="1467" t="s">
        <v>446</v>
      </c>
      <c r="O216" s="1467" t="s">
        <v>447</v>
      </c>
      <c r="P216" s="1464" t="s">
        <v>448</v>
      </c>
      <c r="Q216" s="1464"/>
      <c r="R216" s="1464"/>
      <c r="S216" s="1464"/>
      <c r="T216" s="1464"/>
      <c r="U216" s="1464"/>
      <c r="V216" s="1467"/>
      <c r="W216" s="1464"/>
      <c r="X216" s="1464"/>
      <c r="Y216" s="1464"/>
      <c r="Z216" s="1233"/>
      <c r="AD216" s="1233"/>
    </row>
    <row r="217" spans="9:30" ht="15" hidden="1" outlineLevel="1">
      <c r="I217" s="1462"/>
      <c r="J217" s="1463"/>
      <c r="K217" s="1464"/>
      <c r="L217" s="1463"/>
      <c r="M217" s="1463" t="s">
        <v>167</v>
      </c>
      <c r="N217" s="1469">
        <v>1263075</v>
      </c>
      <c r="O217" s="1469">
        <v>276453</v>
      </c>
      <c r="P217" s="1469">
        <f>SUM(N217:O217)</f>
        <v>1539528</v>
      </c>
      <c r="Q217" s="1469"/>
      <c r="R217" s="1464"/>
      <c r="S217" s="1464"/>
      <c r="T217" s="1464"/>
      <c r="U217" s="1464"/>
      <c r="V217" s="1467"/>
      <c r="W217" s="1464"/>
      <c r="X217" s="1464"/>
      <c r="Y217" s="1464"/>
      <c r="Z217" s="1233"/>
      <c r="AD217" s="1233"/>
    </row>
    <row r="218" spans="9:30" ht="15" hidden="1" outlineLevel="1">
      <c r="I218" s="1462"/>
      <c r="J218" s="1463"/>
      <c r="K218" s="1464"/>
      <c r="L218" s="1463"/>
      <c r="M218" s="1463" t="s">
        <v>157</v>
      </c>
      <c r="N218" s="1469">
        <v>294160</v>
      </c>
      <c r="O218" s="1469">
        <v>152105</v>
      </c>
      <c r="P218" s="1469">
        <f>SUM(N218:O218)</f>
        <v>446265</v>
      </c>
      <c r="Q218" s="1469"/>
      <c r="R218" s="1464"/>
      <c r="S218" s="1464"/>
      <c r="T218" s="1464"/>
      <c r="U218" s="1464"/>
      <c r="V218" s="1467"/>
      <c r="W218" s="1464"/>
      <c r="X218" s="1464"/>
      <c r="Y218" s="1464"/>
      <c r="Z218" s="1233"/>
      <c r="AD218" s="1233"/>
    </row>
    <row r="219" spans="9:30" ht="15" hidden="1" outlineLevel="1">
      <c r="I219" s="1462"/>
      <c r="J219" s="1463"/>
      <c r="K219" s="1464"/>
      <c r="L219" s="1463"/>
      <c r="M219" s="1463" t="s">
        <v>364</v>
      </c>
      <c r="N219" s="1469">
        <v>600670</v>
      </c>
      <c r="O219" s="1469">
        <v>140191</v>
      </c>
      <c r="P219" s="1469">
        <f>SUM(N219:O219)</f>
        <v>740861</v>
      </c>
      <c r="Q219" s="1469"/>
      <c r="R219" s="1464"/>
      <c r="S219" s="1464"/>
      <c r="T219" s="1464"/>
      <c r="U219" s="1464"/>
      <c r="V219" s="1467"/>
      <c r="W219" s="1464"/>
      <c r="X219" s="1464"/>
      <c r="Y219" s="1464"/>
      <c r="Z219" s="1233"/>
      <c r="AD219" s="1233"/>
    </row>
    <row r="220" spans="9:30" ht="15" hidden="1" outlineLevel="1">
      <c r="I220" s="1462"/>
      <c r="J220" s="1463"/>
      <c r="K220" s="1464"/>
      <c r="L220" s="1463"/>
      <c r="M220" s="1467" t="s">
        <v>88</v>
      </c>
      <c r="N220" s="1471">
        <f>SUM(N217:N219)</f>
        <v>2157905</v>
      </c>
      <c r="O220" s="1471">
        <f>SUM(O217:O219)</f>
        <v>568749</v>
      </c>
      <c r="P220" s="1471">
        <f>SUM(N220:O220)</f>
        <v>2726654</v>
      </c>
      <c r="Q220" s="1469"/>
      <c r="R220" s="1464"/>
      <c r="S220" s="1464"/>
      <c r="T220" s="1464"/>
      <c r="U220" s="1464"/>
      <c r="V220" s="1467"/>
      <c r="W220" s="1464"/>
      <c r="X220" s="1464"/>
      <c r="Y220" s="1464"/>
      <c r="Z220" s="1233"/>
      <c r="AD220" s="1233"/>
    </row>
    <row r="221" spans="9:30" ht="15" hidden="1" outlineLevel="1">
      <c r="I221" s="1462"/>
      <c r="J221" s="1463"/>
      <c r="K221" s="1464"/>
      <c r="L221" s="1463"/>
      <c r="M221" s="1467" t="s">
        <v>445</v>
      </c>
      <c r="N221" s="1469">
        <v>0</v>
      </c>
      <c r="O221" s="1469">
        <v>20000</v>
      </c>
      <c r="P221" s="1469">
        <f>SUM(N221:O221)</f>
        <v>20000</v>
      </c>
      <c r="Q221" s="1469"/>
      <c r="R221" s="1464"/>
      <c r="S221" s="1464"/>
      <c r="T221" s="1464"/>
      <c r="U221" s="1464"/>
      <c r="V221" s="1467"/>
      <c r="W221" s="1464"/>
      <c r="X221" s="1464"/>
      <c r="Y221" s="1464"/>
      <c r="Z221" s="1233"/>
      <c r="AD221" s="1233"/>
    </row>
    <row r="222" spans="9:30" ht="15" hidden="1" outlineLevel="1">
      <c r="I222" s="1462"/>
      <c r="J222" s="1463"/>
      <c r="K222" s="1464"/>
      <c r="L222" s="1463"/>
      <c r="M222" s="1467" t="s">
        <v>449</v>
      </c>
      <c r="N222" s="1472">
        <f>SUM(N220:N221)</f>
        <v>2157905</v>
      </c>
      <c r="O222" s="1472">
        <f>SUM(O220:O221)</f>
        <v>588749</v>
      </c>
      <c r="P222" s="1472">
        <f>SUM(P220:P221)</f>
        <v>2746654</v>
      </c>
      <c r="Q222" s="1469"/>
      <c r="R222" s="1464"/>
      <c r="S222" s="1464"/>
      <c r="T222" s="1464"/>
      <c r="U222" s="1464"/>
      <c r="V222" s="1467"/>
      <c r="W222" s="1464"/>
      <c r="X222" s="1464"/>
      <c r="Y222" s="1464"/>
      <c r="Z222" s="1233"/>
      <c r="AD222" s="1233"/>
    </row>
    <row r="223" spans="9:30" ht="15" hidden="1" outlineLevel="1">
      <c r="I223" s="1462"/>
      <c r="J223" s="1463"/>
      <c r="K223" s="1464"/>
      <c r="L223" s="1463"/>
      <c r="M223" s="1463"/>
      <c r="N223" s="1472"/>
      <c r="O223" s="1469"/>
      <c r="P223" s="1469"/>
      <c r="Q223" s="1469"/>
      <c r="R223" s="1464"/>
      <c r="S223" s="1464"/>
      <c r="T223" s="1464"/>
      <c r="U223" s="1464"/>
      <c r="V223" s="1467"/>
      <c r="W223" s="1464"/>
      <c r="X223" s="1464"/>
      <c r="Y223" s="1464"/>
      <c r="Z223" s="1233"/>
      <c r="AD223" s="1233"/>
    </row>
    <row r="224" spans="9:30" ht="15" hidden="1" outlineLevel="1">
      <c r="I224" s="1462"/>
      <c r="J224" s="1463"/>
      <c r="K224" s="1464"/>
      <c r="L224" s="1463"/>
      <c r="M224" s="1463"/>
      <c r="N224" s="1464"/>
      <c r="O224" s="1464"/>
      <c r="P224" s="1464"/>
      <c r="Q224" s="1464"/>
      <c r="R224" s="1464"/>
      <c r="S224" s="1464"/>
      <c r="T224" s="1464"/>
      <c r="U224" s="1464"/>
      <c r="V224" s="1467"/>
      <c r="W224" s="1464"/>
      <c r="X224" s="1464"/>
      <c r="Y224" s="1464"/>
      <c r="Z224" s="1233"/>
      <c r="AD224" s="1233"/>
    </row>
    <row r="225" spans="9:30" ht="15" hidden="1" outlineLevel="1">
      <c r="I225" s="1462"/>
      <c r="J225" s="1463"/>
      <c r="K225" s="1464"/>
      <c r="L225" s="1463" t="s">
        <v>451</v>
      </c>
      <c r="M225" s="1463"/>
      <c r="N225" s="1464"/>
      <c r="O225" s="1464"/>
      <c r="P225" s="1464"/>
      <c r="Q225" s="1464"/>
      <c r="R225" s="1464"/>
      <c r="S225" s="1464"/>
      <c r="T225" s="1464"/>
      <c r="U225" s="1464"/>
      <c r="V225" s="1467"/>
      <c r="W225" s="1464"/>
      <c r="X225" s="1464"/>
      <c r="Y225" s="1464"/>
      <c r="Z225" s="1233"/>
      <c r="AD225" s="1233"/>
    </row>
    <row r="226" spans="9:30" ht="15" hidden="1" outlineLevel="1">
      <c r="I226" s="1462"/>
      <c r="J226" s="1463"/>
      <c r="K226" s="1464"/>
      <c r="L226" s="1463"/>
      <c r="M226" s="1463"/>
      <c r="N226" s="1467" t="s">
        <v>446</v>
      </c>
      <c r="O226" s="1467" t="s">
        <v>452</v>
      </c>
      <c r="P226" s="1464" t="s">
        <v>448</v>
      </c>
      <c r="Q226" s="1464"/>
      <c r="R226" s="1464" t="s">
        <v>454</v>
      </c>
      <c r="S226" s="1473" t="s">
        <v>455</v>
      </c>
      <c r="T226" s="1474">
        <v>0.07</v>
      </c>
      <c r="U226" s="1473" t="s">
        <v>88</v>
      </c>
      <c r="V226" s="1467"/>
      <c r="W226" s="1464"/>
      <c r="X226" s="1464"/>
      <c r="Y226" s="1464"/>
      <c r="Z226" s="1233"/>
      <c r="AD226" s="1233"/>
    </row>
    <row r="227" spans="9:30" ht="15" hidden="1" outlineLevel="1">
      <c r="I227" s="1462"/>
      <c r="J227" s="1463"/>
      <c r="K227" s="1464"/>
      <c r="L227" s="1463"/>
      <c r="M227" s="1463" t="s">
        <v>167</v>
      </c>
      <c r="N227" s="1469">
        <v>1263075</v>
      </c>
      <c r="O227" s="1469">
        <f>276453+13908</f>
        <v>290361</v>
      </c>
      <c r="P227" s="1469">
        <f>SUM(N227:O227)</f>
        <v>1553436</v>
      </c>
      <c r="Q227" s="1469"/>
      <c r="R227" s="1475">
        <v>13908</v>
      </c>
      <c r="S227" s="1469">
        <f>R227/1.07</f>
        <v>12998.130841121494</v>
      </c>
      <c r="T227" s="1476">
        <f>S227*7%</f>
        <v>909.8691588785047</v>
      </c>
      <c r="U227" s="1472">
        <f>SUM(S227:T227)</f>
        <v>13907.999999999998</v>
      </c>
      <c r="V227" s="1467"/>
      <c r="W227" s="1464"/>
      <c r="X227" s="1464"/>
      <c r="Y227" s="1464"/>
      <c r="Z227" s="1233"/>
      <c r="AD227" s="1233"/>
    </row>
    <row r="228" spans="9:30" ht="15" hidden="1" outlineLevel="1">
      <c r="I228" s="1462"/>
      <c r="J228" s="1463"/>
      <c r="K228" s="1464"/>
      <c r="L228" s="1463"/>
      <c r="M228" s="1463" t="s">
        <v>157</v>
      </c>
      <c r="N228" s="1469">
        <v>294160</v>
      </c>
      <c r="O228" s="1469">
        <f>152105+1812</f>
        <v>153917</v>
      </c>
      <c r="P228" s="1469">
        <f>SUM(N228:O228)</f>
        <v>448077</v>
      </c>
      <c r="Q228" s="1469"/>
      <c r="R228" s="1464">
        <v>1812</v>
      </c>
      <c r="S228" s="1469">
        <f>R228/1.07</f>
        <v>1693.4579439252336</v>
      </c>
      <c r="T228" s="1476">
        <f>S228*7%</f>
        <v>118.54205607476636</v>
      </c>
      <c r="U228" s="1472">
        <f>SUM(S228:T228)</f>
        <v>1812</v>
      </c>
      <c r="V228" s="1467"/>
      <c r="W228" s="1464"/>
      <c r="X228" s="1464"/>
      <c r="Y228" s="1464"/>
      <c r="Z228" s="1233"/>
      <c r="AD228" s="1233"/>
    </row>
    <row r="229" spans="9:30" ht="15" hidden="1" outlineLevel="1">
      <c r="I229" s="1462"/>
      <c r="J229" s="1463"/>
      <c r="K229" s="1464"/>
      <c r="L229" s="1463"/>
      <c r="M229" s="1463" t="s">
        <v>364</v>
      </c>
      <c r="N229" s="1469">
        <v>600670</v>
      </c>
      <c r="O229" s="1469">
        <f>140191+4280</f>
        <v>144471</v>
      </c>
      <c r="P229" s="1469">
        <f>SUM(N229:O229)</f>
        <v>745141</v>
      </c>
      <c r="Q229" s="1469"/>
      <c r="R229" s="1464">
        <v>4280</v>
      </c>
      <c r="S229" s="1469">
        <f>R229/1.07</f>
        <v>3999.9999999999995</v>
      </c>
      <c r="T229" s="1476">
        <f>S229*7%</f>
        <v>280</v>
      </c>
      <c r="U229" s="1472">
        <f>SUM(S229:T229)</f>
        <v>4280</v>
      </c>
      <c r="V229" s="1467"/>
      <c r="W229" s="1464"/>
      <c r="X229" s="1464"/>
      <c r="Y229" s="1464"/>
      <c r="Z229" s="1233"/>
      <c r="AD229" s="1233"/>
    </row>
    <row r="230" spans="9:30" ht="15" hidden="1" outlineLevel="1">
      <c r="I230" s="1462"/>
      <c r="J230" s="1463"/>
      <c r="K230" s="1464"/>
      <c r="L230" s="1463"/>
      <c r="M230" s="1467" t="s">
        <v>88</v>
      </c>
      <c r="N230" s="1471">
        <f>SUM(N227:N229)</f>
        <v>2157905</v>
      </c>
      <c r="O230" s="1471">
        <f>SUM(O227:O229)</f>
        <v>588749</v>
      </c>
      <c r="P230" s="1471">
        <f>SUM(N230:O230)</f>
        <v>2746654</v>
      </c>
      <c r="Q230" s="1471"/>
      <c r="R230" s="1477"/>
      <c r="S230" s="1477"/>
      <c r="T230" s="1478"/>
      <c r="U230" s="1477"/>
      <c r="V230" s="1467"/>
      <c r="W230" s="1477"/>
      <c r="X230" s="1477"/>
      <c r="Y230" s="1477"/>
      <c r="AA230" s="1234"/>
      <c r="AB230" s="1234"/>
      <c r="AD230" s="1233"/>
    </row>
    <row r="231" spans="3:45" s="1401" customFormat="1" ht="15" hidden="1" outlineLevel="1">
      <c r="C231" s="1246"/>
      <c r="D231" s="1246"/>
      <c r="E231" s="1246"/>
      <c r="F231" s="1246"/>
      <c r="G231" s="1246"/>
      <c r="H231" s="1402"/>
      <c r="I231" s="1463"/>
      <c r="J231" s="1463"/>
      <c r="K231" s="1477"/>
      <c r="L231" s="1463"/>
      <c r="M231" s="1467" t="s">
        <v>445</v>
      </c>
      <c r="N231" s="1469">
        <v>0</v>
      </c>
      <c r="O231" s="1469">
        <f>20000-20000</f>
        <v>0</v>
      </c>
      <c r="P231" s="1469">
        <f>SUM(N231:O231)</f>
        <v>0</v>
      </c>
      <c r="Q231" s="1469"/>
      <c r="R231" s="1475">
        <f>SUM(R227:R230)</f>
        <v>20000</v>
      </c>
      <c r="S231" s="1472">
        <f>SUM(S227:S230)</f>
        <v>18691.588785046726</v>
      </c>
      <c r="T231" s="1476">
        <f>SUM(T227:T230)</f>
        <v>1308.411214953271</v>
      </c>
      <c r="U231" s="1472">
        <f>SUM(U227:U230)</f>
        <v>20000</v>
      </c>
      <c r="V231" s="1467"/>
      <c r="W231" s="1464"/>
      <c r="X231" s="1464"/>
      <c r="Y231" s="1464"/>
      <c r="Z231" s="1233"/>
      <c r="AA231" s="1233"/>
      <c r="AB231" s="1233"/>
      <c r="AC231" s="1234"/>
      <c r="AD231" s="1234"/>
      <c r="AE231" s="1406"/>
      <c r="AF231" s="1406"/>
      <c r="AG231" s="1406"/>
      <c r="AH231" s="1406"/>
      <c r="AI231" s="1234"/>
      <c r="AJ231" s="1234"/>
      <c r="AK231" s="1234"/>
      <c r="AL231" s="1234"/>
      <c r="AM231" s="1234"/>
      <c r="AN231" s="1234"/>
      <c r="AO231" s="1234"/>
      <c r="AP231" s="1234"/>
      <c r="AQ231" s="1234"/>
      <c r="AR231" s="1234"/>
      <c r="AS231" s="1234"/>
    </row>
    <row r="232" spans="9:30" ht="15" hidden="1" outlineLevel="1">
      <c r="I232" s="1462"/>
      <c r="J232" s="1463"/>
      <c r="K232" s="1464"/>
      <c r="L232" s="1463"/>
      <c r="M232" s="1467" t="s">
        <v>449</v>
      </c>
      <c r="N232" s="1472">
        <f>SUM(N230:N231)</f>
        <v>2157905</v>
      </c>
      <c r="O232" s="1472">
        <f>SUM(O230:O231)</f>
        <v>588749</v>
      </c>
      <c r="P232" s="1472">
        <f>SUM(P230:P231)</f>
        <v>2746654</v>
      </c>
      <c r="Q232" s="1469"/>
      <c r="R232" s="1464"/>
      <c r="S232" s="1464"/>
      <c r="T232" s="1464"/>
      <c r="U232" s="1464"/>
      <c r="V232" s="1467"/>
      <c r="W232" s="1464"/>
      <c r="X232" s="1464"/>
      <c r="Y232" s="1464"/>
      <c r="Z232" s="1233"/>
      <c r="AD232" s="1233"/>
    </row>
    <row r="233" spans="9:30" ht="15" hidden="1" outlineLevel="1">
      <c r="I233" s="1462"/>
      <c r="J233" s="1463"/>
      <c r="K233" s="1464"/>
      <c r="L233" s="1463"/>
      <c r="M233" s="1463"/>
      <c r="N233" s="1464"/>
      <c r="O233" s="1464"/>
      <c r="P233" s="1464"/>
      <c r="Q233" s="1464"/>
      <c r="R233" s="1464"/>
      <c r="S233" s="1464"/>
      <c r="T233" s="1464"/>
      <c r="U233" s="1464"/>
      <c r="V233" s="1467"/>
      <c r="W233" s="1464"/>
      <c r="X233" s="1464"/>
      <c r="Y233" s="1464"/>
      <c r="Z233" s="1233"/>
      <c r="AD233" s="1233"/>
    </row>
    <row r="234" spans="9:30" ht="15" hidden="1" outlineLevel="1">
      <c r="I234" s="1462"/>
      <c r="J234" s="1463"/>
      <c r="K234" s="1464"/>
      <c r="L234" s="1463"/>
      <c r="M234" s="1463"/>
      <c r="N234" s="1464"/>
      <c r="O234" s="1464"/>
      <c r="P234" s="1464"/>
      <c r="Q234" s="1464"/>
      <c r="R234" s="1464"/>
      <c r="S234" s="1464"/>
      <c r="T234" s="1464"/>
      <c r="U234" s="1464"/>
      <c r="V234" s="1467"/>
      <c r="W234" s="1464"/>
      <c r="X234" s="1464"/>
      <c r="Y234" s="1464"/>
      <c r="Z234" s="1233"/>
      <c r="AD234" s="1233"/>
    </row>
    <row r="235" spans="9:30" ht="15" hidden="1" outlineLevel="1">
      <c r="I235" s="1462"/>
      <c r="J235" s="1463"/>
      <c r="K235" s="1464"/>
      <c r="L235" s="1463" t="s">
        <v>453</v>
      </c>
      <c r="M235" s="1463"/>
      <c r="N235" s="1464"/>
      <c r="O235" s="1464"/>
      <c r="P235" s="1464"/>
      <c r="Q235" s="1464"/>
      <c r="R235" s="1464"/>
      <c r="S235" s="1464"/>
      <c r="T235" s="1464"/>
      <c r="U235" s="1464"/>
      <c r="V235" s="1467"/>
      <c r="W235" s="1464"/>
      <c r="X235" s="1464"/>
      <c r="Y235" s="1464"/>
      <c r="Z235" s="1233"/>
      <c r="AD235" s="1233"/>
    </row>
    <row r="236" spans="9:30" ht="15" hidden="1" outlineLevel="1">
      <c r="I236" s="1462"/>
      <c r="J236" s="1463"/>
      <c r="K236" s="1464"/>
      <c r="L236" s="1463"/>
      <c r="M236" s="1463"/>
      <c r="N236" s="1467" t="s">
        <v>446</v>
      </c>
      <c r="O236" s="1467" t="s">
        <v>452</v>
      </c>
      <c r="P236" s="1464" t="s">
        <v>448</v>
      </c>
      <c r="Q236" s="1464"/>
      <c r="R236" s="1464"/>
      <c r="S236" s="1464"/>
      <c r="T236" s="1464"/>
      <c r="U236" s="1464"/>
      <c r="V236" s="1467"/>
      <c r="W236" s="1464"/>
      <c r="X236" s="1464"/>
      <c r="Y236" s="1464"/>
      <c r="Z236" s="1233"/>
      <c r="AD236" s="1233"/>
    </row>
    <row r="237" spans="9:30" ht="15" hidden="1" outlineLevel="1">
      <c r="I237" s="1462"/>
      <c r="J237" s="1463"/>
      <c r="K237" s="1464"/>
      <c r="L237" s="1463"/>
      <c r="M237" s="1463" t="s">
        <v>167</v>
      </c>
      <c r="N237" s="1469">
        <v>1263075</v>
      </c>
      <c r="O237" s="1469">
        <v>276453</v>
      </c>
      <c r="P237" s="1469">
        <f>SUM(N237:O237)</f>
        <v>1539528</v>
      </c>
      <c r="Q237" s="1469"/>
      <c r="R237" s="1464"/>
      <c r="S237" s="1464"/>
      <c r="T237" s="1464"/>
      <c r="U237" s="1464"/>
      <c r="V237" s="1467"/>
      <c r="W237" s="1464"/>
      <c r="X237" s="1464"/>
      <c r="Y237" s="1464"/>
      <c r="Z237" s="1233"/>
      <c r="AD237" s="1233"/>
    </row>
    <row r="238" spans="9:30" ht="15" hidden="1" outlineLevel="1">
      <c r="I238" s="1462"/>
      <c r="J238" s="1463"/>
      <c r="K238" s="1464"/>
      <c r="L238" s="1463"/>
      <c r="M238" s="1463" t="s">
        <v>157</v>
      </c>
      <c r="N238" s="1469">
        <v>294160</v>
      </c>
      <c r="O238" s="1469">
        <v>152105</v>
      </c>
      <c r="P238" s="1469">
        <f>SUM(N238:O238)</f>
        <v>446265</v>
      </c>
      <c r="Q238" s="1469"/>
      <c r="R238" s="1464"/>
      <c r="S238" s="1464"/>
      <c r="T238" s="1464"/>
      <c r="U238" s="1464"/>
      <c r="V238" s="1467"/>
      <c r="W238" s="1464"/>
      <c r="X238" s="1464"/>
      <c r="Y238" s="1464"/>
      <c r="Z238" s="1233"/>
      <c r="AD238" s="1233"/>
    </row>
    <row r="239" spans="9:30" ht="15" hidden="1" outlineLevel="1">
      <c r="I239" s="1462"/>
      <c r="J239" s="1463"/>
      <c r="K239" s="1464"/>
      <c r="L239" s="1463"/>
      <c r="M239" s="1463" t="s">
        <v>364</v>
      </c>
      <c r="N239" s="1469">
        <v>600670</v>
      </c>
      <c r="O239" s="1469">
        <v>140191</v>
      </c>
      <c r="P239" s="1469">
        <f>SUM(N239:O239)</f>
        <v>740861</v>
      </c>
      <c r="Q239" s="1469"/>
      <c r="R239" s="1464"/>
      <c r="S239" s="1464"/>
      <c r="T239" s="1464"/>
      <c r="U239" s="1464"/>
      <c r="V239" s="1467"/>
      <c r="W239" s="1464"/>
      <c r="X239" s="1464"/>
      <c r="Y239" s="1464"/>
      <c r="Z239" s="1233"/>
      <c r="AD239" s="1233"/>
    </row>
    <row r="240" spans="9:30" ht="15" hidden="1" outlineLevel="1">
      <c r="I240" s="1462"/>
      <c r="J240" s="1463"/>
      <c r="K240" s="1464"/>
      <c r="L240" s="1463"/>
      <c r="M240" s="1467" t="s">
        <v>88</v>
      </c>
      <c r="N240" s="1469">
        <f>SUM(N237:N239)</f>
        <v>2157905</v>
      </c>
      <c r="O240" s="1469">
        <f>SUM(O237:O239)</f>
        <v>568749</v>
      </c>
      <c r="P240" s="1469">
        <f>SUM(N240:O240)</f>
        <v>2726654</v>
      </c>
      <c r="Q240" s="1469"/>
      <c r="R240" s="1464"/>
      <c r="S240" s="1464"/>
      <c r="T240" s="1464"/>
      <c r="U240" s="1464"/>
      <c r="V240" s="1467"/>
      <c r="W240" s="1464"/>
      <c r="X240" s="1464"/>
      <c r="Y240" s="1464"/>
      <c r="Z240" s="1233"/>
      <c r="AD240" s="1233"/>
    </row>
    <row r="241" spans="9:30" ht="15" hidden="1" outlineLevel="1">
      <c r="I241" s="1462"/>
      <c r="J241" s="1463"/>
      <c r="K241" s="1464"/>
      <c r="L241" s="1463"/>
      <c r="M241" s="1467" t="s">
        <v>445</v>
      </c>
      <c r="N241" s="1469">
        <v>0</v>
      </c>
      <c r="O241" s="1469">
        <v>20000</v>
      </c>
      <c r="P241" s="1469">
        <f>SUM(N241:O241)</f>
        <v>20000</v>
      </c>
      <c r="Q241" s="1469"/>
      <c r="R241" s="1464"/>
      <c r="S241" s="1464"/>
      <c r="T241" s="1464"/>
      <c r="U241" s="1464"/>
      <c r="V241" s="1467"/>
      <c r="W241" s="1464"/>
      <c r="X241" s="1464"/>
      <c r="Y241" s="1464"/>
      <c r="Z241" s="1233"/>
      <c r="AD241" s="1233"/>
    </row>
    <row r="242" spans="9:30" ht="15" hidden="1" outlineLevel="1">
      <c r="I242" s="1462"/>
      <c r="J242" s="1463"/>
      <c r="K242" s="1464"/>
      <c r="L242" s="1463"/>
      <c r="M242" s="1467" t="s">
        <v>449</v>
      </c>
      <c r="N242" s="1472">
        <f>SUM(N240:N241)</f>
        <v>2157905</v>
      </c>
      <c r="O242" s="1472">
        <f>SUM(O240:O241)</f>
        <v>588749</v>
      </c>
      <c r="P242" s="1472">
        <f>SUM(P240:P241)</f>
        <v>2746654</v>
      </c>
      <c r="Q242" s="1469"/>
      <c r="R242" s="1464"/>
      <c r="S242" s="1464"/>
      <c r="T242" s="1464"/>
      <c r="U242" s="1464"/>
      <c r="V242" s="1467"/>
      <c r="W242" s="1464"/>
      <c r="X242" s="1464"/>
      <c r="Y242" s="1464"/>
      <c r="Z242" s="1233"/>
      <c r="AD242" s="1233"/>
    </row>
    <row r="243" spans="9:30" ht="15" hidden="1" outlineLevel="1">
      <c r="I243" s="1462"/>
      <c r="J243" s="1463"/>
      <c r="K243" s="1464"/>
      <c r="L243" s="1463"/>
      <c r="M243" s="1463"/>
      <c r="N243" s="1464"/>
      <c r="O243" s="1464"/>
      <c r="P243" s="1464"/>
      <c r="Q243" s="1464"/>
      <c r="R243" s="1464"/>
      <c r="S243" s="1464"/>
      <c r="T243" s="1464"/>
      <c r="U243" s="1464"/>
      <c r="V243" s="1467"/>
      <c r="W243" s="1464"/>
      <c r="X243" s="1464"/>
      <c r="Y243" s="1464"/>
      <c r="Z243" s="1233"/>
      <c r="AD243" s="1233"/>
    </row>
    <row r="244" spans="12:30" ht="15" hidden="1" outlineLevel="1">
      <c r="L244" s="1402"/>
      <c r="M244" s="1402"/>
      <c r="R244" s="1245"/>
      <c r="V244" s="1246"/>
      <c r="W244" s="1245"/>
      <c r="X244" s="1245"/>
      <c r="Y244" s="1245"/>
      <c r="Z244" s="1233"/>
      <c r="AD244" s="1233"/>
    </row>
    <row r="245" spans="12:30" ht="15" hidden="1" outlineLevel="1">
      <c r="L245" s="1402"/>
      <c r="M245" s="1402"/>
      <c r="R245" s="1245"/>
      <c r="V245" s="1246"/>
      <c r="W245" s="1245"/>
      <c r="X245" s="1245"/>
      <c r="Y245" s="1245"/>
      <c r="Z245" s="1233"/>
      <c r="AD245" s="1233"/>
    </row>
    <row r="246" spans="12:30" ht="15" hidden="1" outlineLevel="1">
      <c r="L246" s="1402"/>
      <c r="M246" s="1402"/>
      <c r="R246" s="1245"/>
      <c r="V246" s="1246"/>
      <c r="W246" s="1245"/>
      <c r="X246" s="1245"/>
      <c r="Y246" s="1245"/>
      <c r="Z246" s="1233"/>
      <c r="AD246" s="1233"/>
    </row>
    <row r="247" spans="12:30" ht="15" hidden="1" outlineLevel="1">
      <c r="L247" s="1402"/>
      <c r="M247" s="1407">
        <v>4500000</v>
      </c>
      <c r="R247" s="1245"/>
      <c r="V247" s="1246"/>
      <c r="W247" s="1245"/>
      <c r="X247" s="1245"/>
      <c r="Y247" s="1245"/>
      <c r="Z247" s="1233"/>
      <c r="AD247" s="1233"/>
    </row>
    <row r="248" spans="12:30" ht="15" hidden="1" outlineLevel="1">
      <c r="L248" s="1402"/>
      <c r="M248" s="1407">
        <v>20000</v>
      </c>
      <c r="R248" s="1245"/>
      <c r="V248" s="1246"/>
      <c r="W248" s="1245"/>
      <c r="X248" s="1245"/>
      <c r="Y248" s="1245"/>
      <c r="Z248" s="1233"/>
      <c r="AD248" s="1233"/>
    </row>
    <row r="249" spans="12:30" ht="15" hidden="1" outlineLevel="1">
      <c r="L249" s="1402"/>
      <c r="M249" s="1405">
        <f>M247-M248</f>
        <v>4480000</v>
      </c>
      <c r="R249" s="1245"/>
      <c r="V249" s="1246"/>
      <c r="W249" s="1245"/>
      <c r="X249" s="1245"/>
      <c r="Y249" s="1245"/>
      <c r="Z249" s="1233"/>
      <c r="AD249" s="1233"/>
    </row>
    <row r="250" spans="12:30" ht="15" hidden="1" outlineLevel="1">
      <c r="L250" s="1402"/>
      <c r="M250" s="1402"/>
      <c r="R250" s="1245"/>
      <c r="V250" s="1246"/>
      <c r="W250" s="1245"/>
      <c r="X250" s="1245"/>
      <c r="Y250" s="1245"/>
      <c r="Z250" s="1233"/>
      <c r="AD250" s="1233"/>
    </row>
    <row r="251" spans="11:26" ht="15" hidden="1" outlineLevel="1">
      <c r="K251" s="1402"/>
      <c r="R251" s="1245"/>
      <c r="T251" s="1246"/>
      <c r="V251" s="1245"/>
      <c r="W251" s="1245"/>
      <c r="Y251" s="1233"/>
      <c r="Z251" s="1233"/>
    </row>
    <row r="252" ht="15" hidden="1" outlineLevel="1"/>
    <row r="253" ht="15" collapsed="1"/>
    <row r="254" ht="30" customHeight="1"/>
    <row r="255" ht="30" customHeight="1"/>
    <row r="256" ht="30" customHeight="1"/>
  </sheetData>
  <sheetProtection/>
  <mergeCells count="59">
    <mergeCell ref="A187:F187"/>
    <mergeCell ref="A188:F188"/>
    <mergeCell ref="A189:F189"/>
    <mergeCell ref="A181:F181"/>
    <mergeCell ref="A182:F182"/>
    <mergeCell ref="A183:F183"/>
    <mergeCell ref="A184:F184"/>
    <mergeCell ref="A185:F185"/>
    <mergeCell ref="A186:F186"/>
    <mergeCell ref="A175:F175"/>
    <mergeCell ref="A176:F176"/>
    <mergeCell ref="A177:F177"/>
    <mergeCell ref="A178:F178"/>
    <mergeCell ref="A179:F179"/>
    <mergeCell ref="A180:F180"/>
    <mergeCell ref="A173:F174"/>
    <mergeCell ref="G173:J173"/>
    <mergeCell ref="K173:N173"/>
    <mergeCell ref="O173:R173"/>
    <mergeCell ref="S173:V173"/>
    <mergeCell ref="W173:Z173"/>
    <mergeCell ref="AA173:AD173"/>
    <mergeCell ref="AE173:AH173"/>
    <mergeCell ref="H5:J6"/>
    <mergeCell ref="K5:K7"/>
    <mergeCell ref="L5:AD5"/>
    <mergeCell ref="R6:R7"/>
    <mergeCell ref="S6:U6"/>
    <mergeCell ref="V6:X6"/>
    <mergeCell ref="Y6:AA6"/>
    <mergeCell ref="AB6:AD6"/>
    <mergeCell ref="AA156:AD156"/>
    <mergeCell ref="AE156:AH156"/>
    <mergeCell ref="L156:N156"/>
    <mergeCell ref="O156:R156"/>
    <mergeCell ref="S156:V156"/>
    <mergeCell ref="W156:Z156"/>
    <mergeCell ref="A120:A125"/>
    <mergeCell ref="L6:N6"/>
    <mergeCell ref="B5:B7"/>
    <mergeCell ref="A5:A7"/>
    <mergeCell ref="A67:A71"/>
    <mergeCell ref="A8:G8"/>
    <mergeCell ref="A109:A116"/>
    <mergeCell ref="A76:A80"/>
    <mergeCell ref="A9:A11"/>
    <mergeCell ref="A66:G66"/>
    <mergeCell ref="A13:A15"/>
    <mergeCell ref="A24:A28"/>
    <mergeCell ref="A87:A90"/>
    <mergeCell ref="A98:A103"/>
    <mergeCell ref="A1:G1"/>
    <mergeCell ref="A92:J92"/>
    <mergeCell ref="AB1:AD1"/>
    <mergeCell ref="A4:K4"/>
    <mergeCell ref="C5:G6"/>
    <mergeCell ref="A2:B2"/>
    <mergeCell ref="A3:K3"/>
    <mergeCell ref="O6:Q6"/>
  </mergeCells>
  <printOptions horizontalCentered="1"/>
  <pageMargins left="0.14" right="0" top="0.21" bottom="0.14" header="0.49" footer="0.23"/>
  <pageSetup fitToHeight="0" horizontalDpi="600" verticalDpi="600" orientation="landscape" paperSize="9" scale="55" r:id="rId1"/>
  <headerFooter alignWithMargins="0">
    <oddFooter>&amp;RJPGE - AWP 2010 - Page &amp;P</oddFooter>
  </headerFooter>
</worksheet>
</file>

<file path=xl/worksheets/sheet3.xml><?xml version="1.0" encoding="utf-8"?>
<worksheet xmlns="http://schemas.openxmlformats.org/spreadsheetml/2006/main" xmlns:r="http://schemas.openxmlformats.org/officeDocument/2006/relationships">
  <dimension ref="A1:AS145"/>
  <sheetViews>
    <sheetView zoomScale="60" zoomScaleNormal="60" zoomScalePageLayoutView="0" workbookViewId="0" topLeftCell="A1">
      <pane xSplit="7" ySplit="7" topLeftCell="H92" activePane="bottomRight" state="frozen"/>
      <selection pane="topLeft" activeCell="A1" sqref="A1"/>
      <selection pane="topRight" activeCell="H1" sqref="H1"/>
      <selection pane="bottomLeft" activeCell="A8" sqref="A8"/>
      <selection pane="bottomRight" activeCell="A138" sqref="A138:IV146"/>
    </sheetView>
  </sheetViews>
  <sheetFormatPr defaultColWidth="9.140625" defaultRowHeight="12.75" outlineLevelRow="2" outlineLevelCol="1"/>
  <cols>
    <col min="1" max="1" width="43.421875" style="625" customWidth="1"/>
    <col min="2" max="2" width="36.57421875" style="625" customWidth="1"/>
    <col min="3" max="3" width="5.8515625" style="803" customWidth="1"/>
    <col min="4" max="4" width="6.57421875" style="803" customWidth="1"/>
    <col min="5" max="5" width="6.140625" style="803" customWidth="1"/>
    <col min="6" max="6" width="6.00390625" style="803" customWidth="1"/>
    <col min="7" max="7" width="17.7109375" style="803" customWidth="1"/>
    <col min="8" max="8" width="20.00390625" style="816" customWidth="1"/>
    <col min="9" max="9" width="18.7109375" style="816" customWidth="1"/>
    <col min="10" max="10" width="19.28125" style="817" customWidth="1"/>
    <col min="11" max="11" width="20.8515625" style="625" customWidth="1"/>
    <col min="12" max="12" width="21.8515625" style="623" customWidth="1" outlineLevel="1"/>
    <col min="13" max="13" width="20.421875" style="623" customWidth="1" outlineLevel="1"/>
    <col min="14" max="14" width="18.00390625" style="823" customWidth="1" outlineLevel="1"/>
    <col min="15" max="15" width="20.28125" style="624" customWidth="1" outlineLevel="1" collapsed="1"/>
    <col min="16" max="16" width="21.8515625" style="625" customWidth="1" outlineLevel="1"/>
    <col min="17" max="17" width="17.421875" style="824" customWidth="1" outlineLevel="1"/>
    <col min="18" max="18" width="19.00390625" style="824" customWidth="1"/>
    <col min="19" max="19" width="20.57421875" style="623" customWidth="1" outlineLevel="1"/>
    <col min="20" max="20" width="21.00390625" style="623" customWidth="1" outlineLevel="1"/>
    <col min="21" max="21" width="18.7109375" style="823" customWidth="1" outlineLevel="1"/>
    <col min="22" max="22" width="20.00390625" style="626" customWidth="1" outlineLevel="1"/>
    <col min="23" max="23" width="22.7109375" style="626" customWidth="1" outlineLevel="1"/>
    <col min="24" max="24" width="22.28125" style="626" customWidth="1" outlineLevel="1"/>
    <col min="25" max="25" width="15.140625" style="796" customWidth="1" outlineLevel="1"/>
    <col min="26" max="26" width="19.7109375" style="796" customWidth="1" outlineLevel="1"/>
    <col min="27" max="27" width="20.7109375" style="626" customWidth="1" outlineLevel="1"/>
    <col min="28" max="28" width="21.140625" style="626" customWidth="1"/>
    <col min="29" max="29" width="16.57421875" style="626" customWidth="1"/>
    <col min="30" max="30" width="17.57421875" style="796" customWidth="1"/>
    <col min="31" max="31" width="23.28125" style="626" customWidth="1"/>
    <col min="32" max="32" width="23.140625" style="626" customWidth="1"/>
    <col min="33" max="33" width="17.57421875" style="626" customWidth="1"/>
    <col min="34" max="34" width="18.28125" style="793" customWidth="1"/>
    <col min="35" max="35" width="23.8515625" style="793" customWidth="1"/>
    <col min="36" max="36" width="21.28125" style="793" customWidth="1"/>
    <col min="37" max="37" width="12.7109375" style="793" bestFit="1" customWidth="1"/>
    <col min="38" max="38" width="16.00390625" style="793" customWidth="1"/>
    <col min="39" max="39" width="15.421875" style="626" customWidth="1"/>
    <col min="40" max="40" width="14.421875" style="626" bestFit="1" customWidth="1"/>
    <col min="41" max="42" width="9.140625" style="626" customWidth="1"/>
    <col min="43" max="43" width="15.28125" style="626" customWidth="1"/>
    <col min="44" max="44" width="13.421875" style="626" customWidth="1"/>
    <col min="45" max="45" width="13.57421875" style="626" customWidth="1"/>
    <col min="46" max="46" width="19.57421875" style="625" customWidth="1"/>
    <col min="47" max="16384" width="9.140625" style="625" customWidth="1"/>
  </cols>
  <sheetData>
    <row r="1" spans="1:45" s="615" customFormat="1" ht="38.25" customHeight="1">
      <c r="A1" s="2087" t="s">
        <v>462</v>
      </c>
      <c r="B1" s="2087"/>
      <c r="C1" s="2087"/>
      <c r="D1" s="2087"/>
      <c r="E1" s="2087"/>
      <c r="F1" s="2087"/>
      <c r="G1" s="612"/>
      <c r="I1" s="613"/>
      <c r="J1" s="614"/>
      <c r="L1" s="616"/>
      <c r="M1" s="616"/>
      <c r="N1" s="825"/>
      <c r="O1" s="617"/>
      <c r="Q1" s="612"/>
      <c r="R1" s="826"/>
      <c r="S1" s="616"/>
      <c r="T1" s="616"/>
      <c r="U1" s="825"/>
      <c r="V1" s="618"/>
      <c r="W1" s="618"/>
      <c r="X1" s="618"/>
      <c r="Y1" s="619"/>
      <c r="Z1" s="619"/>
      <c r="AA1" s="618"/>
      <c r="AB1" s="2082" t="s">
        <v>482</v>
      </c>
      <c r="AC1" s="2082"/>
      <c r="AD1" s="2082"/>
      <c r="AE1" s="618"/>
      <c r="AF1" s="618"/>
      <c r="AG1" s="618"/>
      <c r="AH1" s="725"/>
      <c r="AI1" s="725"/>
      <c r="AJ1" s="725"/>
      <c r="AK1" s="725"/>
      <c r="AL1" s="725"/>
      <c r="AM1" s="618"/>
      <c r="AN1" s="618"/>
      <c r="AO1" s="618"/>
      <c r="AP1" s="618"/>
      <c r="AQ1" s="618"/>
      <c r="AR1" s="618"/>
      <c r="AS1" s="618"/>
    </row>
    <row r="2" spans="1:45" s="615" customFormat="1" ht="30" customHeight="1">
      <c r="A2" s="2087" t="s">
        <v>473</v>
      </c>
      <c r="B2" s="2087"/>
      <c r="C2" s="2087"/>
      <c r="D2" s="2087"/>
      <c r="E2" s="2087"/>
      <c r="F2" s="2087"/>
      <c r="G2" s="612"/>
      <c r="I2" s="613"/>
      <c r="J2" s="614"/>
      <c r="L2" s="616"/>
      <c r="M2" s="616"/>
      <c r="N2" s="825"/>
      <c r="O2" s="617"/>
      <c r="Q2" s="612"/>
      <c r="R2" s="612"/>
      <c r="S2" s="616"/>
      <c r="T2" s="616"/>
      <c r="U2" s="825"/>
      <c r="V2" s="618"/>
      <c r="W2" s="618"/>
      <c r="X2" s="618"/>
      <c r="Y2" s="619"/>
      <c r="Z2" s="619"/>
      <c r="AA2" s="618"/>
      <c r="AB2" s="618"/>
      <c r="AC2" s="618"/>
      <c r="AD2" s="619"/>
      <c r="AE2" s="618"/>
      <c r="AF2" s="618"/>
      <c r="AG2" s="618"/>
      <c r="AH2" s="725"/>
      <c r="AI2" s="725"/>
      <c r="AJ2" s="725"/>
      <c r="AK2" s="725"/>
      <c r="AL2" s="725"/>
      <c r="AM2" s="618"/>
      <c r="AN2" s="618"/>
      <c r="AO2" s="618"/>
      <c r="AP2" s="618"/>
      <c r="AQ2" s="618"/>
      <c r="AR2" s="618"/>
      <c r="AS2" s="618"/>
    </row>
    <row r="3" spans="1:45" s="615" customFormat="1" ht="22.5" customHeight="1">
      <c r="A3" s="2087" t="s">
        <v>463</v>
      </c>
      <c r="B3" s="2087"/>
      <c r="C3" s="2087"/>
      <c r="D3" s="2087"/>
      <c r="E3" s="2087"/>
      <c r="F3" s="2087"/>
      <c r="G3" s="2087"/>
      <c r="H3" s="2087"/>
      <c r="I3" s="2087"/>
      <c r="J3" s="2087"/>
      <c r="K3" s="2087"/>
      <c r="L3" s="616"/>
      <c r="M3" s="616"/>
      <c r="N3" s="825"/>
      <c r="O3" s="617"/>
      <c r="Q3" s="612"/>
      <c r="R3" s="612"/>
      <c r="S3" s="827"/>
      <c r="T3" s="828"/>
      <c r="U3" s="829"/>
      <c r="V3" s="622"/>
      <c r="W3" s="618"/>
      <c r="X3" s="618"/>
      <c r="Y3" s="619"/>
      <c r="Z3" s="619"/>
      <c r="AA3" s="618"/>
      <c r="AB3" s="618"/>
      <c r="AC3" s="618"/>
      <c r="AD3" s="619"/>
      <c r="AE3" s="618"/>
      <c r="AF3" s="618"/>
      <c r="AG3" s="618"/>
      <c r="AH3" s="725"/>
      <c r="AI3" s="725"/>
      <c r="AJ3" s="725"/>
      <c r="AK3" s="725"/>
      <c r="AL3" s="725"/>
      <c r="AM3" s="618"/>
      <c r="AN3" s="618"/>
      <c r="AO3" s="618"/>
      <c r="AP3" s="618"/>
      <c r="AQ3" s="618"/>
      <c r="AR3" s="618"/>
      <c r="AS3" s="618"/>
    </row>
    <row r="4" spans="1:45" s="615" customFormat="1" ht="27" customHeight="1" thickBot="1">
      <c r="A4" s="2114" t="s">
        <v>464</v>
      </c>
      <c r="B4" s="2114"/>
      <c r="C4" s="2114"/>
      <c r="D4" s="2114"/>
      <c r="E4" s="2114"/>
      <c r="F4" s="2114"/>
      <c r="G4" s="2114"/>
      <c r="H4" s="2114"/>
      <c r="I4" s="2114"/>
      <c r="J4" s="2114"/>
      <c r="K4" s="2114"/>
      <c r="L4" s="623"/>
      <c r="M4" s="623"/>
      <c r="N4" s="823"/>
      <c r="O4" s="624"/>
      <c r="P4" s="625"/>
      <c r="Q4" s="824"/>
      <c r="R4" s="830"/>
      <c r="S4" s="623"/>
      <c r="T4" s="623"/>
      <c r="U4" s="823"/>
      <c r="V4" s="618"/>
      <c r="W4" s="618"/>
      <c r="X4" s="618"/>
      <c r="Y4" s="619"/>
      <c r="Z4" s="619"/>
      <c r="AA4" s="618"/>
      <c r="AB4" s="618"/>
      <c r="AC4" s="618"/>
      <c r="AD4" s="619"/>
      <c r="AE4" s="618"/>
      <c r="AF4" s="618"/>
      <c r="AG4" s="618"/>
      <c r="AH4" s="725"/>
      <c r="AI4" s="725"/>
      <c r="AJ4" s="725"/>
      <c r="AK4" s="725"/>
      <c r="AL4" s="725"/>
      <c r="AM4" s="618"/>
      <c r="AN4" s="618"/>
      <c r="AO4" s="618"/>
      <c r="AP4" s="618"/>
      <c r="AQ4" s="618"/>
      <c r="AR4" s="618"/>
      <c r="AS4" s="618"/>
    </row>
    <row r="5" spans="1:33" ht="27" customHeight="1" thickTop="1">
      <c r="A5" s="2104" t="s">
        <v>225</v>
      </c>
      <c r="B5" s="2085" t="s">
        <v>175</v>
      </c>
      <c r="C5" s="2106" t="s">
        <v>74</v>
      </c>
      <c r="D5" s="2107"/>
      <c r="E5" s="2107"/>
      <c r="F5" s="2107"/>
      <c r="G5" s="2108"/>
      <c r="H5" s="2106" t="s">
        <v>105</v>
      </c>
      <c r="I5" s="2107"/>
      <c r="J5" s="2108"/>
      <c r="K5" s="2085" t="s">
        <v>187</v>
      </c>
      <c r="L5" s="2090" t="s">
        <v>151</v>
      </c>
      <c r="M5" s="2091"/>
      <c r="N5" s="2091"/>
      <c r="O5" s="2091"/>
      <c r="P5" s="2091"/>
      <c r="Q5" s="2091"/>
      <c r="R5" s="2091"/>
      <c r="S5" s="2091"/>
      <c r="T5" s="2091"/>
      <c r="U5" s="2091"/>
      <c r="V5" s="2091"/>
      <c r="W5" s="2091"/>
      <c r="X5" s="2091"/>
      <c r="Y5" s="2091"/>
      <c r="Z5" s="2091"/>
      <c r="AA5" s="2091"/>
      <c r="AB5" s="2091"/>
      <c r="AC5" s="2091"/>
      <c r="AD5" s="2092"/>
      <c r="AE5" s="793"/>
      <c r="AF5" s="793"/>
      <c r="AG5" s="793"/>
    </row>
    <row r="6" spans="1:33" ht="99" customHeight="1">
      <c r="A6" s="2105"/>
      <c r="B6" s="2086"/>
      <c r="C6" s="2109"/>
      <c r="D6" s="2110"/>
      <c r="E6" s="2110"/>
      <c r="F6" s="2110"/>
      <c r="G6" s="2111"/>
      <c r="H6" s="2109"/>
      <c r="I6" s="2110"/>
      <c r="J6" s="2111"/>
      <c r="K6" s="2086"/>
      <c r="L6" s="2100" t="s">
        <v>94</v>
      </c>
      <c r="M6" s="2086"/>
      <c r="N6" s="2086"/>
      <c r="O6" s="2086" t="s">
        <v>93</v>
      </c>
      <c r="P6" s="2086"/>
      <c r="Q6" s="2086"/>
      <c r="R6" s="2086" t="s">
        <v>207</v>
      </c>
      <c r="S6" s="2086" t="s">
        <v>60</v>
      </c>
      <c r="T6" s="2086"/>
      <c r="U6" s="2086"/>
      <c r="V6" s="2086" t="s">
        <v>71</v>
      </c>
      <c r="W6" s="2086"/>
      <c r="X6" s="2086"/>
      <c r="Y6" s="2086" t="s">
        <v>62</v>
      </c>
      <c r="Z6" s="2086"/>
      <c r="AA6" s="2086"/>
      <c r="AB6" s="2097" t="s">
        <v>536</v>
      </c>
      <c r="AC6" s="2098"/>
      <c r="AD6" s="2099"/>
      <c r="AE6" s="793"/>
      <c r="AF6" s="793"/>
      <c r="AG6" s="793"/>
    </row>
    <row r="7" spans="1:45" s="824" customFormat="1" ht="67.5" customHeight="1">
      <c r="A7" s="2105"/>
      <c r="B7" s="2086"/>
      <c r="C7" s="1221" t="s">
        <v>170</v>
      </c>
      <c r="D7" s="1221" t="s">
        <v>171</v>
      </c>
      <c r="E7" s="1221" t="s">
        <v>172</v>
      </c>
      <c r="F7" s="1221" t="s">
        <v>173</v>
      </c>
      <c r="G7" s="1221" t="s">
        <v>67</v>
      </c>
      <c r="H7" s="1221" t="s">
        <v>206</v>
      </c>
      <c r="I7" s="1221" t="s">
        <v>186</v>
      </c>
      <c r="J7" s="1221" t="s">
        <v>169</v>
      </c>
      <c r="K7" s="2086"/>
      <c r="L7" s="1563" t="s">
        <v>144</v>
      </c>
      <c r="M7" s="1222" t="s">
        <v>184</v>
      </c>
      <c r="N7" s="1221" t="s">
        <v>35</v>
      </c>
      <c r="O7" s="1221" t="s">
        <v>144</v>
      </c>
      <c r="P7" s="1222" t="s">
        <v>184</v>
      </c>
      <c r="Q7" s="1222" t="s">
        <v>35</v>
      </c>
      <c r="R7" s="2086"/>
      <c r="S7" s="1222" t="s">
        <v>144</v>
      </c>
      <c r="T7" s="1222" t="s">
        <v>184</v>
      </c>
      <c r="U7" s="1221" t="s">
        <v>35</v>
      </c>
      <c r="V7" s="1222" t="s">
        <v>144</v>
      </c>
      <c r="W7" s="1222" t="s">
        <v>184</v>
      </c>
      <c r="X7" s="1221" t="s">
        <v>35</v>
      </c>
      <c r="Y7" s="1222" t="s">
        <v>144</v>
      </c>
      <c r="Z7" s="1222" t="s">
        <v>184</v>
      </c>
      <c r="AA7" s="1221" t="s">
        <v>35</v>
      </c>
      <c r="AB7" s="1222" t="s">
        <v>144</v>
      </c>
      <c r="AC7" s="1222" t="s">
        <v>184</v>
      </c>
      <c r="AD7" s="1223" t="s">
        <v>35</v>
      </c>
      <c r="AE7" s="795"/>
      <c r="AF7" s="795"/>
      <c r="AG7" s="831"/>
      <c r="AH7" s="795"/>
      <c r="AI7" s="795"/>
      <c r="AJ7" s="795"/>
      <c r="AK7" s="795"/>
      <c r="AL7" s="795"/>
      <c r="AM7" s="796"/>
      <c r="AN7" s="796"/>
      <c r="AO7" s="796"/>
      <c r="AP7" s="796"/>
      <c r="AQ7" s="796"/>
      <c r="AR7" s="796"/>
      <c r="AS7" s="796"/>
    </row>
    <row r="8" spans="1:45" s="624" customFormat="1" ht="189.75" customHeight="1">
      <c r="A8" s="2093" t="s">
        <v>461</v>
      </c>
      <c r="B8" s="2094"/>
      <c r="C8" s="2094"/>
      <c r="D8" s="2094"/>
      <c r="E8" s="2094"/>
      <c r="F8" s="2094"/>
      <c r="G8" s="2094"/>
      <c r="H8" s="832"/>
      <c r="I8" s="627"/>
      <c r="J8" s="627"/>
      <c r="K8" s="627"/>
      <c r="L8" s="628"/>
      <c r="M8" s="628"/>
      <c r="N8" s="628"/>
      <c r="O8" s="832"/>
      <c r="P8" s="832"/>
      <c r="Q8" s="627"/>
      <c r="R8" s="627"/>
      <c r="S8" s="1839"/>
      <c r="T8" s="833"/>
      <c r="U8" s="1840"/>
      <c r="V8" s="629"/>
      <c r="W8" s="629"/>
      <c r="X8" s="629"/>
      <c r="Y8" s="629"/>
      <c r="Z8" s="629"/>
      <c r="AA8" s="629"/>
      <c r="AB8" s="629"/>
      <c r="AC8" s="629"/>
      <c r="AD8" s="834"/>
      <c r="AE8" s="793"/>
      <c r="AF8" s="793"/>
      <c r="AG8" s="793"/>
      <c r="AH8" s="793"/>
      <c r="AI8" s="793"/>
      <c r="AJ8" s="793"/>
      <c r="AK8" s="793"/>
      <c r="AL8" s="793"/>
      <c r="AM8" s="630"/>
      <c r="AN8" s="630"/>
      <c r="AO8" s="630"/>
      <c r="AP8" s="630"/>
      <c r="AQ8" s="630"/>
      <c r="AR8" s="630"/>
      <c r="AS8" s="630"/>
    </row>
    <row r="9" spans="1:45" s="616" customFormat="1" ht="127.5" customHeight="1">
      <c r="A9" s="2083" t="s">
        <v>498</v>
      </c>
      <c r="B9" s="835" t="s">
        <v>236</v>
      </c>
      <c r="C9" s="835" t="s">
        <v>176</v>
      </c>
      <c r="D9" s="836"/>
      <c r="E9" s="836"/>
      <c r="F9" s="836"/>
      <c r="G9" s="836"/>
      <c r="H9" s="837"/>
      <c r="I9" s="836" t="s">
        <v>300</v>
      </c>
      <c r="J9" s="838" t="s">
        <v>168</v>
      </c>
      <c r="K9" s="1639"/>
      <c r="L9" s="632">
        <v>18950</v>
      </c>
      <c r="M9" s="633">
        <v>5413</v>
      </c>
      <c r="N9" s="1020">
        <f>L9+M9</f>
        <v>24363</v>
      </c>
      <c r="O9" s="1848">
        <v>1395</v>
      </c>
      <c r="P9" s="839">
        <v>5072</v>
      </c>
      <c r="Q9" s="845">
        <f>O9+P9</f>
        <v>6467</v>
      </c>
      <c r="R9" s="1974"/>
      <c r="S9" s="839">
        <f aca="true" t="shared" si="0" ref="S9:T11">L9-O9</f>
        <v>17555</v>
      </c>
      <c r="T9" s="842">
        <f t="shared" si="0"/>
        <v>341</v>
      </c>
      <c r="U9" s="982">
        <f>SUM(S9:T9)</f>
        <v>17896</v>
      </c>
      <c r="V9" s="1823">
        <f>26502-23625</f>
        <v>2877</v>
      </c>
      <c r="W9" s="839">
        <v>0</v>
      </c>
      <c r="X9" s="845">
        <f>SUM(V9:W9)</f>
        <v>2877</v>
      </c>
      <c r="Y9" s="1807">
        <v>0</v>
      </c>
      <c r="Z9" s="845">
        <v>0</v>
      </c>
      <c r="AA9" s="840"/>
      <c r="AB9" s="839">
        <f aca="true" t="shared" si="1" ref="AB9:AD11">SUM(V9,Y9)</f>
        <v>2877</v>
      </c>
      <c r="AC9" s="839">
        <f t="shared" si="1"/>
        <v>0</v>
      </c>
      <c r="AD9" s="846">
        <f t="shared" si="1"/>
        <v>2877</v>
      </c>
      <c r="AE9" s="725"/>
      <c r="AF9" s="725"/>
      <c r="AG9" s="725"/>
      <c r="AH9" s="847"/>
      <c r="AI9" s="847"/>
      <c r="AJ9" s="847"/>
      <c r="AK9" s="725"/>
      <c r="AL9" s="725"/>
      <c r="AM9" s="725"/>
      <c r="AN9" s="725"/>
      <c r="AO9" s="725"/>
      <c r="AP9" s="725"/>
      <c r="AQ9" s="725"/>
      <c r="AR9" s="725"/>
      <c r="AS9" s="725"/>
    </row>
    <row r="10" spans="1:45" s="616" customFormat="1" ht="27.75" customHeight="1">
      <c r="A10" s="2112"/>
      <c r="B10" s="848"/>
      <c r="C10" s="848"/>
      <c r="D10" s="849"/>
      <c r="E10" s="849"/>
      <c r="F10" s="849"/>
      <c r="G10" s="849"/>
      <c r="H10" s="850"/>
      <c r="I10" s="849"/>
      <c r="J10" s="851" t="s">
        <v>183</v>
      </c>
      <c r="K10" s="1640"/>
      <c r="L10" s="636">
        <v>0</v>
      </c>
      <c r="M10" s="637"/>
      <c r="N10" s="1842">
        <f aca="true" t="shared" si="2" ref="N10:N52">L10+M10</f>
        <v>0</v>
      </c>
      <c r="O10" s="1849">
        <v>0</v>
      </c>
      <c r="P10" s="685">
        <v>0</v>
      </c>
      <c r="Q10" s="851">
        <f>O10+P10</f>
        <v>0</v>
      </c>
      <c r="R10" s="1975"/>
      <c r="S10" s="852">
        <f t="shared" si="0"/>
        <v>0</v>
      </c>
      <c r="T10" s="852">
        <f t="shared" si="0"/>
        <v>0</v>
      </c>
      <c r="U10" s="854">
        <f aca="true" t="shared" si="3" ref="U10:U52">S10+T10</f>
        <v>0</v>
      </c>
      <c r="V10" s="852">
        <v>0</v>
      </c>
      <c r="W10" s="852">
        <v>0</v>
      </c>
      <c r="X10" s="852"/>
      <c r="Y10" s="1817">
        <v>0</v>
      </c>
      <c r="Z10" s="854">
        <v>0</v>
      </c>
      <c r="AA10" s="853"/>
      <c r="AB10" s="685">
        <f t="shared" si="1"/>
        <v>0</v>
      </c>
      <c r="AC10" s="685">
        <f t="shared" si="1"/>
        <v>0</v>
      </c>
      <c r="AD10" s="686">
        <f t="shared" si="1"/>
        <v>0</v>
      </c>
      <c r="AE10" s="725"/>
      <c r="AF10" s="725"/>
      <c r="AG10" s="725"/>
      <c r="AH10" s="847"/>
      <c r="AI10" s="847"/>
      <c r="AJ10" s="847"/>
      <c r="AK10" s="725"/>
      <c r="AL10" s="725"/>
      <c r="AM10" s="725"/>
      <c r="AN10" s="725"/>
      <c r="AO10" s="725"/>
      <c r="AP10" s="725"/>
      <c r="AQ10" s="725"/>
      <c r="AR10" s="725"/>
      <c r="AS10" s="725"/>
    </row>
    <row r="11" spans="1:45" s="825" customFormat="1" ht="137.25" customHeight="1">
      <c r="A11" s="2112"/>
      <c r="B11" s="855" t="s">
        <v>430</v>
      </c>
      <c r="C11" s="856"/>
      <c r="D11" s="856"/>
      <c r="E11" s="856"/>
      <c r="F11" s="856"/>
      <c r="G11" s="856"/>
      <c r="H11" s="857" t="s">
        <v>167</v>
      </c>
      <c r="I11" s="857"/>
      <c r="J11" s="856"/>
      <c r="K11" s="1641" t="s">
        <v>350</v>
      </c>
      <c r="L11" s="676">
        <f aca="true" t="shared" si="4" ref="L11:Q11">SUM(L9:L10)</f>
        <v>18950</v>
      </c>
      <c r="M11" s="677">
        <f>SUM(M9:M10)</f>
        <v>5413</v>
      </c>
      <c r="N11" s="1816">
        <f t="shared" si="4"/>
        <v>24363</v>
      </c>
      <c r="O11" s="677">
        <f t="shared" si="4"/>
        <v>1395</v>
      </c>
      <c r="P11" s="677">
        <f t="shared" si="4"/>
        <v>5072</v>
      </c>
      <c r="Q11" s="641">
        <f t="shared" si="4"/>
        <v>6467</v>
      </c>
      <c r="R11" s="1128" t="s">
        <v>334</v>
      </c>
      <c r="S11" s="677">
        <f t="shared" si="0"/>
        <v>17555</v>
      </c>
      <c r="T11" s="677">
        <f t="shared" si="0"/>
        <v>341</v>
      </c>
      <c r="U11" s="641">
        <f>SUM(U9:U10)</f>
        <v>17896</v>
      </c>
      <c r="V11" s="677">
        <f>SUM(V9:V10)</f>
        <v>2877</v>
      </c>
      <c r="W11" s="677">
        <f>SUM(W9:W10)</f>
        <v>0</v>
      </c>
      <c r="X11" s="875">
        <f>SUM(V11:W11)</f>
        <v>2877</v>
      </c>
      <c r="Y11" s="643">
        <v>0</v>
      </c>
      <c r="Z11" s="641">
        <v>0</v>
      </c>
      <c r="AA11" s="877"/>
      <c r="AB11" s="668">
        <f t="shared" si="1"/>
        <v>2877</v>
      </c>
      <c r="AC11" s="668">
        <f t="shared" si="1"/>
        <v>0</v>
      </c>
      <c r="AD11" s="672">
        <f t="shared" si="1"/>
        <v>2877</v>
      </c>
      <c r="AE11" s="769"/>
      <c r="AF11" s="769"/>
      <c r="AG11" s="769"/>
      <c r="AH11" s="847"/>
      <c r="AI11" s="847"/>
      <c r="AJ11" s="847"/>
      <c r="AK11" s="769"/>
      <c r="AL11" s="769"/>
      <c r="AM11" s="769"/>
      <c r="AN11" s="769"/>
      <c r="AO11" s="769"/>
      <c r="AP11" s="769"/>
      <c r="AQ11" s="769"/>
      <c r="AR11" s="769"/>
      <c r="AS11" s="769"/>
    </row>
    <row r="12" spans="1:45" s="751" customFormat="1" ht="30.75" customHeight="1">
      <c r="A12" s="2113"/>
      <c r="B12" s="860" t="s">
        <v>333</v>
      </c>
      <c r="C12" s="861"/>
      <c r="D12" s="861"/>
      <c r="E12" s="862"/>
      <c r="F12" s="862"/>
      <c r="G12" s="862"/>
      <c r="H12" s="863"/>
      <c r="I12" s="860"/>
      <c r="J12" s="864"/>
      <c r="K12" s="1642"/>
      <c r="L12" s="650">
        <f aca="true" t="shared" si="5" ref="L12:Q12">SUM(L11)</f>
        <v>18950</v>
      </c>
      <c r="M12" s="651">
        <f t="shared" si="5"/>
        <v>5413</v>
      </c>
      <c r="N12" s="654">
        <f t="shared" si="5"/>
        <v>24363</v>
      </c>
      <c r="O12" s="651">
        <f t="shared" si="5"/>
        <v>1395</v>
      </c>
      <c r="P12" s="865">
        <f t="shared" si="5"/>
        <v>5072</v>
      </c>
      <c r="Q12" s="865">
        <f t="shared" si="5"/>
        <v>6467</v>
      </c>
      <c r="R12" s="865"/>
      <c r="S12" s="651">
        <f aca="true" t="shared" si="6" ref="S12:AD12">S11</f>
        <v>17555</v>
      </c>
      <c r="T12" s="651">
        <f t="shared" si="6"/>
        <v>341</v>
      </c>
      <c r="U12" s="651">
        <f>SUM(S12:T12)</f>
        <v>17896</v>
      </c>
      <c r="V12" s="865">
        <f>SUM(V11:V11)</f>
        <v>2877</v>
      </c>
      <c r="W12" s="865">
        <f>SUM(W11:W11)</f>
        <v>0</v>
      </c>
      <c r="X12" s="865">
        <f>SUM(X11:X11)</f>
        <v>2877</v>
      </c>
      <c r="Y12" s="1818">
        <f t="shared" si="6"/>
        <v>0</v>
      </c>
      <c r="Z12" s="865">
        <f t="shared" si="6"/>
        <v>0</v>
      </c>
      <c r="AA12" s="1827">
        <f t="shared" si="6"/>
        <v>0</v>
      </c>
      <c r="AB12" s="866">
        <f t="shared" si="6"/>
        <v>2877</v>
      </c>
      <c r="AC12" s="866">
        <f t="shared" si="6"/>
        <v>0</v>
      </c>
      <c r="AD12" s="867">
        <f t="shared" si="6"/>
        <v>2877</v>
      </c>
      <c r="AE12" s="781"/>
      <c r="AF12" s="769"/>
      <c r="AG12" s="769"/>
      <c r="AH12" s="847"/>
      <c r="AI12" s="847"/>
      <c r="AJ12" s="847"/>
      <c r="AK12" s="769"/>
      <c r="AL12" s="769"/>
      <c r="AM12" s="750"/>
      <c r="AN12" s="750"/>
      <c r="AO12" s="750"/>
      <c r="AP12" s="750"/>
      <c r="AQ12" s="750"/>
      <c r="AR12" s="750"/>
      <c r="AS12" s="750"/>
    </row>
    <row r="13" spans="1:45" s="616" customFormat="1" ht="206.25" customHeight="1">
      <c r="A13" s="1885" t="s">
        <v>548</v>
      </c>
      <c r="B13" s="1903" t="s">
        <v>499</v>
      </c>
      <c r="C13" s="804" t="s">
        <v>176</v>
      </c>
      <c r="D13" s="804" t="s">
        <v>176</v>
      </c>
      <c r="E13" s="804"/>
      <c r="F13" s="804"/>
      <c r="G13" s="804"/>
      <c r="H13" s="1799"/>
      <c r="I13" s="1799" t="s">
        <v>301</v>
      </c>
      <c r="J13" s="1800" t="s">
        <v>168</v>
      </c>
      <c r="K13" s="1741"/>
      <c r="L13" s="689"/>
      <c r="M13" s="690"/>
      <c r="N13" s="1845">
        <f t="shared" si="2"/>
        <v>0</v>
      </c>
      <c r="O13" s="693"/>
      <c r="P13" s="693"/>
      <c r="Q13" s="1158">
        <f aca="true" t="shared" si="7" ref="Q13:Q18">O13+P13</f>
        <v>0</v>
      </c>
      <c r="R13" s="1968"/>
      <c r="S13" s="693">
        <v>0</v>
      </c>
      <c r="T13" s="885">
        <v>0</v>
      </c>
      <c r="U13" s="980">
        <f t="shared" si="3"/>
        <v>0</v>
      </c>
      <c r="V13" s="693"/>
      <c r="W13" s="693"/>
      <c r="X13" s="693"/>
      <c r="Y13" s="1810"/>
      <c r="Z13" s="1158"/>
      <c r="AA13" s="694"/>
      <c r="AB13" s="693">
        <f aca="true" t="shared" si="8" ref="AB13:AD18">SUM(V13,Y13)</f>
        <v>0</v>
      </c>
      <c r="AC13" s="693">
        <f t="shared" si="8"/>
        <v>0</v>
      </c>
      <c r="AD13" s="727">
        <f t="shared" si="8"/>
        <v>0</v>
      </c>
      <c r="AE13" s="725"/>
      <c r="AF13" s="725"/>
      <c r="AG13" s="725"/>
      <c r="AH13" s="847"/>
      <c r="AI13" s="847"/>
      <c r="AJ13" s="847"/>
      <c r="AK13" s="725"/>
      <c r="AL13" s="725"/>
      <c r="AM13" s="725"/>
      <c r="AN13" s="725"/>
      <c r="AO13" s="725"/>
      <c r="AP13" s="725"/>
      <c r="AQ13" s="725"/>
      <c r="AR13" s="725"/>
      <c r="AS13" s="725"/>
    </row>
    <row r="14" spans="1:45" s="616" customFormat="1" ht="39" customHeight="1">
      <c r="A14" s="2083" t="s">
        <v>601</v>
      </c>
      <c r="B14" s="1886" t="s">
        <v>431</v>
      </c>
      <c r="C14" s="1887"/>
      <c r="D14" s="1887"/>
      <c r="E14" s="1887"/>
      <c r="F14" s="1887"/>
      <c r="G14" s="1887"/>
      <c r="H14" s="1888" t="s">
        <v>167</v>
      </c>
      <c r="I14" s="1888"/>
      <c r="J14" s="1889"/>
      <c r="K14" s="1890" t="s">
        <v>350</v>
      </c>
      <c r="L14" s="1891">
        <v>35600</v>
      </c>
      <c r="M14" s="1892">
        <v>47985</v>
      </c>
      <c r="N14" s="1893">
        <f t="shared" si="2"/>
        <v>83585</v>
      </c>
      <c r="O14" s="1894">
        <v>82705</v>
      </c>
      <c r="P14" s="1892">
        <v>48703</v>
      </c>
      <c r="Q14" s="1895">
        <f t="shared" si="7"/>
        <v>131408</v>
      </c>
      <c r="R14" s="1976" t="s">
        <v>334</v>
      </c>
      <c r="S14" s="1894">
        <f>L14-O14</f>
        <v>-47105</v>
      </c>
      <c r="T14" s="1896">
        <f>M14-P14</f>
        <v>-718</v>
      </c>
      <c r="U14" s="1897">
        <f t="shared" si="3"/>
        <v>-47823</v>
      </c>
      <c r="V14" s="1898">
        <f>-23625+23625</f>
        <v>0</v>
      </c>
      <c r="W14" s="1896">
        <v>5072</v>
      </c>
      <c r="X14" s="1899">
        <f>SUM(V14:W14)</f>
        <v>5072</v>
      </c>
      <c r="Y14" s="1900">
        <v>0</v>
      </c>
      <c r="Z14" s="1897">
        <v>0</v>
      </c>
      <c r="AA14" s="1901">
        <f>SUM(Y14:Z14)</f>
        <v>0</v>
      </c>
      <c r="AB14" s="1894">
        <f t="shared" si="8"/>
        <v>0</v>
      </c>
      <c r="AC14" s="1894">
        <f t="shared" si="8"/>
        <v>5072</v>
      </c>
      <c r="AD14" s="1902">
        <f t="shared" si="8"/>
        <v>5072</v>
      </c>
      <c r="AE14" s="725"/>
      <c r="AF14" s="725"/>
      <c r="AG14" s="725"/>
      <c r="AH14" s="847"/>
      <c r="AI14" s="847"/>
      <c r="AJ14" s="847"/>
      <c r="AK14" s="725"/>
      <c r="AL14" s="725"/>
      <c r="AM14" s="725"/>
      <c r="AN14" s="725"/>
      <c r="AO14" s="725"/>
      <c r="AP14" s="725"/>
      <c r="AQ14" s="725"/>
      <c r="AR14" s="725"/>
      <c r="AS14" s="725"/>
    </row>
    <row r="15" spans="1:45" s="617" customFormat="1" ht="69.75" customHeight="1">
      <c r="A15" s="2088"/>
      <c r="B15" s="673" t="s">
        <v>232</v>
      </c>
      <c r="C15" s="673" t="s">
        <v>176</v>
      </c>
      <c r="D15" s="673"/>
      <c r="E15" s="673"/>
      <c r="F15" s="673"/>
      <c r="G15" s="673"/>
      <c r="H15" s="675"/>
      <c r="I15" s="658" t="s">
        <v>310</v>
      </c>
      <c r="J15" s="657" t="s">
        <v>183</v>
      </c>
      <c r="K15" s="1645"/>
      <c r="L15" s="632"/>
      <c r="M15" s="633"/>
      <c r="N15" s="1020">
        <f t="shared" si="2"/>
        <v>0</v>
      </c>
      <c r="O15" s="674"/>
      <c r="P15" s="659"/>
      <c r="Q15" s="845">
        <f t="shared" si="7"/>
        <v>0</v>
      </c>
      <c r="R15" s="673"/>
      <c r="S15" s="839">
        <f aca="true" t="shared" si="9" ref="S15:T17">L15-O15</f>
        <v>0</v>
      </c>
      <c r="T15" s="842">
        <f t="shared" si="9"/>
        <v>0</v>
      </c>
      <c r="U15" s="982">
        <f t="shared" si="3"/>
        <v>0</v>
      </c>
      <c r="V15" s="839"/>
      <c r="W15" s="659"/>
      <c r="X15" s="659"/>
      <c r="Y15" s="1819"/>
      <c r="Z15" s="845"/>
      <c r="AA15" s="935"/>
      <c r="AB15" s="839">
        <f t="shared" si="8"/>
        <v>0</v>
      </c>
      <c r="AC15" s="839">
        <f t="shared" si="8"/>
        <v>0</v>
      </c>
      <c r="AD15" s="846">
        <f t="shared" si="8"/>
        <v>0</v>
      </c>
      <c r="AE15" s="725"/>
      <c r="AF15" s="725"/>
      <c r="AG15" s="725"/>
      <c r="AH15" s="847"/>
      <c r="AI15" s="847"/>
      <c r="AJ15" s="847"/>
      <c r="AK15" s="725"/>
      <c r="AL15" s="725"/>
      <c r="AM15" s="635"/>
      <c r="AN15" s="635"/>
      <c r="AO15" s="635"/>
      <c r="AP15" s="635"/>
      <c r="AQ15" s="635"/>
      <c r="AR15" s="635"/>
      <c r="AS15" s="635"/>
    </row>
    <row r="16" spans="1:45" s="616" customFormat="1" ht="28.5" customHeight="1">
      <c r="A16" s="2088"/>
      <c r="B16" s="872" t="s">
        <v>431</v>
      </c>
      <c r="C16" s="873"/>
      <c r="D16" s="873"/>
      <c r="E16" s="873"/>
      <c r="F16" s="873"/>
      <c r="G16" s="873"/>
      <c r="H16" s="857" t="s">
        <v>167</v>
      </c>
      <c r="I16" s="857"/>
      <c r="J16" s="856"/>
      <c r="K16" s="1644" t="s">
        <v>350</v>
      </c>
      <c r="L16" s="676">
        <v>10000</v>
      </c>
      <c r="M16" s="677">
        <v>1500</v>
      </c>
      <c r="N16" s="1816">
        <f>L16+M16</f>
        <v>11500</v>
      </c>
      <c r="O16" s="677">
        <v>3947</v>
      </c>
      <c r="P16" s="668">
        <v>0</v>
      </c>
      <c r="Q16" s="875">
        <f t="shared" si="7"/>
        <v>3947</v>
      </c>
      <c r="R16" s="1128" t="s">
        <v>334</v>
      </c>
      <c r="S16" s="668">
        <f t="shared" si="9"/>
        <v>6053</v>
      </c>
      <c r="T16" s="874">
        <f t="shared" si="9"/>
        <v>1500</v>
      </c>
      <c r="U16" s="876">
        <f>S16+T16</f>
        <v>7553</v>
      </c>
      <c r="V16" s="668">
        <v>13112</v>
      </c>
      <c r="W16" s="874">
        <v>0</v>
      </c>
      <c r="X16" s="875">
        <f>SUM(V16:W16)</f>
        <v>13112</v>
      </c>
      <c r="Y16" s="1805">
        <v>0</v>
      </c>
      <c r="Z16" s="876">
        <v>0</v>
      </c>
      <c r="AA16" s="877">
        <f>SUM(Y16:Z16)</f>
        <v>0</v>
      </c>
      <c r="AB16" s="668">
        <f t="shared" si="8"/>
        <v>13112</v>
      </c>
      <c r="AC16" s="668">
        <f t="shared" si="8"/>
        <v>0</v>
      </c>
      <c r="AD16" s="672">
        <f t="shared" si="8"/>
        <v>13112</v>
      </c>
      <c r="AE16" s="725"/>
      <c r="AF16" s="725"/>
      <c r="AG16" s="725"/>
      <c r="AH16" s="847"/>
      <c r="AI16" s="847"/>
      <c r="AJ16" s="847"/>
      <c r="AK16" s="725"/>
      <c r="AL16" s="725"/>
      <c r="AM16" s="725"/>
      <c r="AN16" s="725"/>
      <c r="AO16" s="725"/>
      <c r="AP16" s="725"/>
      <c r="AQ16" s="725"/>
      <c r="AR16" s="725"/>
      <c r="AS16" s="725"/>
    </row>
    <row r="17" spans="1:45" s="617" customFormat="1" ht="124.5" customHeight="1">
      <c r="A17" s="2088"/>
      <c r="B17" s="673" t="s">
        <v>234</v>
      </c>
      <c r="C17" s="673" t="s">
        <v>176</v>
      </c>
      <c r="D17" s="673" t="s">
        <v>176</v>
      </c>
      <c r="E17" s="673" t="s">
        <v>176</v>
      </c>
      <c r="F17" s="673" t="s">
        <v>176</v>
      </c>
      <c r="G17" s="673"/>
      <c r="H17" s="675"/>
      <c r="I17" s="658" t="s">
        <v>218</v>
      </c>
      <c r="J17" s="657" t="s">
        <v>179</v>
      </c>
      <c r="K17" s="1645"/>
      <c r="L17" s="632"/>
      <c r="M17" s="633"/>
      <c r="N17" s="1020">
        <f t="shared" si="2"/>
        <v>0</v>
      </c>
      <c r="O17" s="839"/>
      <c r="P17" s="659"/>
      <c r="Q17" s="845">
        <f t="shared" si="7"/>
        <v>0</v>
      </c>
      <c r="R17" s="1977"/>
      <c r="S17" s="839">
        <f t="shared" si="9"/>
        <v>0</v>
      </c>
      <c r="T17" s="842">
        <f t="shared" si="9"/>
        <v>0</v>
      </c>
      <c r="U17" s="982">
        <f t="shared" si="3"/>
        <v>0</v>
      </c>
      <c r="V17" s="839"/>
      <c r="W17" s="659"/>
      <c r="X17" s="659"/>
      <c r="Y17" s="1819"/>
      <c r="Z17" s="845"/>
      <c r="AA17" s="935"/>
      <c r="AB17" s="839">
        <f t="shared" si="8"/>
        <v>0</v>
      </c>
      <c r="AC17" s="839">
        <f t="shared" si="8"/>
        <v>0</v>
      </c>
      <c r="AD17" s="846">
        <f t="shared" si="8"/>
        <v>0</v>
      </c>
      <c r="AE17" s="725"/>
      <c r="AF17" s="725"/>
      <c r="AG17" s="725"/>
      <c r="AH17" s="847"/>
      <c r="AI17" s="847"/>
      <c r="AJ17" s="847"/>
      <c r="AK17" s="725"/>
      <c r="AL17" s="725"/>
      <c r="AM17" s="635"/>
      <c r="AN17" s="635"/>
      <c r="AO17" s="635"/>
      <c r="AP17" s="635"/>
      <c r="AQ17" s="635"/>
      <c r="AR17" s="635"/>
      <c r="AS17" s="635"/>
    </row>
    <row r="18" spans="1:45" s="616" customFormat="1" ht="33.75" customHeight="1">
      <c r="A18" s="2089"/>
      <c r="B18" s="872" t="s">
        <v>434</v>
      </c>
      <c r="C18" s="873"/>
      <c r="D18" s="873"/>
      <c r="E18" s="873"/>
      <c r="F18" s="873"/>
      <c r="G18" s="873"/>
      <c r="H18" s="857" t="s">
        <v>167</v>
      </c>
      <c r="I18" s="857"/>
      <c r="J18" s="856"/>
      <c r="K18" s="1644" t="s">
        <v>185</v>
      </c>
      <c r="L18" s="676">
        <v>35000</v>
      </c>
      <c r="M18" s="677">
        <v>25000</v>
      </c>
      <c r="N18" s="1816">
        <f>L18+M18</f>
        <v>60000</v>
      </c>
      <c r="O18" s="668">
        <v>40507</v>
      </c>
      <c r="P18" s="668">
        <f>M18-3603</f>
        <v>21397</v>
      </c>
      <c r="Q18" s="875">
        <f t="shared" si="7"/>
        <v>61904</v>
      </c>
      <c r="R18" s="1128" t="s">
        <v>335</v>
      </c>
      <c r="S18" s="668">
        <f>L18-O18</f>
        <v>-5507</v>
      </c>
      <c r="T18" s="874">
        <f>M18-P18</f>
        <v>3603</v>
      </c>
      <c r="U18" s="876">
        <f t="shared" si="3"/>
        <v>-1904</v>
      </c>
      <c r="V18" s="668">
        <v>57707</v>
      </c>
      <c r="W18" s="874">
        <v>11800</v>
      </c>
      <c r="X18" s="875">
        <f>SUM(V18:W18)</f>
        <v>69507</v>
      </c>
      <c r="Y18" s="1805">
        <v>0</v>
      </c>
      <c r="Z18" s="876">
        <v>0</v>
      </c>
      <c r="AA18" s="877">
        <f>SUM(Y18:Z18)</f>
        <v>0</v>
      </c>
      <c r="AB18" s="685">
        <f t="shared" si="8"/>
        <v>57707</v>
      </c>
      <c r="AC18" s="685">
        <f t="shared" si="8"/>
        <v>11800</v>
      </c>
      <c r="AD18" s="686">
        <f t="shared" si="8"/>
        <v>69507</v>
      </c>
      <c r="AE18" s="725"/>
      <c r="AF18" s="725"/>
      <c r="AG18" s="725"/>
      <c r="AH18" s="847"/>
      <c r="AI18" s="847"/>
      <c r="AJ18" s="847"/>
      <c r="AK18" s="725"/>
      <c r="AL18" s="725"/>
      <c r="AM18" s="725"/>
      <c r="AN18" s="725"/>
      <c r="AO18" s="725"/>
      <c r="AP18" s="725"/>
      <c r="AQ18" s="725"/>
      <c r="AR18" s="725"/>
      <c r="AS18" s="725"/>
    </row>
    <row r="19" spans="1:45" s="751" customFormat="1" ht="30.75" customHeight="1">
      <c r="A19" s="646"/>
      <c r="B19" s="647" t="s">
        <v>336</v>
      </c>
      <c r="C19" s="648"/>
      <c r="D19" s="648"/>
      <c r="E19" s="648"/>
      <c r="F19" s="648"/>
      <c r="G19" s="648"/>
      <c r="H19" s="697"/>
      <c r="I19" s="649"/>
      <c r="J19" s="649"/>
      <c r="K19" s="1642"/>
      <c r="L19" s="650">
        <f aca="true" t="shared" si="10" ref="L19:AD19">SUM(L13:L18)</f>
        <v>80600</v>
      </c>
      <c r="M19" s="651">
        <f t="shared" si="10"/>
        <v>74485</v>
      </c>
      <c r="N19" s="654">
        <f t="shared" si="10"/>
        <v>155085</v>
      </c>
      <c r="O19" s="651">
        <f t="shared" si="10"/>
        <v>127159</v>
      </c>
      <c r="P19" s="651">
        <f t="shared" si="10"/>
        <v>70100</v>
      </c>
      <c r="Q19" s="651">
        <f t="shared" si="10"/>
        <v>197259</v>
      </c>
      <c r="R19" s="651">
        <f t="shared" si="10"/>
        <v>0</v>
      </c>
      <c r="S19" s="651">
        <f t="shared" si="10"/>
        <v>-46559</v>
      </c>
      <c r="T19" s="651">
        <f t="shared" si="10"/>
        <v>4385</v>
      </c>
      <c r="U19" s="651">
        <f t="shared" si="10"/>
        <v>-42174</v>
      </c>
      <c r="V19" s="1180">
        <f t="shared" si="10"/>
        <v>70819</v>
      </c>
      <c r="W19" s="1180">
        <f t="shared" si="10"/>
        <v>16872</v>
      </c>
      <c r="X19" s="1180">
        <f t="shared" si="10"/>
        <v>87691</v>
      </c>
      <c r="Y19" s="1820">
        <f t="shared" si="10"/>
        <v>0</v>
      </c>
      <c r="Z19" s="1180">
        <f t="shared" si="10"/>
        <v>0</v>
      </c>
      <c r="AA19" s="1828">
        <f t="shared" si="10"/>
        <v>0</v>
      </c>
      <c r="AB19" s="1593">
        <f t="shared" si="10"/>
        <v>70819</v>
      </c>
      <c r="AC19" s="1593">
        <f t="shared" si="10"/>
        <v>16872</v>
      </c>
      <c r="AD19" s="1594">
        <f t="shared" si="10"/>
        <v>87691</v>
      </c>
      <c r="AE19" s="781"/>
      <c r="AF19" s="769"/>
      <c r="AG19" s="769"/>
      <c r="AH19" s="847"/>
      <c r="AI19" s="847"/>
      <c r="AJ19" s="847"/>
      <c r="AK19" s="769"/>
      <c r="AL19" s="769"/>
      <c r="AM19" s="750"/>
      <c r="AN19" s="750"/>
      <c r="AO19" s="750"/>
      <c r="AP19" s="750"/>
      <c r="AQ19" s="750"/>
      <c r="AR19" s="750"/>
      <c r="AS19" s="750"/>
    </row>
    <row r="20" spans="1:45" s="617" customFormat="1" ht="48" customHeight="1">
      <c r="A20" s="2141" t="s">
        <v>549</v>
      </c>
      <c r="B20" s="835" t="s">
        <v>40</v>
      </c>
      <c r="C20" s="835" t="s">
        <v>176</v>
      </c>
      <c r="D20" s="835" t="s">
        <v>176</v>
      </c>
      <c r="E20" s="835" t="s">
        <v>176</v>
      </c>
      <c r="F20" s="835"/>
      <c r="G20" s="835"/>
      <c r="H20" s="879" t="s">
        <v>167</v>
      </c>
      <c r="I20" s="836" t="s">
        <v>316</v>
      </c>
      <c r="J20" s="838" t="s">
        <v>183</v>
      </c>
      <c r="K20" s="1643"/>
      <c r="L20" s="632"/>
      <c r="M20" s="633"/>
      <c r="N20" s="1020">
        <f t="shared" si="2"/>
        <v>0</v>
      </c>
      <c r="O20" s="839"/>
      <c r="P20" s="839"/>
      <c r="Q20" s="845">
        <f aca="true" t="shared" si="11" ref="Q20:Q25">O20+P20</f>
        <v>0</v>
      </c>
      <c r="R20" s="838"/>
      <c r="S20" s="839">
        <f aca="true" t="shared" si="12" ref="S20:T24">L20-O20</f>
        <v>0</v>
      </c>
      <c r="T20" s="842">
        <f t="shared" si="12"/>
        <v>0</v>
      </c>
      <c r="U20" s="982">
        <f t="shared" si="3"/>
        <v>0</v>
      </c>
      <c r="V20" s="715"/>
      <c r="W20" s="715"/>
      <c r="X20" s="1824"/>
      <c r="Y20" s="1806"/>
      <c r="Z20" s="880"/>
      <c r="AA20" s="1829"/>
      <c r="AB20" s="1834"/>
      <c r="AC20" s="881"/>
      <c r="AD20" s="882"/>
      <c r="AE20" s="725"/>
      <c r="AF20" s="725"/>
      <c r="AG20" s="725"/>
      <c r="AH20" s="847"/>
      <c r="AI20" s="847"/>
      <c r="AJ20" s="847"/>
      <c r="AK20" s="725"/>
      <c r="AL20" s="725"/>
      <c r="AM20" s="635"/>
      <c r="AN20" s="635"/>
      <c r="AO20" s="635"/>
      <c r="AP20" s="635"/>
      <c r="AQ20" s="635"/>
      <c r="AR20" s="635"/>
      <c r="AS20" s="635"/>
    </row>
    <row r="21" spans="1:38" s="635" customFormat="1" ht="27.75" customHeight="1">
      <c r="A21" s="2142"/>
      <c r="B21" s="872" t="s">
        <v>435</v>
      </c>
      <c r="C21" s="883"/>
      <c r="D21" s="883"/>
      <c r="E21" s="883"/>
      <c r="F21" s="883"/>
      <c r="G21" s="883"/>
      <c r="H21" s="857"/>
      <c r="I21" s="857"/>
      <c r="J21" s="856"/>
      <c r="K21" s="1644" t="s">
        <v>185</v>
      </c>
      <c r="L21" s="676">
        <v>18000</v>
      </c>
      <c r="M21" s="677">
        <v>2000</v>
      </c>
      <c r="N21" s="1816">
        <f t="shared" si="2"/>
        <v>20000</v>
      </c>
      <c r="O21" s="668">
        <v>0</v>
      </c>
      <c r="P21" s="668">
        <v>0</v>
      </c>
      <c r="Q21" s="875">
        <f t="shared" si="11"/>
        <v>0</v>
      </c>
      <c r="R21" s="1128" t="s">
        <v>335</v>
      </c>
      <c r="S21" s="668">
        <f>L21-O21</f>
        <v>18000</v>
      </c>
      <c r="T21" s="874">
        <f>M21-P21</f>
        <v>2000</v>
      </c>
      <c r="U21" s="876">
        <f t="shared" si="3"/>
        <v>20000</v>
      </c>
      <c r="V21" s="1004">
        <f>34540-4540</f>
        <v>30000</v>
      </c>
      <c r="W21" s="874"/>
      <c r="X21" s="875">
        <f>SUM(V21:W21)</f>
        <v>30000</v>
      </c>
      <c r="Y21" s="1805">
        <v>0</v>
      </c>
      <c r="Z21" s="876">
        <v>0</v>
      </c>
      <c r="AA21" s="877">
        <v>0</v>
      </c>
      <c r="AB21" s="668">
        <f>V21+Y21</f>
        <v>30000</v>
      </c>
      <c r="AC21" s="874">
        <f>W21+Z21</f>
        <v>0</v>
      </c>
      <c r="AD21" s="672">
        <f>SUM(AB21:AC21)</f>
        <v>30000</v>
      </c>
      <c r="AE21" s="725"/>
      <c r="AF21" s="725"/>
      <c r="AG21" s="725"/>
      <c r="AH21" s="847"/>
      <c r="AI21" s="847"/>
      <c r="AJ21" s="847"/>
      <c r="AK21" s="725"/>
      <c r="AL21" s="725"/>
    </row>
    <row r="22" spans="1:38" s="635" customFormat="1" ht="111" customHeight="1">
      <c r="A22" s="2142"/>
      <c r="B22" s="835" t="s">
        <v>244</v>
      </c>
      <c r="C22" s="835" t="s">
        <v>176</v>
      </c>
      <c r="D22" s="835"/>
      <c r="E22" s="835"/>
      <c r="F22" s="835"/>
      <c r="G22" s="835"/>
      <c r="H22" s="879"/>
      <c r="I22" s="836"/>
      <c r="J22" s="838" t="s">
        <v>183</v>
      </c>
      <c r="K22" s="1643"/>
      <c r="L22" s="632"/>
      <c r="M22" s="633"/>
      <c r="N22" s="1020">
        <f t="shared" si="2"/>
        <v>0</v>
      </c>
      <c r="O22" s="839"/>
      <c r="P22" s="839"/>
      <c r="Q22" s="845">
        <f t="shared" si="11"/>
        <v>0</v>
      </c>
      <c r="R22" s="1978"/>
      <c r="S22" s="839">
        <f t="shared" si="12"/>
        <v>0</v>
      </c>
      <c r="T22" s="842">
        <f t="shared" si="12"/>
        <v>0</v>
      </c>
      <c r="U22" s="982">
        <f t="shared" si="3"/>
        <v>0</v>
      </c>
      <c r="V22" s="839"/>
      <c r="W22" s="839"/>
      <c r="X22" s="839"/>
      <c r="Y22" s="1807"/>
      <c r="Z22" s="845"/>
      <c r="AA22" s="935"/>
      <c r="AB22" s="839"/>
      <c r="AC22" s="842"/>
      <c r="AD22" s="846"/>
      <c r="AE22" s="725"/>
      <c r="AF22" s="725"/>
      <c r="AG22" s="725"/>
      <c r="AH22" s="847"/>
      <c r="AI22" s="847"/>
      <c r="AJ22" s="847"/>
      <c r="AK22" s="725"/>
      <c r="AL22" s="725"/>
    </row>
    <row r="23" spans="1:45" s="616" customFormat="1" ht="32.25" customHeight="1">
      <c r="A23" s="2142"/>
      <c r="B23" s="872" t="s">
        <v>437</v>
      </c>
      <c r="C23" s="873"/>
      <c r="D23" s="873"/>
      <c r="E23" s="873"/>
      <c r="F23" s="873"/>
      <c r="G23" s="873"/>
      <c r="H23" s="857"/>
      <c r="I23" s="857"/>
      <c r="J23" s="856"/>
      <c r="K23" s="1644" t="s">
        <v>185</v>
      </c>
      <c r="L23" s="676">
        <v>0</v>
      </c>
      <c r="M23" s="677">
        <v>0</v>
      </c>
      <c r="N23" s="1816">
        <f>SUM(L23:M23)</f>
        <v>0</v>
      </c>
      <c r="O23" s="668">
        <v>22919</v>
      </c>
      <c r="P23" s="668">
        <f>2994.33-1.55</f>
        <v>2992.7799999999997</v>
      </c>
      <c r="Q23" s="875">
        <f t="shared" si="11"/>
        <v>25911.78</v>
      </c>
      <c r="R23" s="1979" t="s">
        <v>335</v>
      </c>
      <c r="S23" s="668">
        <f>L23-O23</f>
        <v>-22919</v>
      </c>
      <c r="T23" s="874">
        <f>M23-P23</f>
        <v>-2992.7799999999997</v>
      </c>
      <c r="U23" s="876">
        <f>S23+T23</f>
        <v>-25911.78</v>
      </c>
      <c r="V23" s="1825">
        <f>-18102+4540+10000+3562+1290</f>
        <v>1290</v>
      </c>
      <c r="W23" s="874">
        <v>0</v>
      </c>
      <c r="X23" s="875">
        <f>SUM(V23:W23)</f>
        <v>1290</v>
      </c>
      <c r="Y23" s="1805">
        <v>0</v>
      </c>
      <c r="Z23" s="876">
        <v>0</v>
      </c>
      <c r="AA23" s="877">
        <f>SUM(Y23:Z23)</f>
        <v>0</v>
      </c>
      <c r="AB23" s="668">
        <f aca="true" t="shared" si="13" ref="AB23:AC25">V23+Y23</f>
        <v>1290</v>
      </c>
      <c r="AC23" s="874">
        <f t="shared" si="13"/>
        <v>0</v>
      </c>
      <c r="AD23" s="672">
        <f>SUM(AB23:AC23)</f>
        <v>1290</v>
      </c>
      <c r="AE23" s="725"/>
      <c r="AF23" s="725"/>
      <c r="AG23" s="725"/>
      <c r="AH23" s="847"/>
      <c r="AI23" s="847"/>
      <c r="AJ23" s="847"/>
      <c r="AK23" s="725"/>
      <c r="AL23" s="725"/>
      <c r="AM23" s="725"/>
      <c r="AN23" s="725"/>
      <c r="AO23" s="725"/>
      <c r="AP23" s="725"/>
      <c r="AQ23" s="725"/>
      <c r="AR23" s="725"/>
      <c r="AS23" s="725"/>
    </row>
    <row r="24" spans="1:45" s="617" customFormat="1" ht="81" customHeight="1">
      <c r="A24" s="2142"/>
      <c r="B24" s="835" t="s">
        <v>42</v>
      </c>
      <c r="C24" s="835"/>
      <c r="D24" s="835" t="s">
        <v>176</v>
      </c>
      <c r="E24" s="835" t="s">
        <v>176</v>
      </c>
      <c r="F24" s="835"/>
      <c r="G24" s="835"/>
      <c r="H24" s="879" t="s">
        <v>167</v>
      </c>
      <c r="I24" s="836" t="s">
        <v>414</v>
      </c>
      <c r="J24" s="838" t="s">
        <v>183</v>
      </c>
      <c r="K24" s="1643"/>
      <c r="L24" s="632"/>
      <c r="M24" s="633"/>
      <c r="N24" s="1020">
        <f>L24+M24</f>
        <v>0</v>
      </c>
      <c r="O24" s="839"/>
      <c r="P24" s="839"/>
      <c r="Q24" s="845">
        <f t="shared" si="11"/>
        <v>0</v>
      </c>
      <c r="R24" s="1978"/>
      <c r="S24" s="839">
        <f t="shared" si="12"/>
        <v>0</v>
      </c>
      <c r="T24" s="842">
        <f t="shared" si="12"/>
        <v>0</v>
      </c>
      <c r="U24" s="982">
        <f>S24+T24</f>
        <v>0</v>
      </c>
      <c r="V24" s="839"/>
      <c r="W24" s="839"/>
      <c r="X24" s="839"/>
      <c r="Y24" s="1807"/>
      <c r="Z24" s="845"/>
      <c r="AA24" s="935"/>
      <c r="AB24" s="839">
        <f t="shared" si="13"/>
        <v>0</v>
      </c>
      <c r="AC24" s="842">
        <f t="shared" si="13"/>
        <v>0</v>
      </c>
      <c r="AD24" s="846">
        <f>SUM(AB24:AC24)</f>
        <v>0</v>
      </c>
      <c r="AE24" s="725"/>
      <c r="AF24" s="725"/>
      <c r="AG24" s="725"/>
      <c r="AH24" s="847"/>
      <c r="AI24" s="847"/>
      <c r="AJ24" s="847"/>
      <c r="AK24" s="725"/>
      <c r="AL24" s="725"/>
      <c r="AM24" s="635"/>
      <c r="AN24" s="635"/>
      <c r="AO24" s="635"/>
      <c r="AP24" s="635"/>
      <c r="AQ24" s="635"/>
      <c r="AR24" s="635"/>
      <c r="AS24" s="635"/>
    </row>
    <row r="25" spans="1:45" s="617" customFormat="1" ht="38.25" customHeight="1">
      <c r="A25" s="2142"/>
      <c r="B25" s="872" t="s">
        <v>247</v>
      </c>
      <c r="C25" s="873"/>
      <c r="D25" s="873"/>
      <c r="E25" s="873"/>
      <c r="F25" s="873"/>
      <c r="G25" s="873"/>
      <c r="H25" s="857"/>
      <c r="I25" s="857"/>
      <c r="J25" s="856"/>
      <c r="K25" s="1644" t="s">
        <v>350</v>
      </c>
      <c r="L25" s="676">
        <v>46330</v>
      </c>
      <c r="M25" s="677">
        <v>3000</v>
      </c>
      <c r="N25" s="1816">
        <f>L25+M25</f>
        <v>49330</v>
      </c>
      <c r="O25" s="668">
        <v>0</v>
      </c>
      <c r="P25" s="668">
        <v>0</v>
      </c>
      <c r="Q25" s="875">
        <f t="shared" si="11"/>
        <v>0</v>
      </c>
      <c r="R25" s="1128" t="s">
        <v>334</v>
      </c>
      <c r="S25" s="668">
        <f>L25-O25</f>
        <v>46330</v>
      </c>
      <c r="T25" s="874">
        <f>M25-P25</f>
        <v>3000</v>
      </c>
      <c r="U25" s="876">
        <f>S25+T25</f>
        <v>49330</v>
      </c>
      <c r="V25" s="1825">
        <f>46330-1290</f>
        <v>45040</v>
      </c>
      <c r="W25" s="874">
        <f>3000-3000</f>
        <v>0</v>
      </c>
      <c r="X25" s="875">
        <f>SUM(V25:W25)</f>
        <v>45040</v>
      </c>
      <c r="Y25" s="1805">
        <v>0</v>
      </c>
      <c r="Z25" s="876"/>
      <c r="AA25" s="877">
        <f>SUM(Y25:Z25)</f>
        <v>0</v>
      </c>
      <c r="AB25" s="669">
        <f t="shared" si="13"/>
        <v>45040</v>
      </c>
      <c r="AC25" s="874">
        <f t="shared" si="13"/>
        <v>0</v>
      </c>
      <c r="AD25" s="672">
        <f>SUM(AB25:AC25)</f>
        <v>45040</v>
      </c>
      <c r="AE25" s="725"/>
      <c r="AF25" s="725"/>
      <c r="AG25" s="725"/>
      <c r="AH25" s="847"/>
      <c r="AI25" s="847"/>
      <c r="AJ25" s="847"/>
      <c r="AK25" s="725"/>
      <c r="AL25" s="725"/>
      <c r="AM25" s="635"/>
      <c r="AN25" s="635"/>
      <c r="AO25" s="635"/>
      <c r="AP25" s="635"/>
      <c r="AQ25" s="635"/>
      <c r="AR25" s="635"/>
      <c r="AS25" s="635"/>
    </row>
    <row r="26" spans="1:45" s="617" customFormat="1" ht="138" customHeight="1">
      <c r="A26" s="2142"/>
      <c r="B26" s="888" t="s">
        <v>44</v>
      </c>
      <c r="C26" s="888"/>
      <c r="D26" s="888" t="s">
        <v>176</v>
      </c>
      <c r="E26" s="888" t="s">
        <v>176</v>
      </c>
      <c r="F26" s="888"/>
      <c r="G26" s="888"/>
      <c r="H26" s="889" t="s">
        <v>167</v>
      </c>
      <c r="I26" s="890" t="s">
        <v>302</v>
      </c>
      <c r="J26" s="891" t="s">
        <v>183</v>
      </c>
      <c r="K26" s="1646"/>
      <c r="L26" s="703"/>
      <c r="M26" s="704"/>
      <c r="N26" s="1843"/>
      <c r="O26" s="708"/>
      <c r="P26" s="708"/>
      <c r="Q26" s="895"/>
      <c r="R26" s="888"/>
      <c r="S26" s="708"/>
      <c r="T26" s="894"/>
      <c r="U26" s="1841"/>
      <c r="V26" s="708"/>
      <c r="W26" s="708"/>
      <c r="X26" s="708"/>
      <c r="Y26" s="1821"/>
      <c r="Z26" s="895"/>
      <c r="AA26" s="1006"/>
      <c r="AB26" s="879"/>
      <c r="AC26" s="879"/>
      <c r="AD26" s="896"/>
      <c r="AE26" s="725"/>
      <c r="AF26" s="725"/>
      <c r="AG26" s="725"/>
      <c r="AH26" s="847"/>
      <c r="AI26" s="847"/>
      <c r="AJ26" s="847"/>
      <c r="AK26" s="725"/>
      <c r="AL26" s="725"/>
      <c r="AM26" s="635"/>
      <c r="AN26" s="635"/>
      <c r="AO26" s="635"/>
      <c r="AP26" s="635"/>
      <c r="AQ26" s="635"/>
      <c r="AR26" s="635"/>
      <c r="AS26" s="635"/>
    </row>
    <row r="27" spans="1:36" s="897" customFormat="1" ht="33.75" customHeight="1">
      <c r="A27" s="2142" t="s">
        <v>602</v>
      </c>
      <c r="B27" s="872" t="s">
        <v>439</v>
      </c>
      <c r="C27" s="883"/>
      <c r="D27" s="883"/>
      <c r="E27" s="883"/>
      <c r="F27" s="883"/>
      <c r="G27" s="883"/>
      <c r="H27" s="857"/>
      <c r="I27" s="857"/>
      <c r="J27" s="856"/>
      <c r="K27" s="1644" t="s">
        <v>350</v>
      </c>
      <c r="L27" s="676">
        <v>14932</v>
      </c>
      <c r="M27" s="677">
        <v>6316</v>
      </c>
      <c r="N27" s="1816">
        <f>SUM(L27:M27)</f>
        <v>21248</v>
      </c>
      <c r="O27" s="668">
        <v>0</v>
      </c>
      <c r="P27" s="668">
        <v>0</v>
      </c>
      <c r="Q27" s="875">
        <f aca="true" t="shared" si="14" ref="Q27:Q44">O27+P27</f>
        <v>0</v>
      </c>
      <c r="R27" s="1128" t="s">
        <v>334</v>
      </c>
      <c r="S27" s="668">
        <f>L27-O27</f>
        <v>14932</v>
      </c>
      <c r="T27" s="874">
        <f>M27-P27</f>
        <v>6316</v>
      </c>
      <c r="U27" s="876">
        <f t="shared" si="3"/>
        <v>21248</v>
      </c>
      <c r="V27" s="668">
        <v>14930</v>
      </c>
      <c r="W27" s="874">
        <f>6316-6316</f>
        <v>0</v>
      </c>
      <c r="X27" s="875">
        <f>SUM(V27:W27)</f>
        <v>14930</v>
      </c>
      <c r="Y27" s="1805">
        <v>0</v>
      </c>
      <c r="Z27" s="876">
        <v>0</v>
      </c>
      <c r="AA27" s="877">
        <f>SUM(Y27:Z27)</f>
        <v>0</v>
      </c>
      <c r="AB27" s="669">
        <f aca="true" t="shared" si="15" ref="AB27:AC31">V27+Y27</f>
        <v>14930</v>
      </c>
      <c r="AC27" s="874">
        <f t="shared" si="15"/>
        <v>0</v>
      </c>
      <c r="AD27" s="672">
        <f aca="true" t="shared" si="16" ref="AD27:AD34">SUM(AB27:AC27)</f>
        <v>14930</v>
      </c>
      <c r="AH27" s="847"/>
      <c r="AI27" s="847"/>
      <c r="AJ27" s="847"/>
    </row>
    <row r="28" spans="1:38" s="712" customFormat="1" ht="181.5" customHeight="1">
      <c r="A28" s="2142"/>
      <c r="B28" s="673" t="s">
        <v>45</v>
      </c>
      <c r="C28" s="673" t="s">
        <v>176</v>
      </c>
      <c r="D28" s="673" t="s">
        <v>176</v>
      </c>
      <c r="E28" s="673"/>
      <c r="F28" s="673"/>
      <c r="G28" s="673"/>
      <c r="H28" s="675" t="s">
        <v>167</v>
      </c>
      <c r="I28" s="658" t="s">
        <v>189</v>
      </c>
      <c r="J28" s="657" t="s">
        <v>153</v>
      </c>
      <c r="K28" s="1647"/>
      <c r="L28" s="632"/>
      <c r="M28" s="633"/>
      <c r="N28" s="1020">
        <f t="shared" si="2"/>
        <v>0</v>
      </c>
      <c r="O28" s="839"/>
      <c r="P28" s="659"/>
      <c r="Q28" s="845">
        <f t="shared" si="14"/>
        <v>0</v>
      </c>
      <c r="R28" s="673"/>
      <c r="S28" s="839">
        <f aca="true" t="shared" si="17" ref="S28:S43">L28-O28</f>
        <v>0</v>
      </c>
      <c r="T28" s="842">
        <f aca="true" t="shared" si="18" ref="T28:T43">M28-P28</f>
        <v>0</v>
      </c>
      <c r="U28" s="982">
        <f t="shared" si="3"/>
        <v>0</v>
      </c>
      <c r="V28" s="839"/>
      <c r="W28" s="659"/>
      <c r="X28" s="659"/>
      <c r="Y28" s="1807"/>
      <c r="Z28" s="845"/>
      <c r="AA28" s="1830"/>
      <c r="AB28" s="659">
        <f t="shared" si="15"/>
        <v>0</v>
      </c>
      <c r="AC28" s="660">
        <f t="shared" si="15"/>
        <v>0</v>
      </c>
      <c r="AD28" s="898">
        <f t="shared" si="16"/>
        <v>0</v>
      </c>
      <c r="AE28" s="897"/>
      <c r="AF28" s="897"/>
      <c r="AG28" s="897"/>
      <c r="AH28" s="847"/>
      <c r="AI28" s="847"/>
      <c r="AJ28" s="847"/>
      <c r="AK28" s="897"/>
      <c r="AL28" s="897"/>
    </row>
    <row r="29" spans="1:38" s="712" customFormat="1" ht="30" customHeight="1">
      <c r="A29" s="2142"/>
      <c r="B29" s="872" t="s">
        <v>439</v>
      </c>
      <c r="C29" s="883"/>
      <c r="D29" s="883"/>
      <c r="E29" s="883"/>
      <c r="F29" s="883"/>
      <c r="G29" s="883"/>
      <c r="H29" s="857"/>
      <c r="I29" s="857"/>
      <c r="J29" s="856"/>
      <c r="K29" s="1644" t="s">
        <v>372</v>
      </c>
      <c r="L29" s="676">
        <v>25000</v>
      </c>
      <c r="M29" s="677">
        <v>2799</v>
      </c>
      <c r="N29" s="1816">
        <f t="shared" si="2"/>
        <v>27799</v>
      </c>
      <c r="O29" s="668">
        <v>33947</v>
      </c>
      <c r="P29" s="1965">
        <v>2749</v>
      </c>
      <c r="Q29" s="875">
        <f t="shared" si="14"/>
        <v>36696</v>
      </c>
      <c r="R29" s="1128" t="s">
        <v>335</v>
      </c>
      <c r="S29" s="668">
        <f>L29-O29</f>
        <v>-8947</v>
      </c>
      <c r="T29" s="1966">
        <f>2799-2749</f>
        <v>50</v>
      </c>
      <c r="U29" s="876">
        <f t="shared" si="3"/>
        <v>-8897</v>
      </c>
      <c r="V29" s="1004">
        <f>-18254+18254</f>
        <v>0</v>
      </c>
      <c r="W29" s="1966">
        <f>2799-2749</f>
        <v>50</v>
      </c>
      <c r="X29" s="875">
        <f>SUM(V29:W29)</f>
        <v>50</v>
      </c>
      <c r="Y29" s="1805">
        <v>0</v>
      </c>
      <c r="Z29" s="876">
        <v>0</v>
      </c>
      <c r="AA29" s="877">
        <f>SUM(Y29:Z29)</f>
        <v>0</v>
      </c>
      <c r="AB29" s="669">
        <f t="shared" si="15"/>
        <v>0</v>
      </c>
      <c r="AC29" s="874">
        <f t="shared" si="15"/>
        <v>50</v>
      </c>
      <c r="AD29" s="672">
        <f t="shared" si="16"/>
        <v>50</v>
      </c>
      <c r="AE29" s="897"/>
      <c r="AF29" s="897"/>
      <c r="AG29" s="897"/>
      <c r="AH29" s="847"/>
      <c r="AI29" s="847"/>
      <c r="AJ29" s="847"/>
      <c r="AK29" s="897"/>
      <c r="AL29" s="897"/>
    </row>
    <row r="30" spans="1:38" s="712" customFormat="1" ht="93.75" customHeight="1">
      <c r="A30" s="2142"/>
      <c r="B30" s="835" t="s">
        <v>46</v>
      </c>
      <c r="C30" s="835"/>
      <c r="D30" s="835" t="s">
        <v>176</v>
      </c>
      <c r="E30" s="835"/>
      <c r="F30" s="835"/>
      <c r="G30" s="835"/>
      <c r="H30" s="879" t="s">
        <v>167</v>
      </c>
      <c r="I30" s="836" t="s">
        <v>303</v>
      </c>
      <c r="J30" s="838" t="s">
        <v>168</v>
      </c>
      <c r="K30" s="1643"/>
      <c r="L30" s="632"/>
      <c r="M30" s="633"/>
      <c r="N30" s="1020">
        <f t="shared" si="2"/>
        <v>0</v>
      </c>
      <c r="O30" s="839"/>
      <c r="P30" s="839"/>
      <c r="Q30" s="845">
        <f t="shared" si="14"/>
        <v>0</v>
      </c>
      <c r="R30" s="835"/>
      <c r="S30" s="839">
        <f t="shared" si="17"/>
        <v>0</v>
      </c>
      <c r="T30" s="842">
        <f t="shared" si="18"/>
        <v>0</v>
      </c>
      <c r="U30" s="982">
        <f t="shared" si="3"/>
        <v>0</v>
      </c>
      <c r="V30" s="715"/>
      <c r="W30" s="715"/>
      <c r="X30" s="715"/>
      <c r="Y30" s="1806"/>
      <c r="Z30" s="880"/>
      <c r="AA30" s="925"/>
      <c r="AB30" s="1835">
        <f t="shared" si="15"/>
        <v>0</v>
      </c>
      <c r="AC30" s="887">
        <f t="shared" si="15"/>
        <v>0</v>
      </c>
      <c r="AD30" s="900">
        <f t="shared" si="16"/>
        <v>0</v>
      </c>
      <c r="AE30" s="897"/>
      <c r="AF30" s="897"/>
      <c r="AG30" s="897"/>
      <c r="AH30" s="847"/>
      <c r="AI30" s="847"/>
      <c r="AJ30" s="847"/>
      <c r="AK30" s="897"/>
      <c r="AL30" s="897"/>
    </row>
    <row r="31" spans="1:45" s="617" customFormat="1" ht="34.5" customHeight="1">
      <c r="A31" s="2142"/>
      <c r="B31" s="872" t="s">
        <v>440</v>
      </c>
      <c r="C31" s="883"/>
      <c r="D31" s="883"/>
      <c r="E31" s="883"/>
      <c r="F31" s="883"/>
      <c r="G31" s="883"/>
      <c r="H31" s="857"/>
      <c r="I31" s="857"/>
      <c r="J31" s="856"/>
      <c r="K31" s="1644" t="s">
        <v>350</v>
      </c>
      <c r="L31" s="676">
        <v>30000</v>
      </c>
      <c r="M31" s="677">
        <v>11132</v>
      </c>
      <c r="N31" s="1816">
        <f t="shared" si="2"/>
        <v>41132</v>
      </c>
      <c r="O31" s="668">
        <v>30764</v>
      </c>
      <c r="P31" s="668">
        <v>22378</v>
      </c>
      <c r="Q31" s="875">
        <f t="shared" si="14"/>
        <v>53142</v>
      </c>
      <c r="R31" s="1128" t="s">
        <v>335</v>
      </c>
      <c r="S31" s="668">
        <f t="shared" si="17"/>
        <v>-764</v>
      </c>
      <c r="T31" s="874">
        <f t="shared" si="18"/>
        <v>-11246</v>
      </c>
      <c r="U31" s="876">
        <f t="shared" si="3"/>
        <v>-12010</v>
      </c>
      <c r="V31" s="1004">
        <f>24460-10000</f>
        <v>14460</v>
      </c>
      <c r="W31" s="874">
        <v>0</v>
      </c>
      <c r="X31" s="875">
        <f>SUM(V31:W31)</f>
        <v>14460</v>
      </c>
      <c r="Y31" s="1805">
        <v>0</v>
      </c>
      <c r="Z31" s="876">
        <v>0</v>
      </c>
      <c r="AA31" s="877">
        <f>SUM(Y31:Z31)</f>
        <v>0</v>
      </c>
      <c r="AB31" s="668">
        <f t="shared" si="15"/>
        <v>14460</v>
      </c>
      <c r="AC31" s="874">
        <f t="shared" si="15"/>
        <v>0</v>
      </c>
      <c r="AD31" s="672">
        <f t="shared" si="16"/>
        <v>14460</v>
      </c>
      <c r="AE31" s="725"/>
      <c r="AF31" s="725"/>
      <c r="AG31" s="725"/>
      <c r="AH31" s="847"/>
      <c r="AI31" s="847"/>
      <c r="AJ31" s="847"/>
      <c r="AK31" s="725"/>
      <c r="AL31" s="725"/>
      <c r="AM31" s="635"/>
      <c r="AN31" s="635"/>
      <c r="AO31" s="635"/>
      <c r="AP31" s="635"/>
      <c r="AQ31" s="635"/>
      <c r="AR31" s="635"/>
      <c r="AS31" s="635"/>
    </row>
    <row r="32" spans="1:45" s="617" customFormat="1" ht="166.5" customHeight="1">
      <c r="A32" s="2142"/>
      <c r="B32" s="835" t="s">
        <v>47</v>
      </c>
      <c r="C32" s="835" t="s">
        <v>176</v>
      </c>
      <c r="D32" s="835" t="s">
        <v>176</v>
      </c>
      <c r="E32" s="835" t="s">
        <v>176</v>
      </c>
      <c r="F32" s="835" t="s">
        <v>176</v>
      </c>
      <c r="G32" s="835"/>
      <c r="H32" s="879" t="s">
        <v>167</v>
      </c>
      <c r="I32" s="836" t="s">
        <v>167</v>
      </c>
      <c r="J32" s="838" t="s">
        <v>181</v>
      </c>
      <c r="K32" s="1643"/>
      <c r="L32" s="632"/>
      <c r="M32" s="633"/>
      <c r="N32" s="1020">
        <f t="shared" si="2"/>
        <v>0</v>
      </c>
      <c r="O32" s="839"/>
      <c r="P32" s="839"/>
      <c r="Q32" s="845">
        <f t="shared" si="14"/>
        <v>0</v>
      </c>
      <c r="R32" s="835">
        <f>9710-9026</f>
        <v>684</v>
      </c>
      <c r="S32" s="839">
        <f t="shared" si="17"/>
        <v>0</v>
      </c>
      <c r="T32" s="842">
        <f t="shared" si="18"/>
        <v>0</v>
      </c>
      <c r="U32" s="982">
        <f t="shared" si="3"/>
        <v>0</v>
      </c>
      <c r="V32" s="839"/>
      <c r="W32" s="839"/>
      <c r="X32" s="845">
        <f>SUM(V32:W32)</f>
        <v>0</v>
      </c>
      <c r="Y32" s="1807"/>
      <c r="Z32" s="845"/>
      <c r="AA32" s="840">
        <f>SUM(Y32:Z32)</f>
        <v>0</v>
      </c>
      <c r="AB32" s="1836"/>
      <c r="AC32" s="842">
        <f>W32+Z32</f>
        <v>0</v>
      </c>
      <c r="AD32" s="901">
        <f t="shared" si="16"/>
        <v>0</v>
      </c>
      <c r="AE32" s="725"/>
      <c r="AF32" s="725"/>
      <c r="AG32" s="725"/>
      <c r="AH32" s="847"/>
      <c r="AI32" s="847"/>
      <c r="AJ32" s="847"/>
      <c r="AK32" s="725"/>
      <c r="AL32" s="725"/>
      <c r="AM32" s="635"/>
      <c r="AN32" s="635"/>
      <c r="AO32" s="635"/>
      <c r="AP32" s="635"/>
      <c r="AQ32" s="635"/>
      <c r="AR32" s="635"/>
      <c r="AS32" s="635"/>
    </row>
    <row r="33" spans="1:45" s="617" customFormat="1" ht="58.5" customHeight="1">
      <c r="A33" s="2142"/>
      <c r="B33" s="902" t="s">
        <v>0</v>
      </c>
      <c r="C33" s="903"/>
      <c r="D33" s="903"/>
      <c r="E33" s="903"/>
      <c r="F33" s="903"/>
      <c r="G33" s="903"/>
      <c r="H33" s="849"/>
      <c r="I33" s="849"/>
      <c r="J33" s="904"/>
      <c r="K33" s="1648" t="s">
        <v>369</v>
      </c>
      <c r="L33" s="636">
        <v>29000</v>
      </c>
      <c r="M33" s="637">
        <v>35700</v>
      </c>
      <c r="N33" s="1842">
        <f>L33+M33</f>
        <v>64700</v>
      </c>
      <c r="O33" s="1850">
        <v>0</v>
      </c>
      <c r="P33" s="685">
        <v>39104</v>
      </c>
      <c r="Q33" s="851">
        <f t="shared" si="14"/>
        <v>39104</v>
      </c>
      <c r="R33" s="848" t="s">
        <v>334</v>
      </c>
      <c r="S33" s="685">
        <f>L33-O33</f>
        <v>29000</v>
      </c>
      <c r="T33" s="852">
        <f>M33-P33</f>
        <v>-3404</v>
      </c>
      <c r="U33" s="854">
        <f>S33+T33</f>
        <v>25596</v>
      </c>
      <c r="V33" s="685">
        <v>0</v>
      </c>
      <c r="W33" s="852">
        <v>32190</v>
      </c>
      <c r="X33" s="851">
        <f>SUM(V33:W33)</f>
        <v>32190</v>
      </c>
      <c r="Y33" s="1822">
        <v>0</v>
      </c>
      <c r="Z33" s="854">
        <v>8048</v>
      </c>
      <c r="AA33" s="1831">
        <f>SUM(Y33:Z33)</f>
        <v>8048</v>
      </c>
      <c r="AB33" s="685">
        <f>V33+Y33</f>
        <v>0</v>
      </c>
      <c r="AC33" s="852">
        <f>W33+Z33</f>
        <v>40238</v>
      </c>
      <c r="AD33" s="686">
        <f t="shared" si="16"/>
        <v>40238</v>
      </c>
      <c r="AE33" s="725"/>
      <c r="AF33" s="725"/>
      <c r="AG33" s="725"/>
      <c r="AH33" s="847"/>
      <c r="AI33" s="847"/>
      <c r="AJ33" s="847"/>
      <c r="AK33" s="725"/>
      <c r="AL33" s="725"/>
      <c r="AM33" s="635"/>
      <c r="AN33" s="635"/>
      <c r="AO33" s="635"/>
      <c r="AP33" s="635"/>
      <c r="AQ33" s="635"/>
      <c r="AR33" s="635"/>
      <c r="AS33" s="635"/>
    </row>
    <row r="34" spans="1:45" s="617" customFormat="1" ht="45.75" customHeight="1">
      <c r="A34" s="2142"/>
      <c r="B34" s="872"/>
      <c r="C34" s="873"/>
      <c r="D34" s="873"/>
      <c r="E34" s="873"/>
      <c r="F34" s="873"/>
      <c r="G34" s="873"/>
      <c r="H34" s="857"/>
      <c r="I34" s="857"/>
      <c r="J34" s="856"/>
      <c r="K34" s="1644"/>
      <c r="L34" s="676">
        <v>10375</v>
      </c>
      <c r="M34" s="677"/>
      <c r="N34" s="1816">
        <f>L34+M34</f>
        <v>10375</v>
      </c>
      <c r="O34" s="668">
        <v>53526</v>
      </c>
      <c r="P34" s="668">
        <v>0</v>
      </c>
      <c r="Q34" s="875">
        <f t="shared" si="14"/>
        <v>53526</v>
      </c>
      <c r="R34" s="1128" t="s">
        <v>335</v>
      </c>
      <c r="S34" s="668">
        <f>L34-O34</f>
        <v>-43151</v>
      </c>
      <c r="T34" s="874">
        <f>M34-P34</f>
        <v>0</v>
      </c>
      <c r="U34" s="876">
        <f>S34+T34</f>
        <v>-43151</v>
      </c>
      <c r="V34" s="668">
        <f>38480</f>
        <v>38480</v>
      </c>
      <c r="W34" s="874">
        <v>0</v>
      </c>
      <c r="X34" s="875">
        <f>SUM(V34:W34)</f>
        <v>38480</v>
      </c>
      <c r="Y34" s="1805">
        <v>0</v>
      </c>
      <c r="Z34" s="876">
        <v>0</v>
      </c>
      <c r="AA34" s="877">
        <f>SUM(Y34:Z34)</f>
        <v>0</v>
      </c>
      <c r="AB34" s="668">
        <f>V34+Y34</f>
        <v>38480</v>
      </c>
      <c r="AC34" s="874">
        <f>W34+Z34</f>
        <v>0</v>
      </c>
      <c r="AD34" s="672">
        <f t="shared" si="16"/>
        <v>38480</v>
      </c>
      <c r="AE34" s="725"/>
      <c r="AF34" s="725"/>
      <c r="AG34" s="725"/>
      <c r="AH34" s="847"/>
      <c r="AI34" s="847"/>
      <c r="AJ34" s="847"/>
      <c r="AK34" s="725"/>
      <c r="AL34" s="725"/>
      <c r="AM34" s="635"/>
      <c r="AN34" s="635"/>
      <c r="AO34" s="635"/>
      <c r="AP34" s="635"/>
      <c r="AQ34" s="635"/>
      <c r="AR34" s="635"/>
      <c r="AS34" s="635"/>
    </row>
    <row r="35" spans="1:45" s="617" customFormat="1" ht="163.5" customHeight="1">
      <c r="A35" s="2143"/>
      <c r="B35" s="835" t="s">
        <v>48</v>
      </c>
      <c r="C35" s="835" t="s">
        <v>176</v>
      </c>
      <c r="D35" s="835" t="s">
        <v>176</v>
      </c>
      <c r="E35" s="835"/>
      <c r="F35" s="835"/>
      <c r="G35" s="835"/>
      <c r="H35" s="879"/>
      <c r="I35" s="836" t="s">
        <v>167</v>
      </c>
      <c r="J35" s="838" t="s">
        <v>156</v>
      </c>
      <c r="K35" s="1643"/>
      <c r="L35" s="632"/>
      <c r="M35" s="633"/>
      <c r="N35" s="1020">
        <f t="shared" si="2"/>
        <v>0</v>
      </c>
      <c r="O35" s="839"/>
      <c r="P35" s="839"/>
      <c r="Q35" s="845">
        <f t="shared" si="14"/>
        <v>0</v>
      </c>
      <c r="R35" s="835"/>
      <c r="S35" s="839">
        <f t="shared" si="17"/>
        <v>0</v>
      </c>
      <c r="T35" s="842">
        <f t="shared" si="18"/>
        <v>0</v>
      </c>
      <c r="U35" s="982">
        <f t="shared" si="3"/>
        <v>0</v>
      </c>
      <c r="V35" s="715"/>
      <c r="W35" s="715"/>
      <c r="X35" s="715"/>
      <c r="Y35" s="1806"/>
      <c r="Z35" s="880"/>
      <c r="AA35" s="925"/>
      <c r="AB35" s="839"/>
      <c r="AC35" s="842"/>
      <c r="AD35" s="846"/>
      <c r="AE35" s="725"/>
      <c r="AF35" s="725"/>
      <c r="AG35" s="725"/>
      <c r="AH35" s="847"/>
      <c r="AI35" s="847"/>
      <c r="AJ35" s="847"/>
      <c r="AK35" s="725"/>
      <c r="AL35" s="725"/>
      <c r="AM35" s="635"/>
      <c r="AN35" s="635"/>
      <c r="AO35" s="635"/>
      <c r="AP35" s="635"/>
      <c r="AQ35" s="635"/>
      <c r="AR35" s="635"/>
      <c r="AS35" s="635"/>
    </row>
    <row r="36" spans="1:45" s="617" customFormat="1" ht="25.5" customHeight="1">
      <c r="A36" s="1855"/>
      <c r="B36" s="872" t="s">
        <v>1</v>
      </c>
      <c r="C36" s="883"/>
      <c r="D36" s="883"/>
      <c r="E36" s="883"/>
      <c r="F36" s="883"/>
      <c r="G36" s="883"/>
      <c r="H36" s="857"/>
      <c r="I36" s="857"/>
      <c r="J36" s="856"/>
      <c r="K36" s="1644" t="s">
        <v>369</v>
      </c>
      <c r="L36" s="676">
        <v>12075</v>
      </c>
      <c r="M36" s="677">
        <v>14963</v>
      </c>
      <c r="N36" s="1816">
        <f t="shared" si="2"/>
        <v>27038</v>
      </c>
      <c r="O36" s="677">
        <v>5625</v>
      </c>
      <c r="P36" s="677">
        <v>11333</v>
      </c>
      <c r="Q36" s="875">
        <f t="shared" si="14"/>
        <v>16958</v>
      </c>
      <c r="R36" s="1128" t="s">
        <v>334</v>
      </c>
      <c r="S36" s="668">
        <f>L36-O36</f>
        <v>6450</v>
      </c>
      <c r="T36" s="874">
        <f>M36-P36</f>
        <v>3630</v>
      </c>
      <c r="U36" s="876">
        <f t="shared" si="3"/>
        <v>10080</v>
      </c>
      <c r="V36" s="668">
        <v>21675</v>
      </c>
      <c r="W36" s="874">
        <v>9026</v>
      </c>
      <c r="X36" s="875">
        <f>SUM(V36:W36)</f>
        <v>30701</v>
      </c>
      <c r="Y36" s="1805">
        <v>0</v>
      </c>
      <c r="Z36" s="876">
        <v>0</v>
      </c>
      <c r="AA36" s="877">
        <f>SUM(Y36:Z36)</f>
        <v>0</v>
      </c>
      <c r="AB36" s="668">
        <f>V36+Y36</f>
        <v>21675</v>
      </c>
      <c r="AC36" s="874">
        <f>W36+Z36</f>
        <v>9026</v>
      </c>
      <c r="AD36" s="672">
        <f>SUM(AB36:AC36)</f>
        <v>30701</v>
      </c>
      <c r="AE36" s="725"/>
      <c r="AF36" s="725"/>
      <c r="AG36" s="725"/>
      <c r="AH36" s="847"/>
      <c r="AI36" s="847"/>
      <c r="AJ36" s="847"/>
      <c r="AK36" s="725"/>
      <c r="AL36" s="725"/>
      <c r="AM36" s="635"/>
      <c r="AN36" s="635"/>
      <c r="AO36" s="635"/>
      <c r="AP36" s="635"/>
      <c r="AQ36" s="635"/>
      <c r="AR36" s="635"/>
      <c r="AS36" s="635"/>
    </row>
    <row r="37" spans="1:45" s="617" customFormat="1" ht="186" customHeight="1">
      <c r="A37" s="1855"/>
      <c r="B37" s="908" t="s">
        <v>460</v>
      </c>
      <c r="C37" s="835" t="s">
        <v>176</v>
      </c>
      <c r="D37" s="835" t="s">
        <v>176</v>
      </c>
      <c r="E37" s="835" t="s">
        <v>176</v>
      </c>
      <c r="F37" s="835" t="s">
        <v>176</v>
      </c>
      <c r="G37" s="835"/>
      <c r="H37" s="879" t="s">
        <v>167</v>
      </c>
      <c r="I37" s="836" t="s">
        <v>188</v>
      </c>
      <c r="J37" s="838" t="s">
        <v>156</v>
      </c>
      <c r="K37" s="1643"/>
      <c r="L37" s="632"/>
      <c r="M37" s="633"/>
      <c r="N37" s="1020">
        <f t="shared" si="2"/>
        <v>0</v>
      </c>
      <c r="O37" s="839"/>
      <c r="P37" s="839"/>
      <c r="Q37" s="845">
        <f t="shared" si="14"/>
        <v>0</v>
      </c>
      <c r="R37" s="835"/>
      <c r="S37" s="839">
        <f t="shared" si="17"/>
        <v>0</v>
      </c>
      <c r="T37" s="842">
        <f t="shared" si="18"/>
        <v>0</v>
      </c>
      <c r="U37" s="982">
        <f t="shared" si="3"/>
        <v>0</v>
      </c>
      <c r="V37" s="715"/>
      <c r="W37" s="715"/>
      <c r="X37" s="715"/>
      <c r="Y37" s="1806"/>
      <c r="Z37" s="880"/>
      <c r="AA37" s="925"/>
      <c r="AB37" s="708"/>
      <c r="AC37" s="894"/>
      <c r="AD37" s="901"/>
      <c r="AE37" s="725"/>
      <c r="AF37" s="725"/>
      <c r="AG37" s="725"/>
      <c r="AH37" s="847"/>
      <c r="AI37" s="847"/>
      <c r="AJ37" s="847"/>
      <c r="AK37" s="725"/>
      <c r="AL37" s="725"/>
      <c r="AM37" s="635"/>
      <c r="AN37" s="635"/>
      <c r="AO37" s="635"/>
      <c r="AP37" s="635"/>
      <c r="AQ37" s="635"/>
      <c r="AR37" s="635"/>
      <c r="AS37" s="635"/>
    </row>
    <row r="38" spans="1:45" s="617" customFormat="1" ht="51" customHeight="1">
      <c r="A38" s="1855"/>
      <c r="B38" s="872" t="s">
        <v>19</v>
      </c>
      <c r="C38" s="873"/>
      <c r="D38" s="873"/>
      <c r="E38" s="873"/>
      <c r="F38" s="873"/>
      <c r="G38" s="873"/>
      <c r="H38" s="857"/>
      <c r="I38" s="857"/>
      <c r="J38" s="856"/>
      <c r="K38" s="1644" t="s">
        <v>369</v>
      </c>
      <c r="L38" s="676">
        <f>6300+12600+10500</f>
        <v>29400</v>
      </c>
      <c r="M38" s="677">
        <f>17850+15750+14175</f>
        <v>47775</v>
      </c>
      <c r="N38" s="1816">
        <f t="shared" si="2"/>
        <v>77175</v>
      </c>
      <c r="O38" s="668">
        <v>10526</v>
      </c>
      <c r="P38" s="668">
        <v>32030</v>
      </c>
      <c r="Q38" s="875">
        <f t="shared" si="14"/>
        <v>42556</v>
      </c>
      <c r="R38" s="1128" t="s">
        <v>335</v>
      </c>
      <c r="S38" s="668">
        <f>L38-O38</f>
        <v>18874</v>
      </c>
      <c r="T38" s="874">
        <f>M38-P38</f>
        <v>15745</v>
      </c>
      <c r="U38" s="876">
        <f t="shared" si="3"/>
        <v>34619</v>
      </c>
      <c r="V38" s="668">
        <v>51425</v>
      </c>
      <c r="W38" s="874">
        <v>64038</v>
      </c>
      <c r="X38" s="875">
        <f>SUM(V38:W38)</f>
        <v>115463</v>
      </c>
      <c r="Y38" s="667">
        <v>0</v>
      </c>
      <c r="Z38" s="874">
        <v>16009</v>
      </c>
      <c r="AA38" s="877">
        <f>SUM(Y38:Z38)</f>
        <v>16009</v>
      </c>
      <c r="AB38" s="668">
        <f>V38+Y38</f>
        <v>51425</v>
      </c>
      <c r="AC38" s="909">
        <f>W38+Z38</f>
        <v>80047</v>
      </c>
      <c r="AD38" s="672">
        <f>SUM(AB38:AC38)</f>
        <v>131472</v>
      </c>
      <c r="AE38" s="725"/>
      <c r="AF38" s="725"/>
      <c r="AG38" s="725"/>
      <c r="AH38" s="847"/>
      <c r="AI38" s="847"/>
      <c r="AJ38" s="847"/>
      <c r="AK38" s="725"/>
      <c r="AL38" s="725"/>
      <c r="AM38" s="635"/>
      <c r="AN38" s="635"/>
      <c r="AO38" s="635"/>
      <c r="AP38" s="635"/>
      <c r="AQ38" s="635"/>
      <c r="AR38" s="635"/>
      <c r="AS38" s="635"/>
    </row>
    <row r="39" spans="1:45" s="617" customFormat="1" ht="86.25" customHeight="1">
      <c r="A39" s="1855"/>
      <c r="B39" s="835" t="s">
        <v>21</v>
      </c>
      <c r="C39" s="879" t="s">
        <v>176</v>
      </c>
      <c r="D39" s="879" t="s">
        <v>176</v>
      </c>
      <c r="E39" s="879" t="s">
        <v>176</v>
      </c>
      <c r="F39" s="879" t="s">
        <v>176</v>
      </c>
      <c r="G39" s="879"/>
      <c r="H39" s="879" t="s">
        <v>167</v>
      </c>
      <c r="I39" s="836" t="s">
        <v>330</v>
      </c>
      <c r="J39" s="838" t="s">
        <v>178</v>
      </c>
      <c r="K39" s="1643"/>
      <c r="L39" s="632"/>
      <c r="M39" s="633"/>
      <c r="N39" s="1020">
        <f t="shared" si="2"/>
        <v>0</v>
      </c>
      <c r="O39" s="839"/>
      <c r="P39" s="839"/>
      <c r="Q39" s="845">
        <f t="shared" si="14"/>
        <v>0</v>
      </c>
      <c r="R39" s="835"/>
      <c r="S39" s="839">
        <f t="shared" si="17"/>
        <v>0</v>
      </c>
      <c r="T39" s="842">
        <f t="shared" si="18"/>
        <v>0</v>
      </c>
      <c r="U39" s="982">
        <f t="shared" si="3"/>
        <v>0</v>
      </c>
      <c r="V39" s="715"/>
      <c r="W39" s="715"/>
      <c r="X39" s="715"/>
      <c r="Y39" s="1806"/>
      <c r="Z39" s="880"/>
      <c r="AA39" s="925"/>
      <c r="AB39" s="1835"/>
      <c r="AC39" s="887"/>
      <c r="AD39" s="910"/>
      <c r="AE39" s="725"/>
      <c r="AF39" s="725"/>
      <c r="AG39" s="725"/>
      <c r="AH39" s="847"/>
      <c r="AI39" s="847"/>
      <c r="AJ39" s="847"/>
      <c r="AK39" s="725"/>
      <c r="AL39" s="725"/>
      <c r="AM39" s="635"/>
      <c r="AN39" s="635"/>
      <c r="AO39" s="635"/>
      <c r="AP39" s="635"/>
      <c r="AQ39" s="635"/>
      <c r="AR39" s="635"/>
      <c r="AS39" s="635"/>
    </row>
    <row r="40" spans="1:45" s="617" customFormat="1" ht="30.75" customHeight="1">
      <c r="A40" s="1855"/>
      <c r="B40" s="872" t="s">
        <v>7</v>
      </c>
      <c r="C40" s="873"/>
      <c r="D40" s="873"/>
      <c r="E40" s="873"/>
      <c r="F40" s="873"/>
      <c r="G40" s="873"/>
      <c r="H40" s="857"/>
      <c r="I40" s="857"/>
      <c r="J40" s="856"/>
      <c r="K40" s="1644" t="s">
        <v>185</v>
      </c>
      <c r="L40" s="676">
        <v>21400</v>
      </c>
      <c r="M40" s="677">
        <f>42708</f>
        <v>42708</v>
      </c>
      <c r="N40" s="1816">
        <f t="shared" si="2"/>
        <v>64108</v>
      </c>
      <c r="O40" s="677">
        <v>0</v>
      </c>
      <c r="P40" s="1965">
        <f>42708-32082</f>
        <v>10626</v>
      </c>
      <c r="Q40" s="875">
        <f t="shared" si="14"/>
        <v>10626</v>
      </c>
      <c r="R40" s="1128" t="s">
        <v>335</v>
      </c>
      <c r="S40" s="668">
        <f>L40-O40</f>
        <v>21400</v>
      </c>
      <c r="T40" s="874">
        <f>M40-P40</f>
        <v>32082</v>
      </c>
      <c r="U40" s="876">
        <f t="shared" si="3"/>
        <v>53482</v>
      </c>
      <c r="V40" s="668">
        <v>30000</v>
      </c>
      <c r="W40" s="1966">
        <v>15196</v>
      </c>
      <c r="X40" s="875">
        <f>SUM(V40:W40)</f>
        <v>45196</v>
      </c>
      <c r="Y40" s="1805">
        <v>0</v>
      </c>
      <c r="Z40" s="876">
        <v>0</v>
      </c>
      <c r="AA40" s="877">
        <f>SUM(Y40:Z40)</f>
        <v>0</v>
      </c>
      <c r="AB40" s="668">
        <f>V40+Y40</f>
        <v>30000</v>
      </c>
      <c r="AC40" s="874">
        <f>W40+Z40</f>
        <v>15196</v>
      </c>
      <c r="AD40" s="672">
        <f>SUM(AB40:AC40)</f>
        <v>45196</v>
      </c>
      <c r="AE40" s="725"/>
      <c r="AF40" s="725"/>
      <c r="AG40" s="725"/>
      <c r="AH40" s="847"/>
      <c r="AI40" s="847"/>
      <c r="AJ40" s="847"/>
      <c r="AK40" s="725"/>
      <c r="AL40" s="725"/>
      <c r="AM40" s="635"/>
      <c r="AN40" s="635"/>
      <c r="AO40" s="635"/>
      <c r="AP40" s="635"/>
      <c r="AQ40" s="635"/>
      <c r="AR40" s="635"/>
      <c r="AS40" s="635"/>
    </row>
    <row r="41" spans="1:45" s="617" customFormat="1" ht="84.75" customHeight="1">
      <c r="A41" s="1855"/>
      <c r="B41" s="835" t="s">
        <v>22</v>
      </c>
      <c r="C41" s="879"/>
      <c r="D41" s="879" t="s">
        <v>176</v>
      </c>
      <c r="E41" s="879" t="s">
        <v>176</v>
      </c>
      <c r="F41" s="879" t="s">
        <v>176</v>
      </c>
      <c r="G41" s="879"/>
      <c r="H41" s="879" t="s">
        <v>167</v>
      </c>
      <c r="I41" s="836" t="s">
        <v>331</v>
      </c>
      <c r="J41" s="838" t="s">
        <v>178</v>
      </c>
      <c r="K41" s="1643"/>
      <c r="L41" s="632"/>
      <c r="M41" s="633"/>
      <c r="N41" s="1020">
        <f t="shared" si="2"/>
        <v>0</v>
      </c>
      <c r="O41" s="839"/>
      <c r="P41" s="839"/>
      <c r="Q41" s="845">
        <f t="shared" si="14"/>
        <v>0</v>
      </c>
      <c r="R41" s="835"/>
      <c r="S41" s="839">
        <f t="shared" si="17"/>
        <v>0</v>
      </c>
      <c r="T41" s="842">
        <f t="shared" si="18"/>
        <v>0</v>
      </c>
      <c r="U41" s="982">
        <f t="shared" si="3"/>
        <v>0</v>
      </c>
      <c r="V41" s="715"/>
      <c r="W41" s="715"/>
      <c r="X41" s="715"/>
      <c r="Y41" s="1806"/>
      <c r="Z41" s="880"/>
      <c r="AA41" s="925"/>
      <c r="AB41" s="911"/>
      <c r="AC41" s="911"/>
      <c r="AD41" s="912"/>
      <c r="AE41" s="725"/>
      <c r="AF41" s="725"/>
      <c r="AG41" s="725"/>
      <c r="AH41" s="847"/>
      <c r="AI41" s="847"/>
      <c r="AJ41" s="847"/>
      <c r="AK41" s="725"/>
      <c r="AL41" s="725"/>
      <c r="AM41" s="635"/>
      <c r="AN41" s="635"/>
      <c r="AO41" s="635"/>
      <c r="AP41" s="635"/>
      <c r="AQ41" s="635"/>
      <c r="AR41" s="635"/>
      <c r="AS41" s="635"/>
    </row>
    <row r="42" spans="1:45" s="617" customFormat="1" ht="29.25" customHeight="1">
      <c r="A42" s="1856"/>
      <c r="B42" s="872" t="s">
        <v>6</v>
      </c>
      <c r="C42" s="873"/>
      <c r="D42" s="873"/>
      <c r="E42" s="873"/>
      <c r="F42" s="873"/>
      <c r="G42" s="873"/>
      <c r="H42" s="857"/>
      <c r="I42" s="857"/>
      <c r="J42" s="856"/>
      <c r="K42" s="1644" t="s">
        <v>185</v>
      </c>
      <c r="L42" s="676">
        <v>26750</v>
      </c>
      <c r="M42" s="677">
        <v>14000</v>
      </c>
      <c r="N42" s="1816">
        <f t="shared" si="2"/>
        <v>40750</v>
      </c>
      <c r="O42" s="677">
        <v>26405</v>
      </c>
      <c r="P42" s="1965">
        <f>M42+14641</f>
        <v>28641</v>
      </c>
      <c r="Q42" s="875">
        <f t="shared" si="14"/>
        <v>55046</v>
      </c>
      <c r="R42" s="1128" t="s">
        <v>335</v>
      </c>
      <c r="S42" s="668">
        <f>L42-O42</f>
        <v>345</v>
      </c>
      <c r="T42" s="874">
        <f>M42-P42</f>
        <v>-14641</v>
      </c>
      <c r="U42" s="876">
        <f t="shared" si="3"/>
        <v>-14296</v>
      </c>
      <c r="V42" s="1004">
        <f>-5796+5796</f>
        <v>0</v>
      </c>
      <c r="W42" s="1966">
        <v>3900</v>
      </c>
      <c r="X42" s="875">
        <f>SUM(V42:W42)</f>
        <v>3900</v>
      </c>
      <c r="Y42" s="1805">
        <v>0</v>
      </c>
      <c r="Z42" s="876">
        <v>0</v>
      </c>
      <c r="AA42" s="877">
        <f>SUM(Y42:Z42)</f>
        <v>0</v>
      </c>
      <c r="AB42" s="668">
        <f>V42+Y42</f>
        <v>0</v>
      </c>
      <c r="AC42" s="874">
        <f>W42+Z42</f>
        <v>3900</v>
      </c>
      <c r="AD42" s="672">
        <f>SUM(AB42:AC42)</f>
        <v>3900</v>
      </c>
      <c r="AE42" s="725"/>
      <c r="AF42" s="725"/>
      <c r="AG42" s="725"/>
      <c r="AH42" s="847"/>
      <c r="AI42" s="847"/>
      <c r="AJ42" s="847"/>
      <c r="AK42" s="725"/>
      <c r="AL42" s="725"/>
      <c r="AM42" s="635"/>
      <c r="AN42" s="635"/>
      <c r="AO42" s="635"/>
      <c r="AP42" s="635"/>
      <c r="AQ42" s="635"/>
      <c r="AR42" s="635"/>
      <c r="AS42" s="635"/>
    </row>
    <row r="43" spans="1:45" s="617" customFormat="1" ht="123.75" customHeight="1">
      <c r="A43" s="1855"/>
      <c r="B43" s="835" t="s">
        <v>23</v>
      </c>
      <c r="C43" s="879"/>
      <c r="D43" s="879" t="s">
        <v>176</v>
      </c>
      <c r="E43" s="879" t="s">
        <v>176</v>
      </c>
      <c r="F43" s="879" t="s">
        <v>176</v>
      </c>
      <c r="G43" s="879"/>
      <c r="H43" s="879" t="s">
        <v>167</v>
      </c>
      <c r="I43" s="836" t="s">
        <v>331</v>
      </c>
      <c r="J43" s="838" t="s">
        <v>178</v>
      </c>
      <c r="K43" s="1643"/>
      <c r="L43" s="632"/>
      <c r="M43" s="633"/>
      <c r="N43" s="1020">
        <f t="shared" si="2"/>
        <v>0</v>
      </c>
      <c r="O43" s="839"/>
      <c r="P43" s="839"/>
      <c r="Q43" s="845">
        <f t="shared" si="14"/>
        <v>0</v>
      </c>
      <c r="R43" s="835"/>
      <c r="S43" s="839">
        <f t="shared" si="17"/>
        <v>0</v>
      </c>
      <c r="T43" s="842">
        <f t="shared" si="18"/>
        <v>0</v>
      </c>
      <c r="U43" s="982">
        <f t="shared" si="3"/>
        <v>0</v>
      </c>
      <c r="V43" s="715"/>
      <c r="W43" s="715"/>
      <c r="X43" s="715"/>
      <c r="Y43" s="1806"/>
      <c r="Z43" s="880"/>
      <c r="AA43" s="925"/>
      <c r="AB43" s="685"/>
      <c r="AC43" s="852"/>
      <c r="AD43" s="686"/>
      <c r="AE43" s="725"/>
      <c r="AF43" s="725"/>
      <c r="AG43" s="725"/>
      <c r="AH43" s="847"/>
      <c r="AI43" s="847"/>
      <c r="AJ43" s="847"/>
      <c r="AK43" s="725"/>
      <c r="AL43" s="725"/>
      <c r="AM43" s="635"/>
      <c r="AN43" s="635"/>
      <c r="AO43" s="635"/>
      <c r="AP43" s="635"/>
      <c r="AQ43" s="635"/>
      <c r="AR43" s="635"/>
      <c r="AS43" s="635"/>
    </row>
    <row r="44" spans="1:45" s="617" customFormat="1" ht="27" customHeight="1">
      <c r="A44" s="1856"/>
      <c r="B44" s="872" t="s">
        <v>8</v>
      </c>
      <c r="C44" s="873"/>
      <c r="D44" s="873"/>
      <c r="E44" s="873"/>
      <c r="F44" s="873"/>
      <c r="G44" s="873"/>
      <c r="H44" s="857"/>
      <c r="I44" s="857"/>
      <c r="J44" s="856"/>
      <c r="K44" s="1644" t="s">
        <v>185</v>
      </c>
      <c r="L44" s="676">
        <v>32100</v>
      </c>
      <c r="M44" s="677">
        <v>81895</v>
      </c>
      <c r="N44" s="1816">
        <f t="shared" si="2"/>
        <v>113995</v>
      </c>
      <c r="O44" s="677">
        <v>11789</v>
      </c>
      <c r="P44" s="1965">
        <f>81895+8924</f>
        <v>90819</v>
      </c>
      <c r="Q44" s="875">
        <f t="shared" si="14"/>
        <v>102608</v>
      </c>
      <c r="R44" s="1128" t="s">
        <v>335</v>
      </c>
      <c r="S44" s="668">
        <f>L44-O44</f>
        <v>20311</v>
      </c>
      <c r="T44" s="874">
        <f>M44-P44</f>
        <v>-8924</v>
      </c>
      <c r="U44" s="876">
        <f t="shared" si="3"/>
        <v>11387</v>
      </c>
      <c r="V44" s="1004">
        <f>24425-3562</f>
        <v>20863</v>
      </c>
      <c r="W44" s="1966">
        <v>1839</v>
      </c>
      <c r="X44" s="875">
        <f>SUM(V44:W44)</f>
        <v>22702</v>
      </c>
      <c r="Y44" s="1805">
        <v>0</v>
      </c>
      <c r="Z44" s="876">
        <v>0</v>
      </c>
      <c r="AA44" s="877">
        <f>SUM(Y44:Z44)</f>
        <v>0</v>
      </c>
      <c r="AB44" s="668">
        <f>V44+Y44</f>
        <v>20863</v>
      </c>
      <c r="AC44" s="874">
        <f>W44+Z44</f>
        <v>1839</v>
      </c>
      <c r="AD44" s="672">
        <f>SUM(AB44:AC44)</f>
        <v>22702</v>
      </c>
      <c r="AE44" s="725"/>
      <c r="AF44" s="725"/>
      <c r="AG44" s="725"/>
      <c r="AH44" s="847"/>
      <c r="AI44" s="847"/>
      <c r="AJ44" s="847"/>
      <c r="AK44" s="725"/>
      <c r="AL44" s="725"/>
      <c r="AM44" s="635"/>
      <c r="AN44" s="635"/>
      <c r="AO44" s="635"/>
      <c r="AP44" s="635"/>
      <c r="AQ44" s="635"/>
      <c r="AR44" s="635"/>
      <c r="AS44" s="635"/>
    </row>
    <row r="45" spans="1:45" s="751" customFormat="1" ht="31.5" customHeight="1" thickBot="1">
      <c r="A45" s="1595"/>
      <c r="B45" s="719" t="s">
        <v>338</v>
      </c>
      <c r="C45" s="1596"/>
      <c r="D45" s="1596"/>
      <c r="E45" s="1596"/>
      <c r="F45" s="1596"/>
      <c r="G45" s="1596"/>
      <c r="H45" s="722"/>
      <c r="I45" s="721"/>
      <c r="J45" s="721"/>
      <c r="K45" s="1649"/>
      <c r="L45" s="1664">
        <f>SUM(L20:L44)</f>
        <v>295362</v>
      </c>
      <c r="M45" s="760">
        <f aca="true" t="shared" si="19" ref="M45:AD45">SUM(M20:M44)</f>
        <v>262288</v>
      </c>
      <c r="N45" s="1012">
        <f t="shared" si="19"/>
        <v>557650</v>
      </c>
      <c r="O45" s="723">
        <f t="shared" si="19"/>
        <v>195501</v>
      </c>
      <c r="P45" s="723">
        <f t="shared" si="19"/>
        <v>240672.78</v>
      </c>
      <c r="Q45" s="723">
        <f t="shared" si="19"/>
        <v>436173.78</v>
      </c>
      <c r="R45" s="914">
        <f t="shared" si="19"/>
        <v>684</v>
      </c>
      <c r="S45" s="914">
        <f t="shared" si="19"/>
        <v>99861</v>
      </c>
      <c r="T45" s="914">
        <f t="shared" si="19"/>
        <v>21615.22</v>
      </c>
      <c r="U45" s="914">
        <f t="shared" si="19"/>
        <v>121476.22</v>
      </c>
      <c r="V45" s="914">
        <f t="shared" si="19"/>
        <v>268163</v>
      </c>
      <c r="W45" s="914">
        <f t="shared" si="19"/>
        <v>126239</v>
      </c>
      <c r="X45" s="914">
        <f t="shared" si="19"/>
        <v>394402</v>
      </c>
      <c r="Y45" s="938">
        <f t="shared" si="19"/>
        <v>0</v>
      </c>
      <c r="Z45" s="914">
        <f t="shared" si="19"/>
        <v>24057</v>
      </c>
      <c r="AA45" s="1017">
        <f t="shared" si="19"/>
        <v>24057</v>
      </c>
      <c r="AB45" s="914">
        <f t="shared" si="19"/>
        <v>268163</v>
      </c>
      <c r="AC45" s="723">
        <f t="shared" si="19"/>
        <v>150296</v>
      </c>
      <c r="AD45" s="739">
        <f t="shared" si="19"/>
        <v>418459</v>
      </c>
      <c r="AE45" s="781"/>
      <c r="AF45" s="769"/>
      <c r="AG45" s="769"/>
      <c r="AH45" s="847"/>
      <c r="AI45" s="847"/>
      <c r="AJ45" s="847"/>
      <c r="AK45" s="769"/>
      <c r="AL45" s="769"/>
      <c r="AM45" s="750"/>
      <c r="AN45" s="750"/>
      <c r="AO45" s="750"/>
      <c r="AP45" s="750"/>
      <c r="AQ45" s="750"/>
      <c r="AR45" s="750"/>
      <c r="AS45" s="750"/>
    </row>
    <row r="46" spans="1:45" s="616" customFormat="1" ht="117" customHeight="1" thickTop="1">
      <c r="A46" s="2123" t="s">
        <v>503</v>
      </c>
      <c r="B46" s="2124"/>
      <c r="C46" s="2124"/>
      <c r="D46" s="2124"/>
      <c r="E46" s="2124"/>
      <c r="F46" s="2124"/>
      <c r="G46" s="2124"/>
      <c r="H46" s="2124"/>
      <c r="I46" s="2124"/>
      <c r="J46" s="2124"/>
      <c r="K46" s="2124"/>
      <c r="L46" s="1564"/>
      <c r="M46" s="1564"/>
      <c r="N46" s="1564"/>
      <c r="O46" s="1813"/>
      <c r="P46" s="1565"/>
      <c r="Q46" s="1814"/>
      <c r="R46" s="1980"/>
      <c r="S46" s="1813"/>
      <c r="T46" s="1565"/>
      <c r="U46" s="1814"/>
      <c r="V46" s="1813"/>
      <c r="W46" s="1565"/>
      <c r="X46" s="1826"/>
      <c r="Y46" s="1140"/>
      <c r="Z46" s="1140"/>
      <c r="AA46" s="1140"/>
      <c r="AB46" s="1837"/>
      <c r="AC46" s="1802"/>
      <c r="AD46" s="1803"/>
      <c r="AE46" s="725"/>
      <c r="AF46" s="725"/>
      <c r="AG46" s="725"/>
      <c r="AH46" s="847"/>
      <c r="AI46" s="847"/>
      <c r="AJ46" s="847"/>
      <c r="AK46" s="725"/>
      <c r="AL46" s="725"/>
      <c r="AM46" s="725"/>
      <c r="AN46" s="725"/>
      <c r="AO46" s="725"/>
      <c r="AP46" s="725"/>
      <c r="AQ46" s="725"/>
      <c r="AR46" s="725"/>
      <c r="AS46" s="725"/>
    </row>
    <row r="47" spans="1:45" s="617" customFormat="1" ht="64.5" customHeight="1">
      <c r="A47" s="1857" t="s">
        <v>550</v>
      </c>
      <c r="B47" s="835" t="s">
        <v>24</v>
      </c>
      <c r="C47" s="879"/>
      <c r="D47" s="879" t="s">
        <v>176</v>
      </c>
      <c r="E47" s="879"/>
      <c r="F47" s="879" t="s">
        <v>176</v>
      </c>
      <c r="G47" s="879"/>
      <c r="H47" s="879" t="s">
        <v>167</v>
      </c>
      <c r="I47" s="836" t="s">
        <v>304</v>
      </c>
      <c r="J47" s="838" t="s">
        <v>168</v>
      </c>
      <c r="K47" s="1643"/>
      <c r="L47" s="632"/>
      <c r="M47" s="633"/>
      <c r="N47" s="1020">
        <f t="shared" si="2"/>
        <v>0</v>
      </c>
      <c r="O47" s="839"/>
      <c r="P47" s="839"/>
      <c r="Q47" s="845">
        <f aca="true" t="shared" si="20" ref="Q47:Q52">O47+P47</f>
        <v>0</v>
      </c>
      <c r="R47" s="838"/>
      <c r="S47" s="839">
        <f aca="true" t="shared" si="21" ref="S47:T51">L47-O47</f>
        <v>0</v>
      </c>
      <c r="T47" s="842">
        <f t="shared" si="21"/>
        <v>0</v>
      </c>
      <c r="U47" s="982">
        <f t="shared" si="3"/>
        <v>0</v>
      </c>
      <c r="V47" s="715"/>
      <c r="W47" s="715"/>
      <c r="X47" s="715"/>
      <c r="Y47" s="1806"/>
      <c r="Z47" s="880"/>
      <c r="AA47" s="925"/>
      <c r="AB47" s="916"/>
      <c r="AC47" s="916"/>
      <c r="AD47" s="912"/>
      <c r="AE47" s="725"/>
      <c r="AF47" s="725"/>
      <c r="AG47" s="725"/>
      <c r="AH47" s="847"/>
      <c r="AI47" s="847"/>
      <c r="AJ47" s="847"/>
      <c r="AK47" s="725"/>
      <c r="AL47" s="725"/>
      <c r="AM47" s="635"/>
      <c r="AN47" s="635"/>
      <c r="AO47" s="635"/>
      <c r="AP47" s="635"/>
      <c r="AQ47" s="635"/>
      <c r="AR47" s="635"/>
      <c r="AS47" s="635"/>
    </row>
    <row r="48" spans="1:45" s="617" customFormat="1" ht="30" customHeight="1">
      <c r="A48" s="2112" t="s">
        <v>603</v>
      </c>
      <c r="B48" s="872" t="s">
        <v>297</v>
      </c>
      <c r="C48" s="873"/>
      <c r="D48" s="873"/>
      <c r="E48" s="873"/>
      <c r="F48" s="873"/>
      <c r="G48" s="873"/>
      <c r="H48" s="857"/>
      <c r="I48" s="857"/>
      <c r="J48" s="856"/>
      <c r="K48" s="1644" t="s">
        <v>154</v>
      </c>
      <c r="L48" s="676">
        <v>21000</v>
      </c>
      <c r="M48" s="677">
        <v>10615</v>
      </c>
      <c r="N48" s="1816">
        <f t="shared" si="2"/>
        <v>31615</v>
      </c>
      <c r="O48" s="668">
        <v>0</v>
      </c>
      <c r="P48" s="668">
        <v>0</v>
      </c>
      <c r="Q48" s="875">
        <f t="shared" si="20"/>
        <v>0</v>
      </c>
      <c r="R48" s="1128" t="s">
        <v>334</v>
      </c>
      <c r="S48" s="668">
        <f>L48-O48</f>
        <v>21000</v>
      </c>
      <c r="T48" s="874">
        <f>M48-P48</f>
        <v>10615</v>
      </c>
      <c r="U48" s="876">
        <f t="shared" si="3"/>
        <v>31615</v>
      </c>
      <c r="V48" s="668">
        <v>44058</v>
      </c>
      <c r="W48" s="874">
        <v>0</v>
      </c>
      <c r="X48" s="875">
        <f>SUM(V48:W48)</f>
        <v>44058</v>
      </c>
      <c r="Y48" s="1805">
        <v>0</v>
      </c>
      <c r="Z48" s="876">
        <v>0</v>
      </c>
      <c r="AA48" s="877">
        <v>0</v>
      </c>
      <c r="AB48" s="917">
        <f aca="true" t="shared" si="22" ref="AB48:AC52">V48+Y48</f>
        <v>44058</v>
      </c>
      <c r="AC48" s="917">
        <f t="shared" si="22"/>
        <v>0</v>
      </c>
      <c r="AD48" s="918">
        <f>SUM(AB48:AC48)</f>
        <v>44058</v>
      </c>
      <c r="AE48" s="725"/>
      <c r="AF48" s="725"/>
      <c r="AG48" s="725"/>
      <c r="AH48" s="847"/>
      <c r="AI48" s="847"/>
      <c r="AJ48" s="847"/>
      <c r="AK48" s="725"/>
      <c r="AL48" s="725"/>
      <c r="AM48" s="635"/>
      <c r="AN48" s="635"/>
      <c r="AO48" s="635"/>
      <c r="AP48" s="635"/>
      <c r="AQ48" s="635"/>
      <c r="AR48" s="635"/>
      <c r="AS48" s="635"/>
    </row>
    <row r="49" spans="1:45" s="617" customFormat="1" ht="157.5" customHeight="1">
      <c r="A49" s="2084"/>
      <c r="B49" s="835" t="s">
        <v>52</v>
      </c>
      <c r="C49" s="835" t="s">
        <v>176</v>
      </c>
      <c r="D49" s="835" t="s">
        <v>176</v>
      </c>
      <c r="E49" s="835" t="s">
        <v>176</v>
      </c>
      <c r="F49" s="835" t="s">
        <v>176</v>
      </c>
      <c r="G49" s="835"/>
      <c r="H49" s="879" t="s">
        <v>167</v>
      </c>
      <c r="I49" s="836" t="s">
        <v>216</v>
      </c>
      <c r="J49" s="838" t="s">
        <v>168</v>
      </c>
      <c r="K49" s="1643"/>
      <c r="L49" s="632"/>
      <c r="M49" s="633"/>
      <c r="N49" s="1020">
        <f t="shared" si="2"/>
        <v>0</v>
      </c>
      <c r="O49" s="839"/>
      <c r="P49" s="839"/>
      <c r="Q49" s="845">
        <f t="shared" si="20"/>
        <v>0</v>
      </c>
      <c r="R49" s="835"/>
      <c r="S49" s="839">
        <f t="shared" si="21"/>
        <v>0</v>
      </c>
      <c r="T49" s="842">
        <f t="shared" si="21"/>
        <v>0</v>
      </c>
      <c r="U49" s="982">
        <f t="shared" si="3"/>
        <v>0</v>
      </c>
      <c r="V49" s="715"/>
      <c r="W49" s="715"/>
      <c r="X49" s="715"/>
      <c r="Y49" s="1806"/>
      <c r="Z49" s="880"/>
      <c r="AA49" s="925"/>
      <c r="AB49" s="919"/>
      <c r="AC49" s="919"/>
      <c r="AD49" s="741"/>
      <c r="AE49" s="725"/>
      <c r="AF49" s="725"/>
      <c r="AG49" s="725"/>
      <c r="AH49" s="847"/>
      <c r="AI49" s="847"/>
      <c r="AJ49" s="847"/>
      <c r="AK49" s="725"/>
      <c r="AL49" s="725"/>
      <c r="AM49" s="635"/>
      <c r="AN49" s="635"/>
      <c r="AO49" s="635"/>
      <c r="AP49" s="635"/>
      <c r="AQ49" s="635"/>
      <c r="AR49" s="635"/>
      <c r="AS49" s="635"/>
    </row>
    <row r="50" spans="1:45" s="617" customFormat="1" ht="29.25" customHeight="1">
      <c r="A50" s="2084"/>
      <c r="B50" s="920" t="s">
        <v>262</v>
      </c>
      <c r="C50" s="921"/>
      <c r="D50" s="921"/>
      <c r="E50" s="921"/>
      <c r="F50" s="921"/>
      <c r="G50" s="921"/>
      <c r="H50" s="922"/>
      <c r="I50" s="922"/>
      <c r="J50" s="923"/>
      <c r="K50" s="1650" t="s">
        <v>154</v>
      </c>
      <c r="L50" s="728">
        <v>0</v>
      </c>
      <c r="M50" s="729">
        <v>18900</v>
      </c>
      <c r="N50" s="1844">
        <f t="shared" si="2"/>
        <v>18900</v>
      </c>
      <c r="O50" s="1835">
        <v>0</v>
      </c>
      <c r="P50" s="663">
        <v>22370</v>
      </c>
      <c r="Q50" s="1851">
        <f t="shared" si="20"/>
        <v>22370</v>
      </c>
      <c r="R50" s="1128" t="s">
        <v>334</v>
      </c>
      <c r="S50" s="668">
        <f>L50-O50</f>
        <v>0</v>
      </c>
      <c r="T50" s="874">
        <f>M50-P50</f>
        <v>-3470</v>
      </c>
      <c r="U50" s="876">
        <f t="shared" si="3"/>
        <v>-3470</v>
      </c>
      <c r="V50" s="668">
        <v>0</v>
      </c>
      <c r="W50" s="874">
        <v>16500</v>
      </c>
      <c r="X50" s="875">
        <f>SUM(V50:W50)</f>
        <v>16500</v>
      </c>
      <c r="Y50" s="1805">
        <v>0</v>
      </c>
      <c r="Z50" s="876">
        <v>0</v>
      </c>
      <c r="AA50" s="877">
        <f>SUM(Y50:Z50)</f>
        <v>0</v>
      </c>
      <c r="AB50" s="917">
        <f t="shared" si="22"/>
        <v>0</v>
      </c>
      <c r="AC50" s="917">
        <f t="shared" si="22"/>
        <v>16500</v>
      </c>
      <c r="AD50" s="672">
        <f>SUM(AB50:AC50)</f>
        <v>16500</v>
      </c>
      <c r="AE50" s="725"/>
      <c r="AF50" s="725"/>
      <c r="AG50" s="725"/>
      <c r="AH50" s="847"/>
      <c r="AI50" s="847"/>
      <c r="AJ50" s="847"/>
      <c r="AK50" s="725"/>
      <c r="AL50" s="725"/>
      <c r="AM50" s="635"/>
      <c r="AN50" s="635"/>
      <c r="AO50" s="635"/>
      <c r="AP50" s="635"/>
      <c r="AQ50" s="635"/>
      <c r="AR50" s="635"/>
      <c r="AS50" s="635"/>
    </row>
    <row r="51" spans="1:45" s="617" customFormat="1" ht="72.75" customHeight="1">
      <c r="A51" s="2084"/>
      <c r="B51" s="835" t="s">
        <v>53</v>
      </c>
      <c r="C51" s="835"/>
      <c r="D51" s="835" t="s">
        <v>176</v>
      </c>
      <c r="E51" s="835" t="s">
        <v>176</v>
      </c>
      <c r="F51" s="835" t="s">
        <v>176</v>
      </c>
      <c r="G51" s="835"/>
      <c r="H51" s="879" t="s">
        <v>167</v>
      </c>
      <c r="I51" s="836" t="s">
        <v>155</v>
      </c>
      <c r="J51" s="845" t="s">
        <v>168</v>
      </c>
      <c r="K51" s="1643"/>
      <c r="L51" s="632"/>
      <c r="M51" s="633"/>
      <c r="N51" s="1020">
        <f t="shared" si="2"/>
        <v>0</v>
      </c>
      <c r="O51" s="839"/>
      <c r="P51" s="839"/>
      <c r="Q51" s="845">
        <f t="shared" si="20"/>
        <v>0</v>
      </c>
      <c r="R51" s="835"/>
      <c r="S51" s="839">
        <f t="shared" si="21"/>
        <v>0</v>
      </c>
      <c r="T51" s="842">
        <f t="shared" si="21"/>
        <v>0</v>
      </c>
      <c r="U51" s="982">
        <f t="shared" si="3"/>
        <v>0</v>
      </c>
      <c r="V51" s="715"/>
      <c r="W51" s="715"/>
      <c r="X51" s="715"/>
      <c r="Y51" s="1807"/>
      <c r="Z51" s="845"/>
      <c r="AA51" s="935"/>
      <c r="AB51" s="916"/>
      <c r="AC51" s="926"/>
      <c r="AD51" s="927"/>
      <c r="AE51" s="725"/>
      <c r="AF51" s="725"/>
      <c r="AG51" s="725"/>
      <c r="AH51" s="847"/>
      <c r="AI51" s="847"/>
      <c r="AJ51" s="847"/>
      <c r="AK51" s="725"/>
      <c r="AL51" s="725"/>
      <c r="AM51" s="635"/>
      <c r="AN51" s="635"/>
      <c r="AO51" s="635"/>
      <c r="AP51" s="635"/>
      <c r="AQ51" s="635"/>
      <c r="AR51" s="635"/>
      <c r="AS51" s="635"/>
    </row>
    <row r="52" spans="1:45" s="617" customFormat="1" ht="46.5" customHeight="1">
      <c r="A52" s="2144"/>
      <c r="B52" s="872" t="s">
        <v>264</v>
      </c>
      <c r="C52" s="873"/>
      <c r="D52" s="873"/>
      <c r="E52" s="873"/>
      <c r="F52" s="873"/>
      <c r="G52" s="873"/>
      <c r="H52" s="857"/>
      <c r="I52" s="857"/>
      <c r="J52" s="856"/>
      <c r="K52" s="1644" t="s">
        <v>154</v>
      </c>
      <c r="L52" s="676">
        <v>4000</v>
      </c>
      <c r="M52" s="677">
        <v>1120</v>
      </c>
      <c r="N52" s="1816">
        <f t="shared" si="2"/>
        <v>5120</v>
      </c>
      <c r="O52" s="1852">
        <v>3728</v>
      </c>
      <c r="P52" s="668">
        <v>2567</v>
      </c>
      <c r="Q52" s="875">
        <f t="shared" si="20"/>
        <v>6295</v>
      </c>
      <c r="R52" s="1128" t="s">
        <v>334</v>
      </c>
      <c r="S52" s="668">
        <f>L52-O52</f>
        <v>272</v>
      </c>
      <c r="T52" s="874">
        <f>M52-P52</f>
        <v>-1447</v>
      </c>
      <c r="U52" s="876">
        <f t="shared" si="3"/>
        <v>-1175</v>
      </c>
      <c r="V52" s="668">
        <v>4705</v>
      </c>
      <c r="W52" s="874">
        <v>1120</v>
      </c>
      <c r="X52" s="875">
        <f>SUM(V52:W52)</f>
        <v>5825</v>
      </c>
      <c r="Y52" s="1805">
        <v>0</v>
      </c>
      <c r="Z52" s="876">
        <v>0</v>
      </c>
      <c r="AA52" s="877">
        <f>SUM(Y52:Z52)</f>
        <v>0</v>
      </c>
      <c r="AB52" s="917">
        <f t="shared" si="22"/>
        <v>4705</v>
      </c>
      <c r="AC52" s="917">
        <f t="shared" si="22"/>
        <v>1120</v>
      </c>
      <c r="AD52" s="672">
        <f>SUM(AB52:AC52)</f>
        <v>5825</v>
      </c>
      <c r="AE52" s="725"/>
      <c r="AF52" s="725"/>
      <c r="AG52" s="725"/>
      <c r="AH52" s="847"/>
      <c r="AI52" s="847"/>
      <c r="AJ52" s="847"/>
      <c r="AK52" s="725"/>
      <c r="AL52" s="725"/>
      <c r="AM52" s="635"/>
      <c r="AN52" s="635"/>
      <c r="AO52" s="635"/>
      <c r="AP52" s="635"/>
      <c r="AQ52" s="635"/>
      <c r="AR52" s="635"/>
      <c r="AS52" s="635"/>
    </row>
    <row r="53" spans="1:45" s="928" customFormat="1" ht="25.5" customHeight="1">
      <c r="A53" s="737"/>
      <c r="B53" s="647" t="s">
        <v>337</v>
      </c>
      <c r="C53" s="648"/>
      <c r="D53" s="648"/>
      <c r="E53" s="648"/>
      <c r="F53" s="648"/>
      <c r="G53" s="648"/>
      <c r="H53" s="697"/>
      <c r="I53" s="649"/>
      <c r="J53" s="649"/>
      <c r="K53" s="1651"/>
      <c r="L53" s="650">
        <f aca="true" t="shared" si="23" ref="L53:AD53">SUM(L47:L52)</f>
        <v>25000</v>
      </c>
      <c r="M53" s="651">
        <f t="shared" si="23"/>
        <v>30635</v>
      </c>
      <c r="N53" s="654">
        <f t="shared" si="23"/>
        <v>55635</v>
      </c>
      <c r="O53" s="651">
        <f t="shared" si="23"/>
        <v>3728</v>
      </c>
      <c r="P53" s="651">
        <f t="shared" si="23"/>
        <v>24937</v>
      </c>
      <c r="Q53" s="651">
        <f t="shared" si="23"/>
        <v>28665</v>
      </c>
      <c r="R53" s="651">
        <f t="shared" si="23"/>
        <v>0</v>
      </c>
      <c r="S53" s="651">
        <f t="shared" si="23"/>
        <v>21272</v>
      </c>
      <c r="T53" s="651">
        <f t="shared" si="23"/>
        <v>5698</v>
      </c>
      <c r="U53" s="651">
        <f t="shared" si="23"/>
        <v>26970</v>
      </c>
      <c r="V53" s="651">
        <f t="shared" si="23"/>
        <v>48763</v>
      </c>
      <c r="W53" s="651">
        <f t="shared" si="23"/>
        <v>17620</v>
      </c>
      <c r="X53" s="651">
        <f t="shared" si="23"/>
        <v>66383</v>
      </c>
      <c r="Y53" s="653">
        <f t="shared" si="23"/>
        <v>0</v>
      </c>
      <c r="Z53" s="651">
        <f t="shared" si="23"/>
        <v>0</v>
      </c>
      <c r="AA53" s="654">
        <f t="shared" si="23"/>
        <v>0</v>
      </c>
      <c r="AB53" s="651">
        <f t="shared" si="23"/>
        <v>48763</v>
      </c>
      <c r="AC53" s="653">
        <f t="shared" si="23"/>
        <v>17620</v>
      </c>
      <c r="AD53" s="1597">
        <f t="shared" si="23"/>
        <v>66383</v>
      </c>
      <c r="AE53" s="781"/>
      <c r="AF53" s="769"/>
      <c r="AG53" s="781"/>
      <c r="AH53" s="847"/>
      <c r="AI53" s="847"/>
      <c r="AJ53" s="847"/>
      <c r="AK53" s="769"/>
      <c r="AL53" s="769"/>
      <c r="AM53" s="750"/>
      <c r="AN53" s="750"/>
      <c r="AO53" s="750"/>
      <c r="AP53" s="750"/>
      <c r="AQ53" s="750"/>
      <c r="AR53" s="750"/>
      <c r="AS53" s="750"/>
    </row>
    <row r="54" spans="1:45" s="616" customFormat="1" ht="159.75" customHeight="1">
      <c r="A54" s="1858" t="s">
        <v>537</v>
      </c>
      <c r="B54" s="835" t="s">
        <v>501</v>
      </c>
      <c r="C54" s="835" t="s">
        <v>176</v>
      </c>
      <c r="D54" s="835"/>
      <c r="E54" s="835"/>
      <c r="F54" s="835"/>
      <c r="G54" s="835"/>
      <c r="H54" s="879" t="s">
        <v>167</v>
      </c>
      <c r="I54" s="836" t="s">
        <v>305</v>
      </c>
      <c r="J54" s="838" t="s">
        <v>177</v>
      </c>
      <c r="K54" s="1643"/>
      <c r="L54" s="632"/>
      <c r="M54" s="633"/>
      <c r="N54" s="1020">
        <f aca="true" t="shared" si="24" ref="N54:N77">L54+M54</f>
        <v>0</v>
      </c>
      <c r="O54" s="839"/>
      <c r="P54" s="839"/>
      <c r="Q54" s="845">
        <f aca="true" t="shared" si="25" ref="Q54:Q61">O54+P54</f>
        <v>0</v>
      </c>
      <c r="R54" s="838"/>
      <c r="S54" s="839">
        <f aca="true" t="shared" si="26" ref="S54:T61">L54-O54</f>
        <v>0</v>
      </c>
      <c r="T54" s="842">
        <f t="shared" si="26"/>
        <v>0</v>
      </c>
      <c r="U54" s="982">
        <f aca="true" t="shared" si="27" ref="U54:U89">S54+T54</f>
        <v>0</v>
      </c>
      <c r="V54" s="715"/>
      <c r="W54" s="715"/>
      <c r="X54" s="715"/>
      <c r="Y54" s="1806"/>
      <c r="Z54" s="880"/>
      <c r="AA54" s="925"/>
      <c r="AB54" s="929"/>
      <c r="AC54" s="929"/>
      <c r="AD54" s="930"/>
      <c r="AE54" s="725"/>
      <c r="AF54" s="725"/>
      <c r="AG54" s="725"/>
      <c r="AH54" s="847"/>
      <c r="AI54" s="847"/>
      <c r="AJ54" s="847"/>
      <c r="AK54" s="725"/>
      <c r="AL54" s="725"/>
      <c r="AM54" s="725"/>
      <c r="AN54" s="725"/>
      <c r="AO54" s="725"/>
      <c r="AP54" s="725"/>
      <c r="AQ54" s="725"/>
      <c r="AR54" s="725"/>
      <c r="AS54" s="725"/>
    </row>
    <row r="55" spans="1:45" s="616" customFormat="1" ht="31.5" customHeight="1">
      <c r="A55" s="1008"/>
      <c r="B55" s="872" t="s">
        <v>26</v>
      </c>
      <c r="C55" s="873"/>
      <c r="D55" s="873"/>
      <c r="E55" s="873"/>
      <c r="F55" s="873"/>
      <c r="G55" s="873"/>
      <c r="H55" s="857"/>
      <c r="I55" s="857"/>
      <c r="J55" s="856"/>
      <c r="K55" s="1644" t="s">
        <v>328</v>
      </c>
      <c r="L55" s="676">
        <v>0</v>
      </c>
      <c r="M55" s="677">
        <v>11524</v>
      </c>
      <c r="N55" s="1816">
        <f t="shared" si="24"/>
        <v>11524</v>
      </c>
      <c r="O55" s="668">
        <v>0</v>
      </c>
      <c r="P55" s="668">
        <v>16008</v>
      </c>
      <c r="Q55" s="875">
        <f t="shared" si="25"/>
        <v>16008</v>
      </c>
      <c r="R55" s="1128"/>
      <c r="S55" s="668">
        <f t="shared" si="26"/>
        <v>0</v>
      </c>
      <c r="T55" s="874">
        <f t="shared" si="26"/>
        <v>-4484</v>
      </c>
      <c r="U55" s="876">
        <f t="shared" si="27"/>
        <v>-4484</v>
      </c>
      <c r="V55" s="668">
        <v>0</v>
      </c>
      <c r="W55" s="874">
        <v>4484</v>
      </c>
      <c r="X55" s="875">
        <f>SUM(V55:W55)</f>
        <v>4484</v>
      </c>
      <c r="Y55" s="1805">
        <v>0</v>
      </c>
      <c r="Z55" s="876">
        <v>0</v>
      </c>
      <c r="AA55" s="877">
        <f>SUM(Y55:Z55)</f>
        <v>0</v>
      </c>
      <c r="AB55" s="668">
        <f>V55+Y55</f>
        <v>0</v>
      </c>
      <c r="AC55" s="874">
        <f>W55+Z55</f>
        <v>4484</v>
      </c>
      <c r="AD55" s="672">
        <f>SUM(AB55:AC55)</f>
        <v>4484</v>
      </c>
      <c r="AE55" s="725"/>
      <c r="AF55" s="725"/>
      <c r="AG55" s="725"/>
      <c r="AH55" s="847"/>
      <c r="AI55" s="847"/>
      <c r="AJ55" s="847"/>
      <c r="AK55" s="725"/>
      <c r="AL55" s="725"/>
      <c r="AM55" s="725"/>
      <c r="AN55" s="725"/>
      <c r="AO55" s="725"/>
      <c r="AP55" s="725"/>
      <c r="AQ55" s="725"/>
      <c r="AR55" s="725"/>
      <c r="AS55" s="725"/>
    </row>
    <row r="56" spans="1:45" s="616" customFormat="1" ht="140.25" customHeight="1">
      <c r="A56" s="2083" t="s">
        <v>600</v>
      </c>
      <c r="B56" s="835" t="s">
        <v>55</v>
      </c>
      <c r="C56" s="835" t="s">
        <v>176</v>
      </c>
      <c r="D56" s="835" t="s">
        <v>176</v>
      </c>
      <c r="E56" s="835"/>
      <c r="F56" s="835"/>
      <c r="G56" s="835"/>
      <c r="H56" s="879" t="s">
        <v>167</v>
      </c>
      <c r="I56" s="836" t="s">
        <v>306</v>
      </c>
      <c r="J56" s="838" t="s">
        <v>156</v>
      </c>
      <c r="K56" s="1643"/>
      <c r="L56" s="632"/>
      <c r="M56" s="633"/>
      <c r="N56" s="1020">
        <f t="shared" si="24"/>
        <v>0</v>
      </c>
      <c r="O56" s="839"/>
      <c r="P56" s="839"/>
      <c r="Q56" s="845">
        <f t="shared" si="25"/>
        <v>0</v>
      </c>
      <c r="R56" s="835"/>
      <c r="S56" s="839">
        <f t="shared" si="26"/>
        <v>0</v>
      </c>
      <c r="T56" s="842">
        <f t="shared" si="26"/>
        <v>0</v>
      </c>
      <c r="U56" s="982">
        <f t="shared" si="27"/>
        <v>0</v>
      </c>
      <c r="V56" s="715"/>
      <c r="W56" s="715"/>
      <c r="X56" s="715"/>
      <c r="Y56" s="1806"/>
      <c r="Z56" s="880"/>
      <c r="AA56" s="925"/>
      <c r="AB56" s="931"/>
      <c r="AC56" s="931"/>
      <c r="AD56" s="932"/>
      <c r="AE56" s="725"/>
      <c r="AF56" s="725"/>
      <c r="AG56" s="725"/>
      <c r="AH56" s="847"/>
      <c r="AI56" s="847"/>
      <c r="AJ56" s="847"/>
      <c r="AK56" s="725"/>
      <c r="AL56" s="725"/>
      <c r="AM56" s="725"/>
      <c r="AN56" s="725"/>
      <c r="AO56" s="725"/>
      <c r="AP56" s="725"/>
      <c r="AQ56" s="725"/>
      <c r="AR56" s="725"/>
      <c r="AS56" s="725"/>
    </row>
    <row r="57" spans="1:45" s="616" customFormat="1" ht="30" customHeight="1">
      <c r="A57" s="2144"/>
      <c r="B57" s="872" t="s">
        <v>268</v>
      </c>
      <c r="C57" s="873"/>
      <c r="D57" s="873"/>
      <c r="E57" s="873"/>
      <c r="F57" s="873"/>
      <c r="G57" s="873"/>
      <c r="H57" s="857"/>
      <c r="I57" s="857"/>
      <c r="J57" s="856"/>
      <c r="K57" s="1644" t="s">
        <v>217</v>
      </c>
      <c r="L57" s="676">
        <v>0</v>
      </c>
      <c r="M57" s="677">
        <v>22260</v>
      </c>
      <c r="N57" s="1816">
        <f t="shared" si="24"/>
        <v>22260</v>
      </c>
      <c r="O57" s="668">
        <v>0</v>
      </c>
      <c r="P57" s="668">
        <v>33396</v>
      </c>
      <c r="Q57" s="875">
        <f t="shared" si="25"/>
        <v>33396</v>
      </c>
      <c r="R57" s="1981"/>
      <c r="S57" s="668">
        <f t="shared" si="26"/>
        <v>0</v>
      </c>
      <c r="T57" s="874">
        <f t="shared" si="26"/>
        <v>-11136</v>
      </c>
      <c r="U57" s="876">
        <f t="shared" si="27"/>
        <v>-11136</v>
      </c>
      <c r="V57" s="668">
        <v>0</v>
      </c>
      <c r="W57" s="874">
        <f>12956</f>
        <v>12956</v>
      </c>
      <c r="X57" s="875">
        <f>SUM(V57:W57)</f>
        <v>12956</v>
      </c>
      <c r="Y57" s="1805">
        <v>0</v>
      </c>
      <c r="Z57" s="876">
        <v>0</v>
      </c>
      <c r="AA57" s="877">
        <f>SUM(Y57:Z57)</f>
        <v>0</v>
      </c>
      <c r="AB57" s="668">
        <f>V57+Y57</f>
        <v>0</v>
      </c>
      <c r="AC57" s="874">
        <f>W57+Z57</f>
        <v>12956</v>
      </c>
      <c r="AD57" s="672">
        <f>SUM(AB57:AC57)</f>
        <v>12956</v>
      </c>
      <c r="AE57" s="725"/>
      <c r="AF57" s="725"/>
      <c r="AG57" s="725"/>
      <c r="AH57" s="847"/>
      <c r="AI57" s="847"/>
      <c r="AJ57" s="847"/>
      <c r="AK57" s="725"/>
      <c r="AL57" s="725"/>
      <c r="AM57" s="725"/>
      <c r="AN57" s="725"/>
      <c r="AO57" s="725"/>
      <c r="AP57" s="725"/>
      <c r="AQ57" s="725"/>
      <c r="AR57" s="725"/>
      <c r="AS57" s="725"/>
    </row>
    <row r="58" spans="1:45" s="616" customFormat="1" ht="152.25" customHeight="1">
      <c r="A58" s="934"/>
      <c r="B58" s="888" t="s">
        <v>56</v>
      </c>
      <c r="C58" s="888" t="s">
        <v>176</v>
      </c>
      <c r="D58" s="888" t="s">
        <v>176</v>
      </c>
      <c r="E58" s="888"/>
      <c r="F58" s="888"/>
      <c r="G58" s="888"/>
      <c r="H58" s="889" t="s">
        <v>167</v>
      </c>
      <c r="I58" s="890" t="s">
        <v>305</v>
      </c>
      <c r="J58" s="891" t="s">
        <v>177</v>
      </c>
      <c r="K58" s="1646"/>
      <c r="L58" s="703"/>
      <c r="M58" s="704"/>
      <c r="N58" s="1843">
        <f t="shared" si="24"/>
        <v>0</v>
      </c>
      <c r="O58" s="708"/>
      <c r="P58" s="708"/>
      <c r="Q58" s="895">
        <f t="shared" si="25"/>
        <v>0</v>
      </c>
      <c r="R58" s="1982"/>
      <c r="S58" s="708">
        <f t="shared" si="26"/>
        <v>0</v>
      </c>
      <c r="T58" s="894">
        <f t="shared" si="26"/>
        <v>0</v>
      </c>
      <c r="U58" s="1841">
        <f t="shared" si="27"/>
        <v>0</v>
      </c>
      <c r="V58" s="708"/>
      <c r="W58" s="708"/>
      <c r="X58" s="708"/>
      <c r="Y58" s="1821"/>
      <c r="Z58" s="895"/>
      <c r="AA58" s="1006"/>
      <c r="AB58" s="911"/>
      <c r="AC58" s="911"/>
      <c r="AD58" s="933"/>
      <c r="AE58" s="725"/>
      <c r="AF58" s="725"/>
      <c r="AG58" s="725"/>
      <c r="AH58" s="847"/>
      <c r="AI58" s="847"/>
      <c r="AJ58" s="847"/>
      <c r="AK58" s="725"/>
      <c r="AL58" s="725"/>
      <c r="AM58" s="725"/>
      <c r="AN58" s="725"/>
      <c r="AO58" s="725"/>
      <c r="AP58" s="725"/>
      <c r="AQ58" s="725"/>
      <c r="AR58" s="725"/>
      <c r="AS58" s="725"/>
    </row>
    <row r="59" spans="1:45" s="616" customFormat="1" ht="27.75" customHeight="1">
      <c r="A59" s="934"/>
      <c r="B59" s="872" t="s">
        <v>11</v>
      </c>
      <c r="C59" s="873"/>
      <c r="D59" s="873"/>
      <c r="E59" s="873"/>
      <c r="F59" s="873"/>
      <c r="G59" s="873"/>
      <c r="H59" s="857"/>
      <c r="I59" s="857"/>
      <c r="J59" s="856"/>
      <c r="K59" s="1644" t="s">
        <v>329</v>
      </c>
      <c r="L59" s="676">
        <v>0</v>
      </c>
      <c r="M59" s="677">
        <v>29600</v>
      </c>
      <c r="N59" s="1816">
        <f t="shared" si="24"/>
        <v>29600</v>
      </c>
      <c r="O59" s="668">
        <v>0</v>
      </c>
      <c r="P59" s="668">
        <f>29600-1698</f>
        <v>27902</v>
      </c>
      <c r="Q59" s="875">
        <f t="shared" si="25"/>
        <v>27902</v>
      </c>
      <c r="R59" s="1128"/>
      <c r="S59" s="668">
        <f t="shared" si="26"/>
        <v>0</v>
      </c>
      <c r="T59" s="874">
        <f t="shared" si="26"/>
        <v>1698</v>
      </c>
      <c r="U59" s="876">
        <f t="shared" si="27"/>
        <v>1698</v>
      </c>
      <c r="V59" s="668">
        <v>0</v>
      </c>
      <c r="W59" s="874">
        <v>1698</v>
      </c>
      <c r="X59" s="875">
        <f>SUM(V59:W59)</f>
        <v>1698</v>
      </c>
      <c r="Y59" s="1805">
        <v>0</v>
      </c>
      <c r="Z59" s="876">
        <v>0</v>
      </c>
      <c r="AA59" s="877">
        <f>SUM(Y59:Z59)</f>
        <v>0</v>
      </c>
      <c r="AB59" s="668">
        <f>V59+Y59</f>
        <v>0</v>
      </c>
      <c r="AC59" s="874">
        <f>W59+Z59</f>
        <v>1698</v>
      </c>
      <c r="AD59" s="672">
        <f>SUM(AB59:AC59)</f>
        <v>1698</v>
      </c>
      <c r="AE59" s="725"/>
      <c r="AF59" s="725"/>
      <c r="AG59" s="725"/>
      <c r="AH59" s="847"/>
      <c r="AI59" s="847"/>
      <c r="AJ59" s="847"/>
      <c r="AK59" s="725"/>
      <c r="AL59" s="725"/>
      <c r="AM59" s="725"/>
      <c r="AN59" s="725"/>
      <c r="AO59" s="725"/>
      <c r="AP59" s="725"/>
      <c r="AQ59" s="725"/>
      <c r="AR59" s="725"/>
      <c r="AS59" s="725"/>
    </row>
    <row r="60" spans="1:45" s="616" customFormat="1" ht="165.75" customHeight="1">
      <c r="A60" s="934"/>
      <c r="B60" s="835" t="s">
        <v>56</v>
      </c>
      <c r="C60" s="835" t="s">
        <v>176</v>
      </c>
      <c r="D60" s="835" t="s">
        <v>176</v>
      </c>
      <c r="E60" s="835" t="s">
        <v>176</v>
      </c>
      <c r="F60" s="835" t="s">
        <v>176</v>
      </c>
      <c r="G60" s="835"/>
      <c r="H60" s="879" t="s">
        <v>167</v>
      </c>
      <c r="I60" s="836" t="s">
        <v>306</v>
      </c>
      <c r="J60" s="838" t="s">
        <v>156</v>
      </c>
      <c r="K60" s="1643"/>
      <c r="L60" s="632"/>
      <c r="M60" s="633"/>
      <c r="N60" s="1020">
        <f t="shared" si="24"/>
        <v>0</v>
      </c>
      <c r="O60" s="839"/>
      <c r="P60" s="839"/>
      <c r="Q60" s="845">
        <f t="shared" si="25"/>
        <v>0</v>
      </c>
      <c r="R60" s="835"/>
      <c r="S60" s="839">
        <f t="shared" si="26"/>
        <v>0</v>
      </c>
      <c r="T60" s="842">
        <f t="shared" si="26"/>
        <v>0</v>
      </c>
      <c r="U60" s="982">
        <f t="shared" si="27"/>
        <v>0</v>
      </c>
      <c r="V60" s="715"/>
      <c r="W60" s="715"/>
      <c r="X60" s="715"/>
      <c r="Y60" s="1806"/>
      <c r="Z60" s="880"/>
      <c r="AA60" s="925"/>
      <c r="AB60" s="929"/>
      <c r="AC60" s="929"/>
      <c r="AD60" s="930"/>
      <c r="AE60" s="725"/>
      <c r="AF60" s="725"/>
      <c r="AG60" s="725"/>
      <c r="AH60" s="847"/>
      <c r="AI60" s="847"/>
      <c r="AJ60" s="847"/>
      <c r="AK60" s="725"/>
      <c r="AL60" s="725"/>
      <c r="AM60" s="725"/>
      <c r="AN60" s="725"/>
      <c r="AO60" s="725"/>
      <c r="AP60" s="725"/>
      <c r="AQ60" s="725"/>
      <c r="AR60" s="725"/>
      <c r="AS60" s="725"/>
    </row>
    <row r="61" spans="1:45" s="617" customFormat="1" ht="33" customHeight="1">
      <c r="A61" s="733"/>
      <c r="B61" s="872" t="s">
        <v>11</v>
      </c>
      <c r="C61" s="873"/>
      <c r="D61" s="873"/>
      <c r="E61" s="873"/>
      <c r="F61" s="873"/>
      <c r="G61" s="873"/>
      <c r="H61" s="873"/>
      <c r="I61" s="857"/>
      <c r="J61" s="856"/>
      <c r="K61" s="1644" t="s">
        <v>185</v>
      </c>
      <c r="L61" s="676">
        <v>0</v>
      </c>
      <c r="M61" s="677">
        <v>23048</v>
      </c>
      <c r="N61" s="1816">
        <f t="shared" si="24"/>
        <v>23048</v>
      </c>
      <c r="O61" s="668">
        <v>0</v>
      </c>
      <c r="P61" s="668">
        <v>11780</v>
      </c>
      <c r="Q61" s="875">
        <f t="shared" si="25"/>
        <v>11780</v>
      </c>
      <c r="R61" s="1981"/>
      <c r="S61" s="668">
        <f t="shared" si="26"/>
        <v>0</v>
      </c>
      <c r="T61" s="874">
        <f t="shared" si="26"/>
        <v>11268</v>
      </c>
      <c r="U61" s="876">
        <f t="shared" si="27"/>
        <v>11268</v>
      </c>
      <c r="V61" s="668">
        <v>0</v>
      </c>
      <c r="W61" s="874">
        <v>8376</v>
      </c>
      <c r="X61" s="875">
        <f>SUM(V61:W61)</f>
        <v>8376</v>
      </c>
      <c r="Y61" s="1805">
        <v>0</v>
      </c>
      <c r="Z61" s="876">
        <v>0</v>
      </c>
      <c r="AA61" s="877">
        <f>SUM(Y61:Z61)</f>
        <v>0</v>
      </c>
      <c r="AB61" s="668">
        <f>V61+Y61</f>
        <v>0</v>
      </c>
      <c r="AC61" s="874">
        <f>W61+Z61</f>
        <v>8376</v>
      </c>
      <c r="AD61" s="672">
        <f>SUM(AB61:AC61)</f>
        <v>8376</v>
      </c>
      <c r="AE61" s="725"/>
      <c r="AF61" s="725"/>
      <c r="AG61" s="725"/>
      <c r="AH61" s="847"/>
      <c r="AI61" s="847"/>
      <c r="AJ61" s="847"/>
      <c r="AK61" s="725"/>
      <c r="AL61" s="725"/>
      <c r="AM61" s="635"/>
      <c r="AN61" s="635"/>
      <c r="AO61" s="635"/>
      <c r="AP61" s="635"/>
      <c r="AQ61" s="635"/>
      <c r="AR61" s="635"/>
      <c r="AS61" s="635"/>
    </row>
    <row r="62" spans="1:45" s="928" customFormat="1" ht="25.5" customHeight="1">
      <c r="A62" s="737"/>
      <c r="B62" s="647" t="s">
        <v>339</v>
      </c>
      <c r="C62" s="648"/>
      <c r="D62" s="648"/>
      <c r="E62" s="648"/>
      <c r="F62" s="648"/>
      <c r="G62" s="648"/>
      <c r="H62" s="697"/>
      <c r="I62" s="649"/>
      <c r="J62" s="649"/>
      <c r="K62" s="1651"/>
      <c r="L62" s="650">
        <f aca="true" t="shared" si="28" ref="L62:AD62">SUM(L54:L61)</f>
        <v>0</v>
      </c>
      <c r="M62" s="651">
        <f t="shared" si="28"/>
        <v>86432</v>
      </c>
      <c r="N62" s="654">
        <f t="shared" si="28"/>
        <v>86432</v>
      </c>
      <c r="O62" s="651">
        <f t="shared" si="28"/>
        <v>0</v>
      </c>
      <c r="P62" s="651">
        <f t="shared" si="28"/>
        <v>89086</v>
      </c>
      <c r="Q62" s="651">
        <f t="shared" si="28"/>
        <v>89086</v>
      </c>
      <c r="R62" s="651">
        <f t="shared" si="28"/>
        <v>0</v>
      </c>
      <c r="S62" s="651">
        <f t="shared" si="28"/>
        <v>0</v>
      </c>
      <c r="T62" s="651">
        <f t="shared" si="28"/>
        <v>-2654</v>
      </c>
      <c r="U62" s="651">
        <f t="shared" si="28"/>
        <v>-2654</v>
      </c>
      <c r="V62" s="651">
        <f t="shared" si="28"/>
        <v>0</v>
      </c>
      <c r="W62" s="651">
        <f t="shared" si="28"/>
        <v>27514</v>
      </c>
      <c r="X62" s="651">
        <f t="shared" si="28"/>
        <v>27514</v>
      </c>
      <c r="Y62" s="653">
        <f t="shared" si="28"/>
        <v>0</v>
      </c>
      <c r="Z62" s="651">
        <f t="shared" si="28"/>
        <v>0</v>
      </c>
      <c r="AA62" s="654">
        <f t="shared" si="28"/>
        <v>0</v>
      </c>
      <c r="AB62" s="651">
        <f t="shared" si="28"/>
        <v>0</v>
      </c>
      <c r="AC62" s="651">
        <f t="shared" si="28"/>
        <v>27514</v>
      </c>
      <c r="AD62" s="700">
        <f t="shared" si="28"/>
        <v>27514</v>
      </c>
      <c r="AE62" s="781"/>
      <c r="AF62" s="769"/>
      <c r="AG62" s="769"/>
      <c r="AH62" s="847"/>
      <c r="AI62" s="847"/>
      <c r="AJ62" s="847"/>
      <c r="AK62" s="769"/>
      <c r="AL62" s="769"/>
      <c r="AM62" s="750"/>
      <c r="AN62" s="750"/>
      <c r="AO62" s="750"/>
      <c r="AP62" s="750"/>
      <c r="AQ62" s="750"/>
      <c r="AR62" s="750"/>
      <c r="AS62" s="750"/>
    </row>
    <row r="63" spans="1:45" s="617" customFormat="1" ht="54" customHeight="1">
      <c r="A63" s="2101" t="s">
        <v>599</v>
      </c>
      <c r="B63" s="835" t="s">
        <v>57</v>
      </c>
      <c r="C63" s="835"/>
      <c r="D63" s="835"/>
      <c r="E63" s="835" t="s">
        <v>176</v>
      </c>
      <c r="F63" s="835"/>
      <c r="G63" s="835"/>
      <c r="H63" s="879" t="s">
        <v>167</v>
      </c>
      <c r="I63" s="836" t="s">
        <v>167</v>
      </c>
      <c r="J63" s="838" t="s">
        <v>183</v>
      </c>
      <c r="K63" s="1643"/>
      <c r="L63" s="632"/>
      <c r="M63" s="633"/>
      <c r="N63" s="1020">
        <f t="shared" si="24"/>
        <v>0</v>
      </c>
      <c r="O63" s="839"/>
      <c r="P63" s="839"/>
      <c r="Q63" s="845">
        <f>O63+P63</f>
        <v>0</v>
      </c>
      <c r="R63" s="838"/>
      <c r="S63" s="839">
        <f aca="true" t="shared" si="29" ref="S63:T65">L63-O63</f>
        <v>0</v>
      </c>
      <c r="T63" s="842">
        <f t="shared" si="29"/>
        <v>0</v>
      </c>
      <c r="U63" s="982">
        <f t="shared" si="27"/>
        <v>0</v>
      </c>
      <c r="V63" s="839"/>
      <c r="W63" s="839"/>
      <c r="X63" s="839"/>
      <c r="Y63" s="1807"/>
      <c r="Z63" s="845"/>
      <c r="AA63" s="935"/>
      <c r="AB63" s="839"/>
      <c r="AC63" s="839"/>
      <c r="AD63" s="846"/>
      <c r="AE63" s="725"/>
      <c r="AF63" s="725"/>
      <c r="AG63" s="725"/>
      <c r="AH63" s="847"/>
      <c r="AI63" s="847"/>
      <c r="AJ63" s="847"/>
      <c r="AK63" s="725"/>
      <c r="AL63" s="725"/>
      <c r="AM63" s="635"/>
      <c r="AN63" s="635"/>
      <c r="AO63" s="635"/>
      <c r="AP63" s="635"/>
      <c r="AQ63" s="635"/>
      <c r="AR63" s="635"/>
      <c r="AS63" s="635"/>
    </row>
    <row r="64" spans="1:45" s="735" customFormat="1" ht="43.5" customHeight="1">
      <c r="A64" s="2102"/>
      <c r="B64" s="872" t="s">
        <v>298</v>
      </c>
      <c r="C64" s="873"/>
      <c r="D64" s="873"/>
      <c r="E64" s="873"/>
      <c r="F64" s="873"/>
      <c r="G64" s="873"/>
      <c r="H64" s="873"/>
      <c r="I64" s="857"/>
      <c r="J64" s="856"/>
      <c r="K64" s="1644" t="s">
        <v>154</v>
      </c>
      <c r="L64" s="670">
        <v>4000</v>
      </c>
      <c r="M64" s="668">
        <v>1000</v>
      </c>
      <c r="N64" s="877">
        <f>L64+M64</f>
        <v>5000</v>
      </c>
      <c r="O64" s="668">
        <v>0</v>
      </c>
      <c r="P64" s="668">
        <v>0</v>
      </c>
      <c r="Q64" s="875">
        <f>O64+P64</f>
        <v>0</v>
      </c>
      <c r="R64" s="1128" t="s">
        <v>334</v>
      </c>
      <c r="S64" s="668">
        <f>L64-O64</f>
        <v>4000</v>
      </c>
      <c r="T64" s="874">
        <f>M64-P64</f>
        <v>1000</v>
      </c>
      <c r="U64" s="876">
        <f t="shared" si="27"/>
        <v>5000</v>
      </c>
      <c r="V64" s="668">
        <v>4361</v>
      </c>
      <c r="W64" s="874">
        <v>1000</v>
      </c>
      <c r="X64" s="875">
        <f>SUM(V64:W64)</f>
        <v>5361</v>
      </c>
      <c r="Y64" s="1805">
        <v>0</v>
      </c>
      <c r="Z64" s="876">
        <v>0</v>
      </c>
      <c r="AA64" s="877">
        <f>SUM(Y64:Z64)</f>
        <v>0</v>
      </c>
      <c r="AB64" s="677">
        <f>V64+Y64</f>
        <v>4361</v>
      </c>
      <c r="AC64" s="874">
        <f>W64+Z64</f>
        <v>1000</v>
      </c>
      <c r="AD64" s="672">
        <f>SUM(AB64:AC64)</f>
        <v>5361</v>
      </c>
      <c r="AE64" s="725"/>
      <c r="AF64" s="725"/>
      <c r="AG64" s="725"/>
      <c r="AH64" s="847"/>
      <c r="AI64" s="847"/>
      <c r="AJ64" s="847"/>
      <c r="AK64" s="725"/>
      <c r="AL64" s="725"/>
      <c r="AM64" s="635"/>
      <c r="AN64" s="635"/>
      <c r="AO64" s="635"/>
      <c r="AP64" s="635"/>
      <c r="AQ64" s="635"/>
      <c r="AR64" s="635"/>
      <c r="AS64" s="635"/>
    </row>
    <row r="65" spans="1:45" s="936" customFormat="1" ht="155.25" customHeight="1">
      <c r="A65" s="2102"/>
      <c r="B65" s="835" t="s">
        <v>59</v>
      </c>
      <c r="C65" s="835" t="s">
        <v>176</v>
      </c>
      <c r="D65" s="835" t="s">
        <v>176</v>
      </c>
      <c r="E65" s="835" t="s">
        <v>176</v>
      </c>
      <c r="F65" s="835" t="s">
        <v>176</v>
      </c>
      <c r="G65" s="835"/>
      <c r="H65" s="879" t="s">
        <v>167</v>
      </c>
      <c r="I65" s="836" t="s">
        <v>416</v>
      </c>
      <c r="J65" s="838" t="s">
        <v>183</v>
      </c>
      <c r="K65" s="1643"/>
      <c r="L65" s="632"/>
      <c r="M65" s="633"/>
      <c r="N65" s="1020">
        <f t="shared" si="24"/>
        <v>0</v>
      </c>
      <c r="O65" s="839"/>
      <c r="P65" s="839"/>
      <c r="Q65" s="845">
        <f>O65+P65</f>
        <v>0</v>
      </c>
      <c r="R65" s="838"/>
      <c r="S65" s="839">
        <f t="shared" si="29"/>
        <v>0</v>
      </c>
      <c r="T65" s="842">
        <f t="shared" si="29"/>
        <v>0</v>
      </c>
      <c r="U65" s="982">
        <f t="shared" si="27"/>
        <v>0</v>
      </c>
      <c r="V65" s="839"/>
      <c r="W65" s="839"/>
      <c r="X65" s="839"/>
      <c r="Y65" s="1807"/>
      <c r="Z65" s="845"/>
      <c r="AA65" s="935"/>
      <c r="AB65" s="879"/>
      <c r="AC65" s="879"/>
      <c r="AD65" s="896"/>
      <c r="AE65" s="725"/>
      <c r="AF65" s="725"/>
      <c r="AG65" s="725"/>
      <c r="AH65" s="847"/>
      <c r="AI65" s="847"/>
      <c r="AJ65" s="847"/>
      <c r="AK65" s="725"/>
      <c r="AL65" s="725"/>
      <c r="AM65" s="725"/>
      <c r="AN65" s="725"/>
      <c r="AO65" s="725"/>
      <c r="AP65" s="725"/>
      <c r="AQ65" s="725"/>
      <c r="AR65" s="725"/>
      <c r="AS65" s="725"/>
    </row>
    <row r="66" spans="1:45" s="736" customFormat="1" ht="37.5" customHeight="1">
      <c r="A66" s="2103"/>
      <c r="B66" s="872" t="s">
        <v>13</v>
      </c>
      <c r="C66" s="873"/>
      <c r="D66" s="873"/>
      <c r="E66" s="873"/>
      <c r="F66" s="873"/>
      <c r="G66" s="873"/>
      <c r="H66" s="873"/>
      <c r="I66" s="857"/>
      <c r="J66" s="856"/>
      <c r="K66" s="1644" t="s">
        <v>185</v>
      </c>
      <c r="L66" s="676">
        <v>36680</v>
      </c>
      <c r="M66" s="677">
        <v>30000</v>
      </c>
      <c r="N66" s="1816">
        <f t="shared" si="24"/>
        <v>66680</v>
      </c>
      <c r="O66" s="668">
        <v>34649</v>
      </c>
      <c r="P66" s="668">
        <v>3016</v>
      </c>
      <c r="Q66" s="875">
        <f>O66+P66</f>
        <v>37665</v>
      </c>
      <c r="R66" s="856" t="s">
        <v>335</v>
      </c>
      <c r="S66" s="668">
        <f>L66-O66</f>
        <v>2031</v>
      </c>
      <c r="T66" s="874">
        <f>M66-P66</f>
        <v>26984</v>
      </c>
      <c r="U66" s="876">
        <f t="shared" si="27"/>
        <v>29015</v>
      </c>
      <c r="V66" s="1812">
        <f>2030+10000+3000</f>
        <v>15030</v>
      </c>
      <c r="W66" s="874">
        <f>22984-10920</f>
        <v>12064</v>
      </c>
      <c r="X66" s="875">
        <f>SUM(V66:W66)</f>
        <v>27094</v>
      </c>
      <c r="Y66" s="1805">
        <v>0</v>
      </c>
      <c r="Z66" s="876">
        <v>0</v>
      </c>
      <c r="AA66" s="877">
        <f>SUM(Y66:Z66)</f>
        <v>0</v>
      </c>
      <c r="AB66" s="677">
        <f>V66+Y66</f>
        <v>15030</v>
      </c>
      <c r="AC66" s="874">
        <f>W66+Z66</f>
        <v>12064</v>
      </c>
      <c r="AD66" s="672">
        <f>SUM(AB66:AC66)</f>
        <v>27094</v>
      </c>
      <c r="AE66" s="725"/>
      <c r="AF66" s="725"/>
      <c r="AG66" s="725"/>
      <c r="AH66" s="847"/>
      <c r="AI66" s="847"/>
      <c r="AJ66" s="847"/>
      <c r="AK66" s="725"/>
      <c r="AL66" s="725"/>
      <c r="AM66" s="635"/>
      <c r="AN66" s="635"/>
      <c r="AO66" s="635"/>
      <c r="AP66" s="635"/>
      <c r="AQ66" s="635"/>
      <c r="AR66" s="635"/>
      <c r="AS66" s="635"/>
    </row>
    <row r="67" spans="1:45" s="1566" customFormat="1" ht="25.5" customHeight="1">
      <c r="A67" s="737"/>
      <c r="B67" s="647" t="s">
        <v>340</v>
      </c>
      <c r="C67" s="648"/>
      <c r="D67" s="648"/>
      <c r="E67" s="648"/>
      <c r="F67" s="648"/>
      <c r="G67" s="648"/>
      <c r="H67" s="697"/>
      <c r="I67" s="649"/>
      <c r="J67" s="649"/>
      <c r="K67" s="1651"/>
      <c r="L67" s="650">
        <f>SUM(L63:L66)</f>
        <v>40680</v>
      </c>
      <c r="M67" s="651">
        <f aca="true" t="shared" si="30" ref="M67:AD67">SUM(M63:M66)</f>
        <v>31000</v>
      </c>
      <c r="N67" s="654">
        <f t="shared" si="30"/>
        <v>71680</v>
      </c>
      <c r="O67" s="651">
        <f t="shared" si="30"/>
        <v>34649</v>
      </c>
      <c r="P67" s="651">
        <f t="shared" si="30"/>
        <v>3016</v>
      </c>
      <c r="Q67" s="651">
        <f t="shared" si="30"/>
        <v>37665</v>
      </c>
      <c r="R67" s="651">
        <f t="shared" si="30"/>
        <v>0</v>
      </c>
      <c r="S67" s="651">
        <f t="shared" si="30"/>
        <v>6031</v>
      </c>
      <c r="T67" s="651">
        <f t="shared" si="30"/>
        <v>27984</v>
      </c>
      <c r="U67" s="651">
        <f t="shared" si="30"/>
        <v>34015</v>
      </c>
      <c r="V67" s="651">
        <f t="shared" si="30"/>
        <v>19391</v>
      </c>
      <c r="W67" s="651">
        <f t="shared" si="30"/>
        <v>13064</v>
      </c>
      <c r="X67" s="651">
        <f t="shared" si="30"/>
        <v>32455</v>
      </c>
      <c r="Y67" s="653">
        <f t="shared" si="30"/>
        <v>0</v>
      </c>
      <c r="Z67" s="651">
        <f t="shared" si="30"/>
        <v>0</v>
      </c>
      <c r="AA67" s="654">
        <f t="shared" si="30"/>
        <v>0</v>
      </c>
      <c r="AB67" s="651">
        <f t="shared" si="30"/>
        <v>19391</v>
      </c>
      <c r="AC67" s="651">
        <f t="shared" si="30"/>
        <v>13064</v>
      </c>
      <c r="AD67" s="700">
        <f t="shared" si="30"/>
        <v>32455</v>
      </c>
      <c r="AE67" s="781"/>
      <c r="AF67" s="769"/>
      <c r="AG67" s="769"/>
      <c r="AH67" s="847"/>
      <c r="AI67" s="847"/>
      <c r="AJ67" s="847"/>
      <c r="AK67" s="769"/>
      <c r="AL67" s="769"/>
      <c r="AM67" s="769"/>
      <c r="AN67" s="769"/>
      <c r="AO67" s="769"/>
      <c r="AP67" s="769"/>
      <c r="AQ67" s="769"/>
      <c r="AR67" s="769"/>
      <c r="AS67" s="769"/>
    </row>
    <row r="68" spans="1:36" s="725" customFormat="1" ht="113.25" customHeight="1">
      <c r="A68" s="2095" t="s">
        <v>504</v>
      </c>
      <c r="B68" s="2096"/>
      <c r="C68" s="2096"/>
      <c r="D68" s="2096"/>
      <c r="E68" s="2096"/>
      <c r="F68" s="2096"/>
      <c r="G68" s="2096"/>
      <c r="H68" s="2096"/>
      <c r="I68" s="2096"/>
      <c r="J68" s="2096"/>
      <c r="K68" s="2096"/>
      <c r="L68" s="1859"/>
      <c r="M68" s="1859"/>
      <c r="N68" s="1859"/>
      <c r="O68" s="1860"/>
      <c r="P68" s="1861"/>
      <c r="Q68" s="1862"/>
      <c r="R68" s="1859"/>
      <c r="S68" s="1860"/>
      <c r="T68" s="1861"/>
      <c r="U68" s="1862"/>
      <c r="V68" s="1860"/>
      <c r="W68" s="1861"/>
      <c r="X68" s="1862"/>
      <c r="Y68" s="1861"/>
      <c r="Z68" s="1861"/>
      <c r="AA68" s="1859"/>
      <c r="AB68" s="1863"/>
      <c r="AC68" s="1864"/>
      <c r="AD68" s="1865"/>
      <c r="AH68" s="847"/>
      <c r="AI68" s="847"/>
      <c r="AJ68" s="847"/>
    </row>
    <row r="69" spans="1:45" s="617" customFormat="1" ht="82.5" customHeight="1">
      <c r="A69" s="2083" t="s">
        <v>598</v>
      </c>
      <c r="B69" s="835" t="s">
        <v>493</v>
      </c>
      <c r="C69" s="835" t="s">
        <v>176</v>
      </c>
      <c r="D69" s="835" t="s">
        <v>176</v>
      </c>
      <c r="E69" s="835" t="s">
        <v>176</v>
      </c>
      <c r="F69" s="835" t="s">
        <v>176</v>
      </c>
      <c r="G69" s="835"/>
      <c r="H69" s="879" t="s">
        <v>180</v>
      </c>
      <c r="I69" s="836" t="s">
        <v>219</v>
      </c>
      <c r="J69" s="838" t="s">
        <v>179</v>
      </c>
      <c r="K69" s="1643"/>
      <c r="L69" s="632"/>
      <c r="M69" s="633"/>
      <c r="N69" s="1020">
        <f t="shared" si="24"/>
        <v>0</v>
      </c>
      <c r="O69" s="839"/>
      <c r="P69" s="839"/>
      <c r="Q69" s="845">
        <f aca="true" t="shared" si="31" ref="Q69:Q74">O69+P69</f>
        <v>0</v>
      </c>
      <c r="R69" s="838"/>
      <c r="S69" s="839">
        <f>L69-O69</f>
        <v>0</v>
      </c>
      <c r="T69" s="842">
        <f>M69-P69</f>
        <v>0</v>
      </c>
      <c r="U69" s="982">
        <f t="shared" si="27"/>
        <v>0</v>
      </c>
      <c r="V69" s="839"/>
      <c r="W69" s="839"/>
      <c r="X69" s="839"/>
      <c r="Y69" s="1807"/>
      <c r="Z69" s="845"/>
      <c r="AA69" s="935"/>
      <c r="AB69" s="836"/>
      <c r="AC69" s="836"/>
      <c r="AD69" s="939"/>
      <c r="AE69" s="725"/>
      <c r="AF69" s="725"/>
      <c r="AG69" s="725"/>
      <c r="AH69" s="847"/>
      <c r="AI69" s="847"/>
      <c r="AJ69" s="847"/>
      <c r="AK69" s="725"/>
      <c r="AL69" s="725"/>
      <c r="AM69" s="635"/>
      <c r="AN69" s="635"/>
      <c r="AO69" s="635"/>
      <c r="AP69" s="635"/>
      <c r="AQ69" s="635"/>
      <c r="AR69" s="635"/>
      <c r="AS69" s="635"/>
    </row>
    <row r="70" spans="1:45" s="617" customFormat="1" ht="21" customHeight="1">
      <c r="A70" s="2084"/>
      <c r="B70" s="872" t="s">
        <v>14</v>
      </c>
      <c r="C70" s="873"/>
      <c r="D70" s="873"/>
      <c r="E70" s="873"/>
      <c r="F70" s="873"/>
      <c r="G70" s="873"/>
      <c r="H70" s="873"/>
      <c r="I70" s="857"/>
      <c r="J70" s="856"/>
      <c r="K70" s="1644" t="s">
        <v>185</v>
      </c>
      <c r="L70" s="676">
        <v>18000</v>
      </c>
      <c r="M70" s="677">
        <v>14200</v>
      </c>
      <c r="N70" s="1816">
        <f t="shared" si="24"/>
        <v>32200</v>
      </c>
      <c r="O70" s="668">
        <v>42834</v>
      </c>
      <c r="P70" s="668">
        <f>M70-3533</f>
        <v>10667</v>
      </c>
      <c r="Q70" s="875">
        <f t="shared" si="31"/>
        <v>53501</v>
      </c>
      <c r="R70" s="1128" t="s">
        <v>335</v>
      </c>
      <c r="S70" s="668">
        <f>L70-O70</f>
        <v>-24834</v>
      </c>
      <c r="T70" s="874">
        <f>M70-P70</f>
        <v>3533</v>
      </c>
      <c r="U70" s="876">
        <f t="shared" si="27"/>
        <v>-21301</v>
      </c>
      <c r="V70" s="1004">
        <f>-10344+10344</f>
        <v>0</v>
      </c>
      <c r="W70" s="874">
        <v>9200</v>
      </c>
      <c r="X70" s="875">
        <f>SUM(V70:W70)</f>
        <v>9200</v>
      </c>
      <c r="Y70" s="1805">
        <v>0</v>
      </c>
      <c r="Z70" s="876">
        <v>0</v>
      </c>
      <c r="AA70" s="877">
        <f>SUM(Y70:Z70)</f>
        <v>0</v>
      </c>
      <c r="AB70" s="668">
        <f>V70+Y70</f>
        <v>0</v>
      </c>
      <c r="AC70" s="874">
        <f>W70+Z70</f>
        <v>9200</v>
      </c>
      <c r="AD70" s="672">
        <f>SUM(AB70:AC70)</f>
        <v>9200</v>
      </c>
      <c r="AE70" s="725"/>
      <c r="AF70" s="725"/>
      <c r="AG70" s="725"/>
      <c r="AH70" s="847"/>
      <c r="AI70" s="847"/>
      <c r="AJ70" s="847"/>
      <c r="AK70" s="725"/>
      <c r="AL70" s="725"/>
      <c r="AM70" s="635"/>
      <c r="AN70" s="635"/>
      <c r="AO70" s="635"/>
      <c r="AP70" s="635"/>
      <c r="AQ70" s="635"/>
      <c r="AR70" s="635"/>
      <c r="AS70" s="635"/>
    </row>
    <row r="71" spans="1:45" s="617" customFormat="1" ht="126" customHeight="1">
      <c r="A71" s="2084"/>
      <c r="B71" s="835" t="s">
        <v>494</v>
      </c>
      <c r="C71" s="835" t="s">
        <v>176</v>
      </c>
      <c r="D71" s="835" t="s">
        <v>176</v>
      </c>
      <c r="E71" s="835"/>
      <c r="F71" s="835"/>
      <c r="G71" s="835"/>
      <c r="H71" s="879" t="s">
        <v>167</v>
      </c>
      <c r="I71" s="836" t="s">
        <v>327</v>
      </c>
      <c r="J71" s="838" t="s">
        <v>182</v>
      </c>
      <c r="K71" s="1643"/>
      <c r="L71" s="632"/>
      <c r="M71" s="633"/>
      <c r="N71" s="1020">
        <f t="shared" si="24"/>
        <v>0</v>
      </c>
      <c r="O71" s="839"/>
      <c r="P71" s="839"/>
      <c r="Q71" s="845">
        <f t="shared" si="31"/>
        <v>0</v>
      </c>
      <c r="R71" s="835"/>
      <c r="S71" s="839">
        <f>L71-O71</f>
        <v>0</v>
      </c>
      <c r="T71" s="842"/>
      <c r="U71" s="982">
        <f t="shared" si="27"/>
        <v>0</v>
      </c>
      <c r="V71" s="715"/>
      <c r="W71" s="715"/>
      <c r="X71" s="715"/>
      <c r="Y71" s="1806"/>
      <c r="Z71" s="880"/>
      <c r="AA71" s="925"/>
      <c r="AB71" s="940"/>
      <c r="AC71" s="940"/>
      <c r="AD71" s="941"/>
      <c r="AE71" s="725"/>
      <c r="AF71" s="725"/>
      <c r="AG71" s="725"/>
      <c r="AH71" s="847"/>
      <c r="AI71" s="847"/>
      <c r="AJ71" s="847"/>
      <c r="AK71" s="725"/>
      <c r="AL71" s="725"/>
      <c r="AM71" s="635"/>
      <c r="AN71" s="635"/>
      <c r="AO71" s="635"/>
      <c r="AP71" s="635"/>
      <c r="AQ71" s="635"/>
      <c r="AR71" s="635"/>
      <c r="AS71" s="635"/>
    </row>
    <row r="72" spans="1:45" s="617" customFormat="1" ht="26.25" customHeight="1">
      <c r="A72" s="2084"/>
      <c r="B72" s="872" t="s">
        <v>17</v>
      </c>
      <c r="C72" s="883"/>
      <c r="D72" s="883"/>
      <c r="E72" s="883"/>
      <c r="F72" s="883"/>
      <c r="G72" s="883"/>
      <c r="H72" s="873"/>
      <c r="I72" s="857"/>
      <c r="J72" s="856"/>
      <c r="K72" s="1644" t="s">
        <v>185</v>
      </c>
      <c r="L72" s="676">
        <v>25000</v>
      </c>
      <c r="M72" s="677">
        <v>15922</v>
      </c>
      <c r="N72" s="1816">
        <f t="shared" si="24"/>
        <v>40922</v>
      </c>
      <c r="O72" s="1853">
        <v>2379</v>
      </c>
      <c r="P72" s="668">
        <v>126</v>
      </c>
      <c r="Q72" s="875">
        <f t="shared" si="31"/>
        <v>2505</v>
      </c>
      <c r="R72" s="1128" t="s">
        <v>335</v>
      </c>
      <c r="S72" s="668">
        <f>L72-O72</f>
        <v>22621</v>
      </c>
      <c r="T72" s="874">
        <f>M72-P72</f>
        <v>15796</v>
      </c>
      <c r="U72" s="876">
        <f t="shared" si="27"/>
        <v>38417</v>
      </c>
      <c r="V72" s="668">
        <v>36621</v>
      </c>
      <c r="W72" s="874">
        <v>15796.42</v>
      </c>
      <c r="X72" s="875">
        <f>SUM(V72:W72)</f>
        <v>52417.42</v>
      </c>
      <c r="Y72" s="1805">
        <v>0</v>
      </c>
      <c r="Z72" s="876">
        <v>0</v>
      </c>
      <c r="AA72" s="877">
        <f>SUM(Y72:Z72)</f>
        <v>0</v>
      </c>
      <c r="AB72" s="668">
        <f>V72+Y72</f>
        <v>36621</v>
      </c>
      <c r="AC72" s="874">
        <f>W72+Z72</f>
        <v>15796.42</v>
      </c>
      <c r="AD72" s="672">
        <f>SUM(AB72:AC72)</f>
        <v>52417.42</v>
      </c>
      <c r="AE72" s="725"/>
      <c r="AF72" s="725"/>
      <c r="AG72" s="725"/>
      <c r="AH72" s="847"/>
      <c r="AI72" s="847"/>
      <c r="AJ72" s="847"/>
      <c r="AK72" s="725"/>
      <c r="AL72" s="725"/>
      <c r="AM72" s="635"/>
      <c r="AN72" s="635"/>
      <c r="AO72" s="635"/>
      <c r="AP72" s="635"/>
      <c r="AQ72" s="635"/>
      <c r="AR72" s="635"/>
      <c r="AS72" s="635"/>
    </row>
    <row r="73" spans="1:45" s="617" customFormat="1" ht="126.75" customHeight="1">
      <c r="A73" s="732"/>
      <c r="B73" s="835" t="s">
        <v>495</v>
      </c>
      <c r="C73" s="835"/>
      <c r="D73" s="835" t="s">
        <v>176</v>
      </c>
      <c r="E73" s="835" t="s">
        <v>176</v>
      </c>
      <c r="F73" s="835" t="s">
        <v>176</v>
      </c>
      <c r="G73" s="835"/>
      <c r="H73" s="879" t="s">
        <v>167</v>
      </c>
      <c r="I73" s="836" t="s">
        <v>307</v>
      </c>
      <c r="J73" s="838" t="s">
        <v>100</v>
      </c>
      <c r="K73" s="1643"/>
      <c r="L73" s="632"/>
      <c r="M73" s="633"/>
      <c r="N73" s="1020">
        <f t="shared" si="24"/>
        <v>0</v>
      </c>
      <c r="O73" s="839"/>
      <c r="P73" s="839"/>
      <c r="Q73" s="845">
        <f t="shared" si="31"/>
        <v>0</v>
      </c>
      <c r="R73" s="835"/>
      <c r="S73" s="839">
        <f>L73-O73</f>
        <v>0</v>
      </c>
      <c r="T73" s="842">
        <f>M73-P73</f>
        <v>0</v>
      </c>
      <c r="U73" s="982">
        <f t="shared" si="27"/>
        <v>0</v>
      </c>
      <c r="V73" s="839"/>
      <c r="W73" s="839"/>
      <c r="X73" s="839"/>
      <c r="Y73" s="1807"/>
      <c r="Z73" s="845"/>
      <c r="AA73" s="935"/>
      <c r="AB73" s="1182"/>
      <c r="AC73" s="944"/>
      <c r="AD73" s="945"/>
      <c r="AE73" s="725"/>
      <c r="AF73" s="725"/>
      <c r="AG73" s="725"/>
      <c r="AH73" s="847"/>
      <c r="AI73" s="847"/>
      <c r="AJ73" s="847"/>
      <c r="AK73" s="725"/>
      <c r="AL73" s="725"/>
      <c r="AM73" s="635"/>
      <c r="AN73" s="635"/>
      <c r="AO73" s="635"/>
      <c r="AP73" s="635"/>
      <c r="AQ73" s="635"/>
      <c r="AR73" s="635"/>
      <c r="AS73" s="635"/>
    </row>
    <row r="74" spans="1:45" s="617" customFormat="1" ht="28.5" customHeight="1">
      <c r="A74" s="733"/>
      <c r="B74" s="872" t="s">
        <v>18</v>
      </c>
      <c r="C74" s="883"/>
      <c r="D74" s="883"/>
      <c r="E74" s="883"/>
      <c r="F74" s="883"/>
      <c r="G74" s="883"/>
      <c r="H74" s="873"/>
      <c r="I74" s="857"/>
      <c r="J74" s="856"/>
      <c r="K74" s="1644" t="s">
        <v>185</v>
      </c>
      <c r="L74" s="676">
        <v>0</v>
      </c>
      <c r="M74" s="677">
        <v>28037</v>
      </c>
      <c r="N74" s="1816">
        <f t="shared" si="24"/>
        <v>28037</v>
      </c>
      <c r="O74" s="668">
        <v>0</v>
      </c>
      <c r="P74" s="668">
        <v>0</v>
      </c>
      <c r="Q74" s="875">
        <f t="shared" si="31"/>
        <v>0</v>
      </c>
      <c r="R74" s="1128"/>
      <c r="S74" s="668">
        <f>L74-O74</f>
        <v>0</v>
      </c>
      <c r="T74" s="874">
        <f>M74-P74</f>
        <v>28037</v>
      </c>
      <c r="U74" s="876">
        <f t="shared" si="27"/>
        <v>28037</v>
      </c>
      <c r="V74" s="668">
        <v>0</v>
      </c>
      <c r="W74" s="874">
        <v>28037</v>
      </c>
      <c r="X74" s="875">
        <f>SUM(V74:W74)</f>
        <v>28037</v>
      </c>
      <c r="Y74" s="1805">
        <v>0</v>
      </c>
      <c r="Z74" s="876">
        <v>0</v>
      </c>
      <c r="AA74" s="877">
        <f>SUM(Y74:Z74)</f>
        <v>0</v>
      </c>
      <c r="AB74" s="668">
        <f>V74+Y74</f>
        <v>0</v>
      </c>
      <c r="AC74" s="874">
        <f>W74+Z74</f>
        <v>28037</v>
      </c>
      <c r="AD74" s="672">
        <f>SUM(AB74:AC74)</f>
        <v>28037</v>
      </c>
      <c r="AE74" s="725"/>
      <c r="AF74" s="725"/>
      <c r="AG74" s="725"/>
      <c r="AH74" s="847"/>
      <c r="AI74" s="847"/>
      <c r="AJ74" s="847"/>
      <c r="AK74" s="725"/>
      <c r="AL74" s="725"/>
      <c r="AM74" s="635"/>
      <c r="AN74" s="635"/>
      <c r="AO74" s="635"/>
      <c r="AP74" s="635"/>
      <c r="AQ74" s="635"/>
      <c r="AR74" s="635"/>
      <c r="AS74" s="635"/>
    </row>
    <row r="75" spans="1:45" s="751" customFormat="1" ht="29.25" customHeight="1">
      <c r="A75" s="761"/>
      <c r="B75" s="647" t="s">
        <v>341</v>
      </c>
      <c r="C75" s="648"/>
      <c r="D75" s="648"/>
      <c r="E75" s="648"/>
      <c r="F75" s="648"/>
      <c r="G75" s="648"/>
      <c r="H75" s="697"/>
      <c r="I75" s="649"/>
      <c r="J75" s="649"/>
      <c r="K75" s="1651"/>
      <c r="L75" s="650">
        <f aca="true" t="shared" si="32" ref="L75:AD75">SUM(L69:L74)</f>
        <v>43000</v>
      </c>
      <c r="M75" s="651">
        <f t="shared" si="32"/>
        <v>58159</v>
      </c>
      <c r="N75" s="654">
        <f t="shared" si="32"/>
        <v>101159</v>
      </c>
      <c r="O75" s="651">
        <f t="shared" si="32"/>
        <v>45213</v>
      </c>
      <c r="P75" s="651">
        <f t="shared" si="32"/>
        <v>10793</v>
      </c>
      <c r="Q75" s="651">
        <f t="shared" si="32"/>
        <v>56006</v>
      </c>
      <c r="R75" s="651">
        <f t="shared" si="32"/>
        <v>0</v>
      </c>
      <c r="S75" s="651">
        <f t="shared" si="32"/>
        <v>-2213</v>
      </c>
      <c r="T75" s="651">
        <f t="shared" si="32"/>
        <v>47366</v>
      </c>
      <c r="U75" s="651">
        <f t="shared" si="32"/>
        <v>45153</v>
      </c>
      <c r="V75" s="651">
        <f t="shared" si="32"/>
        <v>36621</v>
      </c>
      <c r="W75" s="651">
        <f t="shared" si="32"/>
        <v>53033.42</v>
      </c>
      <c r="X75" s="651">
        <f t="shared" si="32"/>
        <v>89654.42</v>
      </c>
      <c r="Y75" s="653">
        <f t="shared" si="32"/>
        <v>0</v>
      </c>
      <c r="Z75" s="651">
        <f t="shared" si="32"/>
        <v>0</v>
      </c>
      <c r="AA75" s="654">
        <f t="shared" si="32"/>
        <v>0</v>
      </c>
      <c r="AB75" s="651">
        <f t="shared" si="32"/>
        <v>36621</v>
      </c>
      <c r="AC75" s="651">
        <f t="shared" si="32"/>
        <v>53033.42</v>
      </c>
      <c r="AD75" s="700">
        <f t="shared" si="32"/>
        <v>89654.42</v>
      </c>
      <c r="AE75" s="781"/>
      <c r="AF75" s="769"/>
      <c r="AG75" s="769"/>
      <c r="AH75" s="847"/>
      <c r="AI75" s="847"/>
      <c r="AJ75" s="847"/>
      <c r="AK75" s="769"/>
      <c r="AL75" s="769"/>
      <c r="AM75" s="750"/>
      <c r="AN75" s="750"/>
      <c r="AO75" s="750"/>
      <c r="AP75" s="750"/>
      <c r="AQ75" s="750"/>
      <c r="AR75" s="750"/>
      <c r="AS75" s="750"/>
    </row>
    <row r="76" spans="1:45" s="617" customFormat="1" ht="133.5" customHeight="1">
      <c r="A76" s="2083" t="s">
        <v>597</v>
      </c>
      <c r="B76" s="835" t="s">
        <v>496</v>
      </c>
      <c r="C76" s="835"/>
      <c r="D76" s="835" t="s">
        <v>176</v>
      </c>
      <c r="E76" s="835" t="s">
        <v>176</v>
      </c>
      <c r="F76" s="835" t="s">
        <v>176</v>
      </c>
      <c r="G76" s="835"/>
      <c r="H76" s="879" t="s">
        <v>167</v>
      </c>
      <c r="I76" s="836" t="s">
        <v>167</v>
      </c>
      <c r="J76" s="838" t="s">
        <v>179</v>
      </c>
      <c r="K76" s="1643"/>
      <c r="L76" s="632"/>
      <c r="M76" s="633"/>
      <c r="N76" s="1020">
        <f t="shared" si="24"/>
        <v>0</v>
      </c>
      <c r="O76" s="839"/>
      <c r="P76" s="839"/>
      <c r="Q76" s="845">
        <f>O76+P76</f>
        <v>0</v>
      </c>
      <c r="R76" s="838"/>
      <c r="S76" s="839">
        <f>L76-O76</f>
        <v>0</v>
      </c>
      <c r="T76" s="842">
        <f>M76-P76</f>
        <v>0</v>
      </c>
      <c r="U76" s="982">
        <f t="shared" si="27"/>
        <v>0</v>
      </c>
      <c r="V76" s="715"/>
      <c r="W76" s="715"/>
      <c r="X76" s="715"/>
      <c r="Y76" s="1807"/>
      <c r="Z76" s="845"/>
      <c r="AA76" s="935"/>
      <c r="AB76" s="946"/>
      <c r="AC76" s="946"/>
      <c r="AD76" s="947"/>
      <c r="AE76" s="725"/>
      <c r="AF76" s="725"/>
      <c r="AG76" s="725"/>
      <c r="AH76" s="847"/>
      <c r="AI76" s="847"/>
      <c r="AJ76" s="847"/>
      <c r="AK76" s="725"/>
      <c r="AL76" s="725"/>
      <c r="AM76" s="635"/>
      <c r="AN76" s="635"/>
      <c r="AO76" s="635"/>
      <c r="AP76" s="635"/>
      <c r="AQ76" s="635"/>
      <c r="AR76" s="635"/>
      <c r="AS76" s="635"/>
    </row>
    <row r="77" spans="1:45" s="617" customFormat="1" ht="71.25" customHeight="1">
      <c r="A77" s="2084"/>
      <c r="B77" s="872" t="s">
        <v>31</v>
      </c>
      <c r="C77" s="873"/>
      <c r="D77" s="873"/>
      <c r="E77" s="873"/>
      <c r="F77" s="873"/>
      <c r="G77" s="873"/>
      <c r="H77" s="873"/>
      <c r="I77" s="857"/>
      <c r="J77" s="856"/>
      <c r="K77" s="1644" t="s">
        <v>185</v>
      </c>
      <c r="L77" s="676">
        <v>17000</v>
      </c>
      <c r="M77" s="677">
        <v>15336</v>
      </c>
      <c r="N77" s="1816">
        <f t="shared" si="24"/>
        <v>32336</v>
      </c>
      <c r="O77" s="668">
        <v>0</v>
      </c>
      <c r="P77" s="668">
        <v>0</v>
      </c>
      <c r="Q77" s="875">
        <f>O77+P77</f>
        <v>0</v>
      </c>
      <c r="R77" s="1128" t="s">
        <v>335</v>
      </c>
      <c r="S77" s="668">
        <f>L77-O77</f>
        <v>17000</v>
      </c>
      <c r="T77" s="874">
        <f>M77-P77</f>
        <v>15336</v>
      </c>
      <c r="U77" s="876">
        <f>S77+T77</f>
        <v>32336</v>
      </c>
      <c r="V77" s="668">
        <f>107500-10344</f>
        <v>97156</v>
      </c>
      <c r="W77" s="874">
        <v>22300</v>
      </c>
      <c r="X77" s="875">
        <f>V77+W77</f>
        <v>119456</v>
      </c>
      <c r="Y77" s="1805">
        <v>0</v>
      </c>
      <c r="Z77" s="876">
        <v>0</v>
      </c>
      <c r="AA77" s="877">
        <f>SUM(Y77:Z77)</f>
        <v>0</v>
      </c>
      <c r="AB77" s="668">
        <f>V77+Y77</f>
        <v>97156</v>
      </c>
      <c r="AC77" s="874">
        <f>W77+Z77</f>
        <v>22300</v>
      </c>
      <c r="AD77" s="672">
        <f>SUM(AB77:AC77)</f>
        <v>119456</v>
      </c>
      <c r="AE77" s="725"/>
      <c r="AF77" s="725"/>
      <c r="AG77" s="725"/>
      <c r="AH77" s="847"/>
      <c r="AI77" s="847"/>
      <c r="AJ77" s="847"/>
      <c r="AK77" s="725"/>
      <c r="AL77" s="725"/>
      <c r="AM77" s="635"/>
      <c r="AN77" s="635"/>
      <c r="AO77" s="635"/>
      <c r="AP77" s="635"/>
      <c r="AQ77" s="635"/>
      <c r="AR77" s="635"/>
      <c r="AS77" s="635"/>
    </row>
    <row r="78" spans="1:45" s="656" customFormat="1" ht="31.5" customHeight="1">
      <c r="A78" s="737"/>
      <c r="B78" s="647" t="s">
        <v>419</v>
      </c>
      <c r="C78" s="730"/>
      <c r="D78" s="730"/>
      <c r="E78" s="730"/>
      <c r="F78" s="730"/>
      <c r="G78" s="730"/>
      <c r="H78" s="697"/>
      <c r="I78" s="697"/>
      <c r="J78" s="649"/>
      <c r="K78" s="1652"/>
      <c r="L78" s="650">
        <f aca="true" t="shared" si="33" ref="L78:AD78">SUM(L76:L77)</f>
        <v>17000</v>
      </c>
      <c r="M78" s="651">
        <f t="shared" si="33"/>
        <v>15336</v>
      </c>
      <c r="N78" s="654">
        <f t="shared" si="33"/>
        <v>32336</v>
      </c>
      <c r="O78" s="651">
        <f t="shared" si="33"/>
        <v>0</v>
      </c>
      <c r="P78" s="651">
        <f t="shared" si="33"/>
        <v>0</v>
      </c>
      <c r="Q78" s="651">
        <f t="shared" si="33"/>
        <v>0</v>
      </c>
      <c r="R78" s="651"/>
      <c r="S78" s="651">
        <f t="shared" si="33"/>
        <v>17000</v>
      </c>
      <c r="T78" s="651">
        <f t="shared" si="33"/>
        <v>15336</v>
      </c>
      <c r="U78" s="651">
        <f t="shared" si="33"/>
        <v>32336</v>
      </c>
      <c r="V78" s="651">
        <f t="shared" si="33"/>
        <v>97156</v>
      </c>
      <c r="W78" s="651">
        <f t="shared" si="33"/>
        <v>22300</v>
      </c>
      <c r="X78" s="651">
        <f t="shared" si="33"/>
        <v>119456</v>
      </c>
      <c r="Y78" s="653">
        <f t="shared" si="33"/>
        <v>0</v>
      </c>
      <c r="Z78" s="651">
        <f t="shared" si="33"/>
        <v>0</v>
      </c>
      <c r="AA78" s="654">
        <f t="shared" si="33"/>
        <v>0</v>
      </c>
      <c r="AB78" s="651">
        <f t="shared" si="33"/>
        <v>97156</v>
      </c>
      <c r="AC78" s="650">
        <f t="shared" si="33"/>
        <v>22300</v>
      </c>
      <c r="AD78" s="1673">
        <f t="shared" si="33"/>
        <v>119456</v>
      </c>
      <c r="AE78" s="781"/>
      <c r="AF78" s="725"/>
      <c r="AG78" s="725"/>
      <c r="AH78" s="847"/>
      <c r="AI78" s="847"/>
      <c r="AJ78" s="847"/>
      <c r="AK78" s="725"/>
      <c r="AL78" s="725"/>
      <c r="AM78" s="655"/>
      <c r="AN78" s="655"/>
      <c r="AO78" s="655"/>
      <c r="AP78" s="655"/>
      <c r="AQ78" s="655"/>
      <c r="AR78" s="655"/>
      <c r="AS78" s="655"/>
    </row>
    <row r="79" spans="1:45" s="751" customFormat="1" ht="30.75" customHeight="1">
      <c r="A79" s="737"/>
      <c r="B79" s="648" t="s">
        <v>163</v>
      </c>
      <c r="C79" s="730"/>
      <c r="D79" s="730"/>
      <c r="E79" s="742"/>
      <c r="F79" s="730"/>
      <c r="G79" s="730"/>
      <c r="H79" s="697"/>
      <c r="I79" s="697"/>
      <c r="J79" s="649"/>
      <c r="K79" s="1653"/>
      <c r="L79" s="743">
        <f>SUM(L80+L81+L88+L93+L94)</f>
        <v>51720</v>
      </c>
      <c r="M79" s="744">
        <f>SUM(M80+M81+M88+M93+M94)</f>
        <v>104200</v>
      </c>
      <c r="N79" s="747">
        <f>SUM(L79:M79)</f>
        <v>155920</v>
      </c>
      <c r="O79" s="744">
        <f>SUM(O80+O81+O88+O93+O94)</f>
        <v>35509</v>
      </c>
      <c r="P79" s="744">
        <f>SUM(P80+P81+P88+P93+P94)</f>
        <v>92440.05</v>
      </c>
      <c r="Q79" s="744">
        <f aca="true" t="shared" si="34" ref="Q79:Q88">SUM(O79:P79)</f>
        <v>127949.05</v>
      </c>
      <c r="R79" s="744"/>
      <c r="S79" s="744">
        <f>SUM(S80+S81+S88+S93+S94)</f>
        <v>16211</v>
      </c>
      <c r="T79" s="744">
        <f>SUM(T80+T81+T88+T93+T94)</f>
        <v>11759.95</v>
      </c>
      <c r="U79" s="744">
        <f>SUM(S79:T79)</f>
        <v>27970.95</v>
      </c>
      <c r="V79" s="744">
        <f>SUM(V80+V81+V88+V93+V94)</f>
        <v>56569</v>
      </c>
      <c r="W79" s="744">
        <f>SUM(W80+W81+W88+W93+W94)</f>
        <v>75864</v>
      </c>
      <c r="X79" s="744">
        <f>SUM(V79:W79)</f>
        <v>132433</v>
      </c>
      <c r="Y79" s="746">
        <f>SUM(Y80+Y81+Y88+Y93+Y94)</f>
        <v>16675</v>
      </c>
      <c r="Z79" s="744">
        <f>SUM(Z80+Z81+Z88+Z93+Z94)</f>
        <v>19467</v>
      </c>
      <c r="AA79" s="747">
        <f>SUM(Y79:Z79)</f>
        <v>36142</v>
      </c>
      <c r="AB79" s="744">
        <f>SUM(AB80+AB81+AB88+AB93+AB94)</f>
        <v>73244</v>
      </c>
      <c r="AC79" s="744">
        <f>SUM(AC80+AC81+AC88+AC93+AC94)</f>
        <v>95331</v>
      </c>
      <c r="AD79" s="749">
        <f>SUM(AB79:AC79)</f>
        <v>168575</v>
      </c>
      <c r="AE79" s="781"/>
      <c r="AF79" s="769"/>
      <c r="AG79" s="769"/>
      <c r="AH79" s="847"/>
      <c r="AI79" s="847"/>
      <c r="AJ79" s="847"/>
      <c r="AK79" s="769"/>
      <c r="AL79" s="769"/>
      <c r="AM79" s="750"/>
      <c r="AN79" s="750"/>
      <c r="AO79" s="750"/>
      <c r="AP79" s="750"/>
      <c r="AQ79" s="750"/>
      <c r="AR79" s="750"/>
      <c r="AS79" s="750"/>
    </row>
    <row r="80" spans="1:38" s="754" customFormat="1" ht="59.25" customHeight="1">
      <c r="A80" s="948"/>
      <c r="B80" s="1139" t="s">
        <v>143</v>
      </c>
      <c r="C80" s="804"/>
      <c r="D80" s="804"/>
      <c r="E80" s="949"/>
      <c r="F80" s="804"/>
      <c r="G80" s="804"/>
      <c r="H80" s="1138"/>
      <c r="I80" s="950" t="s">
        <v>167</v>
      </c>
      <c r="J80" s="1139"/>
      <c r="K80" s="1654" t="s">
        <v>154</v>
      </c>
      <c r="L80" s="689">
        <v>10000</v>
      </c>
      <c r="M80" s="690">
        <v>1000</v>
      </c>
      <c r="N80" s="1845">
        <f>SUM(L80:M80)</f>
        <v>11000</v>
      </c>
      <c r="O80" s="690">
        <v>0</v>
      </c>
      <c r="P80" s="690">
        <v>13.05</v>
      </c>
      <c r="Q80" s="1854">
        <f t="shared" si="34"/>
        <v>13.05</v>
      </c>
      <c r="R80" s="884" t="s">
        <v>119</v>
      </c>
      <c r="S80" s="693">
        <f>L80-O80</f>
        <v>10000</v>
      </c>
      <c r="T80" s="885">
        <f>M80-P80</f>
        <v>986.95</v>
      </c>
      <c r="U80" s="980">
        <f>S80+T80</f>
        <v>10986.95</v>
      </c>
      <c r="V80" s="1815">
        <f>2000+4842-3000</f>
        <v>3842</v>
      </c>
      <c r="W80" s="885">
        <v>0</v>
      </c>
      <c r="X80" s="1158">
        <f>SUM(V80:W80)</f>
        <v>3842</v>
      </c>
      <c r="Y80" s="1808">
        <f>5542</f>
        <v>5542</v>
      </c>
      <c r="Z80" s="885">
        <f>20000-20000+539-539</f>
        <v>0</v>
      </c>
      <c r="AA80" s="1832">
        <f>SUM(Y80:Z80)</f>
        <v>5542</v>
      </c>
      <c r="AB80" s="693">
        <f>V80+Y80</f>
        <v>9384</v>
      </c>
      <c r="AC80" s="885">
        <f>W80+Z80</f>
        <v>0</v>
      </c>
      <c r="AD80" s="727">
        <f>SUM(AB80:AC80)</f>
        <v>9384</v>
      </c>
      <c r="AE80" s="769"/>
      <c r="AF80" s="769"/>
      <c r="AG80" s="769"/>
      <c r="AH80" s="847"/>
      <c r="AI80" s="847"/>
      <c r="AJ80" s="847"/>
      <c r="AK80" s="953"/>
      <c r="AL80" s="953"/>
    </row>
    <row r="81" spans="1:45" s="825" customFormat="1" ht="18" customHeight="1">
      <c r="A81" s="954"/>
      <c r="B81" s="835" t="s">
        <v>508</v>
      </c>
      <c r="C81" s="868"/>
      <c r="D81" s="868"/>
      <c r="E81" s="964"/>
      <c r="F81" s="868"/>
      <c r="G81" s="868"/>
      <c r="H81" s="836"/>
      <c r="I81" s="836"/>
      <c r="J81" s="838"/>
      <c r="K81" s="1655"/>
      <c r="L81" s="632">
        <f>SUM(L82:L87)</f>
        <v>35720</v>
      </c>
      <c r="M81" s="633">
        <f>SUM(M82:M87)</f>
        <v>101000</v>
      </c>
      <c r="N81" s="753">
        <f>SUM(L81:M81)</f>
        <v>136720</v>
      </c>
      <c r="O81" s="633">
        <f>SUM(O82:O87)</f>
        <v>30050</v>
      </c>
      <c r="P81" s="633">
        <f>SUM(P82:P87)</f>
        <v>87665</v>
      </c>
      <c r="Q81" s="633">
        <f t="shared" si="34"/>
        <v>117715</v>
      </c>
      <c r="R81" s="879" t="s">
        <v>357</v>
      </c>
      <c r="S81" s="839">
        <f>SUM(S82:S87)</f>
        <v>5670</v>
      </c>
      <c r="T81" s="839">
        <f>SUM(T82:T87)</f>
        <v>13335</v>
      </c>
      <c r="U81" s="839">
        <f>SUM(S81:T81)</f>
        <v>19005</v>
      </c>
      <c r="V81" s="839">
        <f>SUM(V82:V87)</f>
        <v>39840</v>
      </c>
      <c r="W81" s="839">
        <f>SUM(W82:W87)</f>
        <v>71739</v>
      </c>
      <c r="X81" s="839">
        <f aca="true" t="shared" si="35" ref="X81:X96">SUM(V81:W81)</f>
        <v>111579</v>
      </c>
      <c r="Y81" s="869">
        <f>SUM(Y82:Y87)</f>
        <v>11133</v>
      </c>
      <c r="Z81" s="839">
        <f>SUM(Z82:Z87)</f>
        <v>17342</v>
      </c>
      <c r="AA81" s="935">
        <f aca="true" t="shared" si="36" ref="AA81:AA89">SUM(Y81:Z81)</f>
        <v>28475</v>
      </c>
      <c r="AB81" s="839">
        <f>V81+Y81</f>
        <v>50973</v>
      </c>
      <c r="AC81" s="842">
        <f>W81+Z81</f>
        <v>89081</v>
      </c>
      <c r="AD81" s="1003">
        <f>SUM(AB81:AC81)</f>
        <v>140054</v>
      </c>
      <c r="AE81" s="769"/>
      <c r="AF81" s="769"/>
      <c r="AG81" s="769"/>
      <c r="AH81" s="847"/>
      <c r="AI81" s="847"/>
      <c r="AJ81" s="847"/>
      <c r="AK81" s="769"/>
      <c r="AL81" s="769"/>
      <c r="AM81" s="769"/>
      <c r="AN81" s="769"/>
      <c r="AO81" s="769"/>
      <c r="AP81" s="769"/>
      <c r="AQ81" s="769"/>
      <c r="AR81" s="769"/>
      <c r="AS81" s="769"/>
    </row>
    <row r="82" spans="1:45" s="617" customFormat="1" ht="59.25" customHeight="1">
      <c r="A82" s="934"/>
      <c r="B82" s="711" t="s">
        <v>342</v>
      </c>
      <c r="C82" s="956"/>
      <c r="D82" s="848" t="s">
        <v>176</v>
      </c>
      <c r="E82" s="848" t="s">
        <v>176</v>
      </c>
      <c r="F82" s="848" t="s">
        <v>176</v>
      </c>
      <c r="G82" s="848" t="s">
        <v>176</v>
      </c>
      <c r="H82" s="849"/>
      <c r="I82" s="849" t="s">
        <v>325</v>
      </c>
      <c r="J82" s="685" t="s">
        <v>183</v>
      </c>
      <c r="K82" s="1656" t="s">
        <v>165</v>
      </c>
      <c r="L82" s="636">
        <v>35720</v>
      </c>
      <c r="M82" s="637">
        <v>0</v>
      </c>
      <c r="N82" s="1846">
        <f>SUM(L82:M82)</f>
        <v>35720</v>
      </c>
      <c r="O82" s="958">
        <v>30050</v>
      </c>
      <c r="P82" s="958">
        <v>0</v>
      </c>
      <c r="Q82" s="958">
        <f t="shared" si="34"/>
        <v>30050</v>
      </c>
      <c r="R82" s="711"/>
      <c r="S82" s="685">
        <f aca="true" t="shared" si="37" ref="S82:T88">L82-O82</f>
        <v>5670</v>
      </c>
      <c r="T82" s="852">
        <f t="shared" si="37"/>
        <v>0</v>
      </c>
      <c r="U82" s="852">
        <f t="shared" si="27"/>
        <v>5670</v>
      </c>
      <c r="V82" s="685">
        <v>0</v>
      </c>
      <c r="W82" s="852">
        <v>0</v>
      </c>
      <c r="X82" s="685">
        <f t="shared" si="35"/>
        <v>0</v>
      </c>
      <c r="Y82" s="906"/>
      <c r="Z82" s="852">
        <v>0</v>
      </c>
      <c r="AA82" s="959">
        <f t="shared" si="36"/>
        <v>0</v>
      </c>
      <c r="AB82" s="916"/>
      <c r="AC82" s="916"/>
      <c r="AD82" s="1035"/>
      <c r="AE82" s="725"/>
      <c r="AF82" s="725"/>
      <c r="AG82" s="725"/>
      <c r="AH82" s="847"/>
      <c r="AI82" s="847"/>
      <c r="AJ82" s="847"/>
      <c r="AK82" s="725"/>
      <c r="AL82" s="725"/>
      <c r="AM82" s="635"/>
      <c r="AN82" s="635"/>
      <c r="AO82" s="635"/>
      <c r="AP82" s="635"/>
      <c r="AQ82" s="635"/>
      <c r="AR82" s="635"/>
      <c r="AS82" s="635"/>
    </row>
    <row r="83" spans="1:45" s="617" customFormat="1" ht="20.25" customHeight="1">
      <c r="A83" s="1008"/>
      <c r="B83" s="711"/>
      <c r="C83" s="956"/>
      <c r="D83" s="903"/>
      <c r="E83" s="903"/>
      <c r="F83" s="903"/>
      <c r="G83" s="903"/>
      <c r="H83" s="849"/>
      <c r="I83" s="849" t="s">
        <v>167</v>
      </c>
      <c r="J83" s="849" t="s">
        <v>63</v>
      </c>
      <c r="K83" s="1656"/>
      <c r="L83" s="636">
        <v>0</v>
      </c>
      <c r="M83" s="637">
        <v>0</v>
      </c>
      <c r="N83" s="1846">
        <f aca="true" t="shared" si="38" ref="N83:N90">SUM(L83:M83)</f>
        <v>0</v>
      </c>
      <c r="O83" s="637">
        <v>0</v>
      </c>
      <c r="P83" s="637">
        <v>0</v>
      </c>
      <c r="Q83" s="958">
        <f t="shared" si="34"/>
        <v>0</v>
      </c>
      <c r="R83" s="711"/>
      <c r="S83" s="685">
        <f t="shared" si="37"/>
        <v>0</v>
      </c>
      <c r="T83" s="852">
        <f t="shared" si="37"/>
        <v>0</v>
      </c>
      <c r="U83" s="852">
        <f aca="true" t="shared" si="39" ref="U83:U88">S83+T83</f>
        <v>0</v>
      </c>
      <c r="V83" s="685">
        <f>1405*12</f>
        <v>16860</v>
      </c>
      <c r="W83" s="852"/>
      <c r="X83" s="685">
        <f t="shared" si="35"/>
        <v>16860</v>
      </c>
      <c r="Y83" s="957">
        <f>1557*3</f>
        <v>4671</v>
      </c>
      <c r="Z83" s="852"/>
      <c r="AA83" s="959">
        <f t="shared" si="36"/>
        <v>4671</v>
      </c>
      <c r="AB83" s="685">
        <f aca="true" t="shared" si="40" ref="AB83:AD88">V83+Y83</f>
        <v>21531</v>
      </c>
      <c r="AC83" s="852">
        <f t="shared" si="40"/>
        <v>0</v>
      </c>
      <c r="AD83" s="1129">
        <f aca="true" t="shared" si="41" ref="AD83:AD91">SUM(AB83:AC83)</f>
        <v>21531</v>
      </c>
      <c r="AE83" s="725"/>
      <c r="AF83" s="725"/>
      <c r="AG83" s="725"/>
      <c r="AH83" s="847"/>
      <c r="AI83" s="847"/>
      <c r="AJ83" s="847"/>
      <c r="AK83" s="725"/>
      <c r="AL83" s="725"/>
      <c r="AM83" s="635"/>
      <c r="AN83" s="635"/>
      <c r="AO83" s="635"/>
      <c r="AP83" s="635"/>
      <c r="AQ83" s="635"/>
      <c r="AR83" s="635"/>
      <c r="AS83" s="635"/>
    </row>
    <row r="84" spans="1:45" s="617" customFormat="1" ht="24.75" customHeight="1">
      <c r="A84" s="934"/>
      <c r="B84" s="711"/>
      <c r="C84" s="956"/>
      <c r="D84" s="903"/>
      <c r="E84" s="903"/>
      <c r="F84" s="903"/>
      <c r="G84" s="903"/>
      <c r="H84" s="849"/>
      <c r="I84" s="849" t="s">
        <v>64</v>
      </c>
      <c r="J84" s="849" t="s">
        <v>65</v>
      </c>
      <c r="K84" s="1656"/>
      <c r="L84" s="636">
        <v>0</v>
      </c>
      <c r="M84" s="637">
        <v>0</v>
      </c>
      <c r="N84" s="1846">
        <f t="shared" si="38"/>
        <v>0</v>
      </c>
      <c r="O84" s="637">
        <v>0</v>
      </c>
      <c r="P84" s="637">
        <v>0</v>
      </c>
      <c r="Q84" s="958">
        <f t="shared" si="34"/>
        <v>0</v>
      </c>
      <c r="R84" s="711"/>
      <c r="S84" s="685">
        <f t="shared" si="37"/>
        <v>0</v>
      </c>
      <c r="T84" s="852">
        <f t="shared" si="37"/>
        <v>0</v>
      </c>
      <c r="U84" s="852">
        <f t="shared" si="39"/>
        <v>0</v>
      </c>
      <c r="V84" s="685">
        <f>898*12</f>
        <v>10776</v>
      </c>
      <c r="W84" s="852"/>
      <c r="X84" s="685">
        <f t="shared" si="35"/>
        <v>10776</v>
      </c>
      <c r="Y84" s="906">
        <f>1017*3</f>
        <v>3051</v>
      </c>
      <c r="Z84" s="852"/>
      <c r="AA84" s="959">
        <f t="shared" si="36"/>
        <v>3051</v>
      </c>
      <c r="AB84" s="685">
        <f t="shared" si="40"/>
        <v>13827</v>
      </c>
      <c r="AC84" s="852">
        <f t="shared" si="40"/>
        <v>0</v>
      </c>
      <c r="AD84" s="1129">
        <f t="shared" si="41"/>
        <v>13827</v>
      </c>
      <c r="AE84" s="725"/>
      <c r="AF84" s="725"/>
      <c r="AG84" s="725"/>
      <c r="AH84" s="847"/>
      <c r="AI84" s="847"/>
      <c r="AJ84" s="847"/>
      <c r="AK84" s="725"/>
      <c r="AL84" s="725"/>
      <c r="AM84" s="635"/>
      <c r="AN84" s="635"/>
      <c r="AO84" s="635"/>
      <c r="AP84" s="635"/>
      <c r="AQ84" s="635"/>
      <c r="AR84" s="635"/>
      <c r="AS84" s="635"/>
    </row>
    <row r="85" spans="1:45" s="617" customFormat="1" ht="24.75" customHeight="1">
      <c r="A85" s="934"/>
      <c r="B85" s="711"/>
      <c r="C85" s="956"/>
      <c r="D85" s="903"/>
      <c r="E85" s="903"/>
      <c r="F85" s="903"/>
      <c r="G85" s="903"/>
      <c r="H85" s="849"/>
      <c r="I85" s="849"/>
      <c r="J85" s="849" t="s">
        <v>66</v>
      </c>
      <c r="K85" s="1656"/>
      <c r="L85" s="636">
        <v>0</v>
      </c>
      <c r="M85" s="637">
        <v>0</v>
      </c>
      <c r="N85" s="1846">
        <f t="shared" si="38"/>
        <v>0</v>
      </c>
      <c r="O85" s="637">
        <v>0</v>
      </c>
      <c r="P85" s="637">
        <v>0</v>
      </c>
      <c r="Q85" s="958">
        <f t="shared" si="34"/>
        <v>0</v>
      </c>
      <c r="R85" s="711"/>
      <c r="S85" s="685">
        <f t="shared" si="37"/>
        <v>0</v>
      </c>
      <c r="T85" s="852">
        <f t="shared" si="37"/>
        <v>0</v>
      </c>
      <c r="U85" s="852">
        <f t="shared" si="39"/>
        <v>0</v>
      </c>
      <c r="V85" s="685">
        <f>1017*12</f>
        <v>12204</v>
      </c>
      <c r="W85" s="852"/>
      <c r="X85" s="685">
        <f t="shared" si="35"/>
        <v>12204</v>
      </c>
      <c r="Y85" s="906">
        <f>1137*3</f>
        <v>3411</v>
      </c>
      <c r="Z85" s="852"/>
      <c r="AA85" s="959">
        <f t="shared" si="36"/>
        <v>3411</v>
      </c>
      <c r="AB85" s="685">
        <f t="shared" si="40"/>
        <v>15615</v>
      </c>
      <c r="AC85" s="852">
        <f t="shared" si="40"/>
        <v>0</v>
      </c>
      <c r="AD85" s="1129">
        <f t="shared" si="41"/>
        <v>15615</v>
      </c>
      <c r="AE85" s="725"/>
      <c r="AF85" s="725"/>
      <c r="AG85" s="725"/>
      <c r="AH85" s="847"/>
      <c r="AI85" s="847"/>
      <c r="AJ85" s="847"/>
      <c r="AK85" s="725"/>
      <c r="AL85" s="725"/>
      <c r="AM85" s="635"/>
      <c r="AN85" s="635"/>
      <c r="AO85" s="635"/>
      <c r="AP85" s="635"/>
      <c r="AQ85" s="635"/>
      <c r="AR85" s="635"/>
      <c r="AS85" s="635"/>
    </row>
    <row r="86" spans="1:45" s="617" customFormat="1" ht="36" customHeight="1">
      <c r="A86" s="934"/>
      <c r="B86" s="711" t="s">
        <v>595</v>
      </c>
      <c r="C86" s="848" t="s">
        <v>176</v>
      </c>
      <c r="D86" s="848" t="s">
        <v>176</v>
      </c>
      <c r="E86" s="848" t="s">
        <v>176</v>
      </c>
      <c r="F86" s="848" t="s">
        <v>176</v>
      </c>
      <c r="G86" s="848" t="s">
        <v>176</v>
      </c>
      <c r="H86" s="849"/>
      <c r="I86" s="849"/>
      <c r="J86" s="849" t="s">
        <v>183</v>
      </c>
      <c r="K86" s="1656" t="s">
        <v>166</v>
      </c>
      <c r="L86" s="636">
        <v>0</v>
      </c>
      <c r="M86" s="637">
        <v>101000</v>
      </c>
      <c r="N86" s="1846">
        <f t="shared" si="38"/>
        <v>101000</v>
      </c>
      <c r="O86" s="958">
        <v>0</v>
      </c>
      <c r="P86" s="960">
        <f>86000+1665</f>
        <v>87665</v>
      </c>
      <c r="Q86" s="958">
        <f t="shared" si="34"/>
        <v>87665</v>
      </c>
      <c r="R86" s="711"/>
      <c r="S86" s="685">
        <f t="shared" si="37"/>
        <v>0</v>
      </c>
      <c r="T86" s="852">
        <f t="shared" si="37"/>
        <v>13335</v>
      </c>
      <c r="U86" s="852">
        <f t="shared" si="39"/>
        <v>13335</v>
      </c>
      <c r="V86" s="685">
        <v>0</v>
      </c>
      <c r="W86" s="852">
        <f>63144-10524+5000</f>
        <v>57620</v>
      </c>
      <c r="X86" s="685">
        <f t="shared" si="35"/>
        <v>57620</v>
      </c>
      <c r="Y86" s="906">
        <v>0</v>
      </c>
      <c r="Z86" s="961">
        <f>21048-3508-3887-1556+539</f>
        <v>12636</v>
      </c>
      <c r="AA86" s="959">
        <f t="shared" si="36"/>
        <v>12636</v>
      </c>
      <c r="AB86" s="685">
        <f t="shared" si="40"/>
        <v>0</v>
      </c>
      <c r="AC86" s="852">
        <f t="shared" si="40"/>
        <v>70256</v>
      </c>
      <c r="AD86" s="1129">
        <f t="shared" si="41"/>
        <v>70256</v>
      </c>
      <c r="AE86" s="725"/>
      <c r="AF86" s="725"/>
      <c r="AG86" s="725"/>
      <c r="AH86" s="847"/>
      <c r="AI86" s="847"/>
      <c r="AJ86" s="847"/>
      <c r="AK86" s="725"/>
      <c r="AL86" s="725"/>
      <c r="AM86" s="635"/>
      <c r="AN86" s="635"/>
      <c r="AO86" s="635"/>
      <c r="AP86" s="635"/>
      <c r="AQ86" s="635"/>
      <c r="AR86" s="635"/>
      <c r="AS86" s="635"/>
    </row>
    <row r="87" spans="1:45" s="617" customFormat="1" ht="29.25" customHeight="1">
      <c r="A87" s="934"/>
      <c r="B87" s="970"/>
      <c r="C87" s="1128" t="s">
        <v>176</v>
      </c>
      <c r="D87" s="1128" t="s">
        <v>176</v>
      </c>
      <c r="E87" s="1128" t="s">
        <v>176</v>
      </c>
      <c r="F87" s="1128" t="s">
        <v>176</v>
      </c>
      <c r="G87" s="1128" t="s">
        <v>176</v>
      </c>
      <c r="H87" s="970"/>
      <c r="I87" s="857"/>
      <c r="J87" s="668"/>
      <c r="K87" s="1657"/>
      <c r="L87" s="676"/>
      <c r="M87" s="677"/>
      <c r="N87" s="680"/>
      <c r="O87" s="972"/>
      <c r="P87" s="972"/>
      <c r="Q87" s="972">
        <f t="shared" si="34"/>
        <v>0</v>
      </c>
      <c r="R87" s="970"/>
      <c r="S87" s="685">
        <f t="shared" si="37"/>
        <v>0</v>
      </c>
      <c r="T87" s="852">
        <f t="shared" si="37"/>
        <v>0</v>
      </c>
      <c r="U87" s="852">
        <f t="shared" si="39"/>
        <v>0</v>
      </c>
      <c r="V87" s="668"/>
      <c r="W87" s="874">
        <v>14119</v>
      </c>
      <c r="X87" s="668">
        <f t="shared" si="35"/>
        <v>14119</v>
      </c>
      <c r="Y87" s="667"/>
      <c r="Z87" s="874">
        <f>4706</f>
        <v>4706</v>
      </c>
      <c r="AA87" s="669">
        <f t="shared" si="36"/>
        <v>4706</v>
      </c>
      <c r="AB87" s="668">
        <f t="shared" si="40"/>
        <v>0</v>
      </c>
      <c r="AC87" s="874">
        <f t="shared" si="40"/>
        <v>18825</v>
      </c>
      <c r="AD87" s="731">
        <f t="shared" si="41"/>
        <v>18825</v>
      </c>
      <c r="AE87" s="725"/>
      <c r="AF87" s="725"/>
      <c r="AG87" s="725"/>
      <c r="AH87" s="847"/>
      <c r="AI87" s="847"/>
      <c r="AJ87" s="847"/>
      <c r="AK87" s="725"/>
      <c r="AL87" s="725"/>
      <c r="AM87" s="635"/>
      <c r="AN87" s="635"/>
      <c r="AO87" s="635"/>
      <c r="AP87" s="635"/>
      <c r="AQ87" s="635"/>
      <c r="AR87" s="635"/>
      <c r="AS87" s="635"/>
    </row>
    <row r="88" spans="1:45" s="616" customFormat="1" ht="35.25" customHeight="1">
      <c r="A88" s="934"/>
      <c r="B88" s="835" t="s">
        <v>470</v>
      </c>
      <c r="C88" s="964"/>
      <c r="D88" s="868" t="s">
        <v>176</v>
      </c>
      <c r="E88" s="868" t="s">
        <v>176</v>
      </c>
      <c r="F88" s="868" t="s">
        <v>176</v>
      </c>
      <c r="G88" s="835" t="s">
        <v>176</v>
      </c>
      <c r="H88" s="879"/>
      <c r="I88" s="836" t="s">
        <v>167</v>
      </c>
      <c r="J88" s="845" t="s">
        <v>183</v>
      </c>
      <c r="K88" s="1658" t="s">
        <v>158</v>
      </c>
      <c r="L88" s="632">
        <v>0</v>
      </c>
      <c r="M88" s="633">
        <v>0</v>
      </c>
      <c r="N88" s="753">
        <f>SUM(L88:M88)</f>
        <v>0</v>
      </c>
      <c r="O88" s="955">
        <v>0</v>
      </c>
      <c r="P88" s="955">
        <v>3704</v>
      </c>
      <c r="Q88" s="839">
        <f t="shared" si="34"/>
        <v>3704</v>
      </c>
      <c r="R88" s="835" t="s">
        <v>465</v>
      </c>
      <c r="S88" s="839">
        <f t="shared" si="37"/>
        <v>0</v>
      </c>
      <c r="T88" s="842">
        <f t="shared" si="37"/>
        <v>-3704</v>
      </c>
      <c r="U88" s="842">
        <f t="shared" si="39"/>
        <v>-3704</v>
      </c>
      <c r="V88" s="839">
        <v>3000</v>
      </c>
      <c r="W88" s="842">
        <f>5000-3000</f>
        <v>2000</v>
      </c>
      <c r="X88" s="839">
        <f>SUM(V88:W88)</f>
        <v>5000</v>
      </c>
      <c r="Y88" s="869">
        <v>0</v>
      </c>
      <c r="Z88" s="842">
        <v>0</v>
      </c>
      <c r="AA88" s="935">
        <f>SUM(Y88:Z88)</f>
        <v>0</v>
      </c>
      <c r="AB88" s="839">
        <f t="shared" si="40"/>
        <v>3000</v>
      </c>
      <c r="AC88" s="842">
        <f t="shared" si="40"/>
        <v>2000</v>
      </c>
      <c r="AD88" s="965">
        <f t="shared" si="40"/>
        <v>5000</v>
      </c>
      <c r="AE88" s="725"/>
      <c r="AF88" s="725"/>
      <c r="AG88" s="725"/>
      <c r="AH88" s="847"/>
      <c r="AI88" s="847"/>
      <c r="AJ88" s="847"/>
      <c r="AK88" s="725"/>
      <c r="AL88" s="725"/>
      <c r="AM88" s="725"/>
      <c r="AN88" s="725"/>
      <c r="AO88" s="725"/>
      <c r="AP88" s="725"/>
      <c r="AQ88" s="725"/>
      <c r="AR88" s="725"/>
      <c r="AS88" s="725"/>
    </row>
    <row r="89" spans="1:38" s="967" customFormat="1" ht="25.5" customHeight="1">
      <c r="A89" s="934"/>
      <c r="B89" s="711"/>
      <c r="C89" s="956"/>
      <c r="D89" s="903"/>
      <c r="E89" s="903"/>
      <c r="F89" s="903"/>
      <c r="G89" s="903"/>
      <c r="H89" s="711"/>
      <c r="I89" s="849"/>
      <c r="J89" s="849"/>
      <c r="K89" s="1656"/>
      <c r="L89" s="636">
        <v>0</v>
      </c>
      <c r="M89" s="637">
        <v>0</v>
      </c>
      <c r="N89" s="1846">
        <f t="shared" si="38"/>
        <v>0</v>
      </c>
      <c r="O89" s="637">
        <v>0</v>
      </c>
      <c r="P89" s="637">
        <v>0</v>
      </c>
      <c r="Q89" s="685">
        <f>O89+P89</f>
        <v>0</v>
      </c>
      <c r="R89" s="711"/>
      <c r="S89" s="637">
        <v>0</v>
      </c>
      <c r="T89" s="637">
        <v>0</v>
      </c>
      <c r="U89" s="852">
        <f t="shared" si="27"/>
        <v>0</v>
      </c>
      <c r="V89" s="637">
        <v>0</v>
      </c>
      <c r="W89" s="637">
        <v>0</v>
      </c>
      <c r="X89" s="685">
        <f t="shared" si="35"/>
        <v>0</v>
      </c>
      <c r="Y89" s="906">
        <v>0</v>
      </c>
      <c r="Z89" s="852">
        <v>0</v>
      </c>
      <c r="AA89" s="959">
        <f t="shared" si="36"/>
        <v>0</v>
      </c>
      <c r="AB89" s="1838">
        <f>V89+Y89</f>
        <v>0</v>
      </c>
      <c r="AC89" s="916"/>
      <c r="AD89" s="686">
        <f t="shared" si="41"/>
        <v>0</v>
      </c>
      <c r="AE89" s="725"/>
      <c r="AF89" s="725"/>
      <c r="AG89" s="725"/>
      <c r="AH89" s="847"/>
      <c r="AI89" s="847"/>
      <c r="AJ89" s="847"/>
      <c r="AK89" s="966"/>
      <c r="AL89" s="966"/>
    </row>
    <row r="90" spans="1:38" s="969" customFormat="1" ht="26.25" customHeight="1">
      <c r="A90" s="934"/>
      <c r="B90" s="711" t="s">
        <v>97</v>
      </c>
      <c r="C90" s="956"/>
      <c r="D90" s="903"/>
      <c r="E90" s="903"/>
      <c r="F90" s="903"/>
      <c r="G90" s="903"/>
      <c r="H90" s="711"/>
      <c r="I90" s="849"/>
      <c r="J90" s="849"/>
      <c r="K90" s="1656"/>
      <c r="L90" s="636">
        <v>0</v>
      </c>
      <c r="M90" s="637">
        <v>0</v>
      </c>
      <c r="N90" s="1846">
        <f t="shared" si="38"/>
        <v>0</v>
      </c>
      <c r="O90" s="637">
        <v>0</v>
      </c>
      <c r="P90" s="637">
        <v>0</v>
      </c>
      <c r="Q90" s="685">
        <f>O90+P90</f>
        <v>0</v>
      </c>
      <c r="R90" s="711"/>
      <c r="S90" s="685"/>
      <c r="T90" s="852"/>
      <c r="U90" s="852"/>
      <c r="V90" s="637">
        <v>0</v>
      </c>
      <c r="W90" s="637">
        <v>0</v>
      </c>
      <c r="X90" s="685"/>
      <c r="Y90" s="906">
        <v>0</v>
      </c>
      <c r="Z90" s="852"/>
      <c r="AA90" s="959"/>
      <c r="AB90" s="1838">
        <f>V90+Y90</f>
        <v>0</v>
      </c>
      <c r="AC90" s="916"/>
      <c r="AD90" s="686">
        <f t="shared" si="41"/>
        <v>0</v>
      </c>
      <c r="AE90" s="725"/>
      <c r="AF90" s="725"/>
      <c r="AG90" s="725"/>
      <c r="AH90" s="847"/>
      <c r="AI90" s="847"/>
      <c r="AJ90" s="847"/>
      <c r="AK90" s="968"/>
      <c r="AL90" s="968"/>
    </row>
    <row r="91" spans="1:38" s="969" customFormat="1" ht="26.25" customHeight="1">
      <c r="A91" s="934"/>
      <c r="B91" s="711"/>
      <c r="C91" s="956"/>
      <c r="D91" s="903"/>
      <c r="E91" s="903"/>
      <c r="F91" s="903"/>
      <c r="G91" s="903"/>
      <c r="H91" s="711"/>
      <c r="I91" s="849"/>
      <c r="J91" s="849"/>
      <c r="K91" s="1656"/>
      <c r="L91" s="636"/>
      <c r="M91" s="637"/>
      <c r="N91" s="1846"/>
      <c r="O91" s="637">
        <v>0</v>
      </c>
      <c r="P91" s="637">
        <v>0</v>
      </c>
      <c r="Q91" s="685">
        <f>O91+P91</f>
        <v>0</v>
      </c>
      <c r="R91" s="711"/>
      <c r="S91" s="685"/>
      <c r="T91" s="852"/>
      <c r="U91" s="852"/>
      <c r="V91" s="685"/>
      <c r="W91" s="852"/>
      <c r="X91" s="852"/>
      <c r="Y91" s="906"/>
      <c r="Z91" s="852"/>
      <c r="AA91" s="853"/>
      <c r="AB91" s="916"/>
      <c r="AC91" s="916"/>
      <c r="AD91" s="686">
        <f t="shared" si="41"/>
        <v>0</v>
      </c>
      <c r="AE91" s="725"/>
      <c r="AF91" s="725"/>
      <c r="AG91" s="725"/>
      <c r="AH91" s="847"/>
      <c r="AI91" s="847"/>
      <c r="AJ91" s="847"/>
      <c r="AK91" s="968"/>
      <c r="AL91" s="968"/>
    </row>
    <row r="92" spans="1:38" s="978" customFormat="1" ht="17.25" customHeight="1">
      <c r="A92" s="934"/>
      <c r="B92" s="970"/>
      <c r="C92" s="971"/>
      <c r="D92" s="873"/>
      <c r="E92" s="873"/>
      <c r="F92" s="873"/>
      <c r="G92" s="873"/>
      <c r="H92" s="970"/>
      <c r="I92" s="857"/>
      <c r="J92" s="857"/>
      <c r="K92" s="1657"/>
      <c r="L92" s="676"/>
      <c r="M92" s="677"/>
      <c r="N92" s="680"/>
      <c r="O92" s="677">
        <v>0</v>
      </c>
      <c r="P92" s="677">
        <v>0</v>
      </c>
      <c r="Q92" s="668">
        <f>O92+P92</f>
        <v>0</v>
      </c>
      <c r="R92" s="970"/>
      <c r="S92" s="668"/>
      <c r="T92" s="874"/>
      <c r="U92" s="874"/>
      <c r="V92" s="874"/>
      <c r="W92" s="874"/>
      <c r="X92" s="874"/>
      <c r="Y92" s="1809"/>
      <c r="Z92" s="874"/>
      <c r="AA92" s="974"/>
      <c r="AB92" s="975"/>
      <c r="AC92" s="975"/>
      <c r="AD92" s="976"/>
      <c r="AE92" s="725"/>
      <c r="AF92" s="725"/>
      <c r="AG92" s="725"/>
      <c r="AH92" s="847"/>
      <c r="AI92" s="847"/>
      <c r="AJ92" s="847"/>
      <c r="AK92" s="977"/>
      <c r="AL92" s="977"/>
    </row>
    <row r="93" spans="1:45" s="825" customFormat="1" ht="51" customHeight="1">
      <c r="A93" s="954"/>
      <c r="B93" s="884" t="s">
        <v>159</v>
      </c>
      <c r="C93" s="949"/>
      <c r="D93" s="804" t="s">
        <v>176</v>
      </c>
      <c r="E93" s="804" t="s">
        <v>176</v>
      </c>
      <c r="F93" s="804" t="s">
        <v>176</v>
      </c>
      <c r="G93" s="804"/>
      <c r="H93" s="1138"/>
      <c r="I93" s="1138"/>
      <c r="J93" s="1139" t="s">
        <v>160</v>
      </c>
      <c r="K93" s="1659" t="s">
        <v>309</v>
      </c>
      <c r="L93" s="689">
        <v>4000</v>
      </c>
      <c r="M93" s="690">
        <v>1200</v>
      </c>
      <c r="N93" s="1845">
        <f>SUM(L93:M93)</f>
        <v>5200</v>
      </c>
      <c r="O93" s="1191">
        <v>3998</v>
      </c>
      <c r="P93" s="693">
        <v>1058</v>
      </c>
      <c r="Q93" s="1158">
        <f>SUM(O93:P93)</f>
        <v>5056</v>
      </c>
      <c r="R93" s="1968" t="s">
        <v>358</v>
      </c>
      <c r="S93" s="839">
        <f>L93-O93</f>
        <v>2</v>
      </c>
      <c r="T93" s="842">
        <f>M93-P93</f>
        <v>142</v>
      </c>
      <c r="U93" s="842">
        <f>S93+T93</f>
        <v>144</v>
      </c>
      <c r="V93" s="693">
        <v>300</v>
      </c>
      <c r="W93" s="885">
        <v>0</v>
      </c>
      <c r="X93" s="1158">
        <f>SUM(V93:W93)</f>
        <v>300</v>
      </c>
      <c r="Y93" s="1810">
        <v>0</v>
      </c>
      <c r="Z93" s="980">
        <v>0</v>
      </c>
      <c r="AA93" s="1832">
        <f>SUM(Y93:Z93)</f>
        <v>0</v>
      </c>
      <c r="AB93" s="693">
        <f>V93+Y93</f>
        <v>300</v>
      </c>
      <c r="AC93" s="885">
        <f>W93+Z93</f>
        <v>0</v>
      </c>
      <c r="AD93" s="727">
        <f>SUM(AB93:AC93)</f>
        <v>300</v>
      </c>
      <c r="AE93" s="769"/>
      <c r="AF93" s="769"/>
      <c r="AG93" s="769"/>
      <c r="AH93" s="847"/>
      <c r="AI93" s="847"/>
      <c r="AJ93" s="847"/>
      <c r="AK93" s="769"/>
      <c r="AL93" s="769"/>
      <c r="AM93" s="769"/>
      <c r="AN93" s="769"/>
      <c r="AO93" s="769"/>
      <c r="AP93" s="769"/>
      <c r="AQ93" s="769"/>
      <c r="AR93" s="769"/>
      <c r="AS93" s="769"/>
    </row>
    <row r="94" spans="1:38" s="759" customFormat="1" ht="25.5" customHeight="1">
      <c r="A94" s="981"/>
      <c r="B94" s="835" t="s">
        <v>161</v>
      </c>
      <c r="C94" s="964"/>
      <c r="D94" s="964"/>
      <c r="E94" s="964"/>
      <c r="F94" s="964"/>
      <c r="G94" s="964"/>
      <c r="H94" s="836"/>
      <c r="I94" s="836" t="s">
        <v>325</v>
      </c>
      <c r="J94" s="838" t="s">
        <v>183</v>
      </c>
      <c r="K94" s="1660" t="s">
        <v>162</v>
      </c>
      <c r="L94" s="632">
        <v>2000</v>
      </c>
      <c r="M94" s="633">
        <v>1000</v>
      </c>
      <c r="N94" s="1020">
        <f>SUM(L94:M94)</f>
        <v>3000</v>
      </c>
      <c r="O94" s="839">
        <v>1461</v>
      </c>
      <c r="P94" s="839">
        <v>0</v>
      </c>
      <c r="Q94" s="845">
        <f>SUM(O94:P94)</f>
        <v>1461</v>
      </c>
      <c r="R94" s="838" t="s">
        <v>359</v>
      </c>
      <c r="S94" s="839">
        <f>L94-O94</f>
        <v>539</v>
      </c>
      <c r="T94" s="842">
        <f>M94-P94</f>
        <v>1000</v>
      </c>
      <c r="U94" s="842">
        <f>S94+T94</f>
        <v>1539</v>
      </c>
      <c r="V94" s="839">
        <f>10000-1173+760</f>
        <v>9587</v>
      </c>
      <c r="W94" s="842">
        <v>2125</v>
      </c>
      <c r="X94" s="845">
        <f>SUM(V94:W94)</f>
        <v>11712</v>
      </c>
      <c r="Y94" s="1807">
        <v>0</v>
      </c>
      <c r="Z94" s="982">
        <v>2125</v>
      </c>
      <c r="AA94" s="840">
        <f>SUM(Y94:Z94)</f>
        <v>2125</v>
      </c>
      <c r="AB94" s="839">
        <f>V94+Y94</f>
        <v>9587</v>
      </c>
      <c r="AC94" s="881">
        <f>W94+Z94</f>
        <v>4250</v>
      </c>
      <c r="AD94" s="882">
        <f>SUM(AB94:AC94)</f>
        <v>13837</v>
      </c>
      <c r="AE94" s="769"/>
      <c r="AF94" s="769"/>
      <c r="AG94" s="769"/>
      <c r="AH94" s="847"/>
      <c r="AI94" s="847"/>
      <c r="AJ94" s="847"/>
      <c r="AK94" s="983"/>
      <c r="AL94" s="983"/>
    </row>
    <row r="95" spans="1:40" s="776" customFormat="1" ht="31.5" customHeight="1">
      <c r="A95" s="1598"/>
      <c r="B95" s="1599" t="s">
        <v>193</v>
      </c>
      <c r="C95" s="1600" t="s">
        <v>152</v>
      </c>
      <c r="D95" s="1600"/>
      <c r="E95" s="1600"/>
      <c r="F95" s="1600"/>
      <c r="G95" s="1600"/>
      <c r="H95" s="1601"/>
      <c r="I95" s="1599"/>
      <c r="J95" s="1599"/>
      <c r="K95" s="1661"/>
      <c r="L95" s="1225">
        <f>L12+L19+L45+L53+L62+L67+L75+L78+L79</f>
        <v>572312</v>
      </c>
      <c r="M95" s="1037">
        <f>M12+M19+M45+M53+M62+M67+M75+M78+M79</f>
        <v>667948</v>
      </c>
      <c r="N95" s="1692">
        <f>SUM(L95:M95)</f>
        <v>1240260</v>
      </c>
      <c r="O95" s="1037">
        <f>O12+O19+O45+O53+O62+O67+O75+O78+O79</f>
        <v>443154</v>
      </c>
      <c r="P95" s="1037">
        <f>P12+P19+P45+P53+P62+P67+P75+P78+P79</f>
        <v>536116.8300000001</v>
      </c>
      <c r="Q95" s="1037">
        <f>SUM(O95:P95)</f>
        <v>979270.8300000001</v>
      </c>
      <c r="R95" s="1037"/>
      <c r="S95" s="1037">
        <f>S12+S19+S45+S53+S62+S67+S75+S78+S79</f>
        <v>129158</v>
      </c>
      <c r="T95" s="1037">
        <f>T12+T19+T45+T53+T62+T67+T75+T78+T79</f>
        <v>131831.17</v>
      </c>
      <c r="U95" s="1037">
        <f>SUM(S95:T95)</f>
        <v>260989.17</v>
      </c>
      <c r="V95" s="1037">
        <f aca="true" t="shared" si="42" ref="V95:AD95">V12+V19+V45+V53+V62+V67+V75+V78+V79</f>
        <v>600359</v>
      </c>
      <c r="W95" s="1037">
        <f t="shared" si="42"/>
        <v>352506.42</v>
      </c>
      <c r="X95" s="1037">
        <f t="shared" si="42"/>
        <v>952865.42</v>
      </c>
      <c r="Y95" s="1224">
        <f t="shared" si="42"/>
        <v>16675</v>
      </c>
      <c r="Z95" s="1037">
        <f t="shared" si="42"/>
        <v>43524</v>
      </c>
      <c r="AA95" s="1692">
        <f t="shared" si="42"/>
        <v>60199</v>
      </c>
      <c r="AB95" s="1037">
        <f t="shared" si="42"/>
        <v>617034</v>
      </c>
      <c r="AC95" s="1037">
        <f t="shared" si="42"/>
        <v>396030.42</v>
      </c>
      <c r="AD95" s="1604">
        <f t="shared" si="42"/>
        <v>1013064.42</v>
      </c>
      <c r="AE95" s="1127"/>
      <c r="AF95" s="1121"/>
      <c r="AH95" s="779"/>
      <c r="AI95" s="779"/>
      <c r="AJ95" s="779"/>
      <c r="AK95" s="1121"/>
      <c r="AL95" s="1121"/>
      <c r="AM95" s="1121">
        <f>SUM(AJ12+AJ19+AJ45+AJ53+AJ62+AJ67+AJ75+AJ78+AJ79)</f>
        <v>0</v>
      </c>
      <c r="AN95" s="1121">
        <f>SUM(AJ12+AJ19+AJ45+AJ53+AJ62+AJ67+AJ75+AJ78+AJ79)</f>
        <v>0</v>
      </c>
    </row>
    <row r="96" spans="1:36" s="776" customFormat="1" ht="31.5" customHeight="1">
      <c r="A96" s="1598"/>
      <c r="B96" s="1599" t="s">
        <v>194</v>
      </c>
      <c r="C96" s="1600"/>
      <c r="D96" s="1600"/>
      <c r="E96" s="1600"/>
      <c r="F96" s="1600"/>
      <c r="G96" s="1600"/>
      <c r="H96" s="1601"/>
      <c r="I96" s="1605"/>
      <c r="J96" s="1599"/>
      <c r="K96" s="1661"/>
      <c r="L96" s="1225">
        <f>L95*7%</f>
        <v>40061.840000000004</v>
      </c>
      <c r="M96" s="1037">
        <f>M95*7%</f>
        <v>46756.36000000001</v>
      </c>
      <c r="N96" s="1692">
        <f>L96+M96</f>
        <v>86818.20000000001</v>
      </c>
      <c r="O96" s="1036">
        <f>O95*7%</f>
        <v>31020.780000000002</v>
      </c>
      <c r="P96" s="1036">
        <f>P95*7%-891</f>
        <v>36637.17810000001</v>
      </c>
      <c r="Q96" s="1037">
        <f>SUM(O96:P96)</f>
        <v>67657.95810000002</v>
      </c>
      <c r="R96" s="1983" t="s">
        <v>87</v>
      </c>
      <c r="S96" s="1037">
        <f>L96-O96</f>
        <v>9041.060000000001</v>
      </c>
      <c r="T96" s="1037">
        <f>T95*7%+891</f>
        <v>10119.181900000001</v>
      </c>
      <c r="U96" s="1037">
        <f>SUM(S96:T96)</f>
        <v>19160.2419</v>
      </c>
      <c r="V96" s="1607">
        <f>V95*7%</f>
        <v>42025.130000000005</v>
      </c>
      <c r="W96" s="1607">
        <f>W95*7%</f>
        <v>24675.4494</v>
      </c>
      <c r="X96" s="1607">
        <f t="shared" si="35"/>
        <v>66700.5794</v>
      </c>
      <c r="Y96" s="1811">
        <f>Y95*7%</f>
        <v>1167.25</v>
      </c>
      <c r="Z96" s="1607">
        <f>Z95*7%</f>
        <v>3046.6800000000003</v>
      </c>
      <c r="AA96" s="1833">
        <f>SUM(Y96:Z96)</f>
        <v>4213.93</v>
      </c>
      <c r="AB96" s="1607">
        <f>AB95*7%</f>
        <v>43192.380000000005</v>
      </c>
      <c r="AC96" s="1607">
        <f>AC95*7%</f>
        <v>27722.1294</v>
      </c>
      <c r="AD96" s="1608">
        <f>SUM(AB96:AC96)</f>
        <v>70914.50940000001</v>
      </c>
      <c r="AE96" s="1121"/>
      <c r="AH96" s="779"/>
      <c r="AI96" s="779"/>
      <c r="AJ96" s="779"/>
    </row>
    <row r="97" spans="1:36" s="776" customFormat="1" ht="27" customHeight="1" thickBot="1">
      <c r="A97" s="1609"/>
      <c r="B97" s="1610" t="s">
        <v>195</v>
      </c>
      <c r="C97" s="1611"/>
      <c r="D97" s="1611"/>
      <c r="E97" s="1611"/>
      <c r="F97" s="1611"/>
      <c r="G97" s="1611"/>
      <c r="H97" s="1612"/>
      <c r="I97" s="1610"/>
      <c r="J97" s="1610"/>
      <c r="K97" s="1662"/>
      <c r="L97" s="1614">
        <f>SUM(L95:L96)</f>
        <v>612373.84</v>
      </c>
      <c r="M97" s="1615">
        <f>SUM(M95:M96)</f>
        <v>714704.36</v>
      </c>
      <c r="N97" s="1847">
        <f>L97+M97</f>
        <v>1327078.2</v>
      </c>
      <c r="O97" s="1615">
        <f>SUM(O95:O96)</f>
        <v>474174.78</v>
      </c>
      <c r="P97" s="1615">
        <f>SUM(P95:P96)</f>
        <v>572754.0081000001</v>
      </c>
      <c r="Q97" s="1615">
        <f>SUM(Q95:Q96)</f>
        <v>1046928.7881000001</v>
      </c>
      <c r="R97" s="1613"/>
      <c r="S97" s="1613">
        <f aca="true" t="shared" si="43" ref="S97:AD97">SUM(S95:S96)</f>
        <v>138199.06</v>
      </c>
      <c r="T97" s="1613">
        <f t="shared" si="43"/>
        <v>141950.3519</v>
      </c>
      <c r="U97" s="1613">
        <f t="shared" si="43"/>
        <v>280149.4119</v>
      </c>
      <c r="V97" s="1613">
        <f t="shared" si="43"/>
        <v>642384.13</v>
      </c>
      <c r="W97" s="1613">
        <f t="shared" si="43"/>
        <v>377181.86939999997</v>
      </c>
      <c r="X97" s="1613">
        <f t="shared" si="43"/>
        <v>1019565.9994000001</v>
      </c>
      <c r="Y97" s="1666">
        <f t="shared" si="43"/>
        <v>17842.25</v>
      </c>
      <c r="Z97" s="1613">
        <f t="shared" si="43"/>
        <v>46570.68</v>
      </c>
      <c r="AA97" s="1662">
        <f t="shared" si="43"/>
        <v>64412.93</v>
      </c>
      <c r="AB97" s="1613">
        <f t="shared" si="43"/>
        <v>660226.38</v>
      </c>
      <c r="AC97" s="1613">
        <f t="shared" si="43"/>
        <v>423752.54939999996</v>
      </c>
      <c r="AD97" s="1616">
        <f t="shared" si="43"/>
        <v>1083978.9294</v>
      </c>
      <c r="AE97" s="1121"/>
      <c r="AH97" s="779"/>
      <c r="AI97" s="779"/>
      <c r="AJ97" s="779"/>
    </row>
    <row r="98" spans="2:36" s="769" customFormat="1" ht="15.75" customHeight="1" thickTop="1">
      <c r="B98" s="784"/>
      <c r="C98" s="783"/>
      <c r="D98" s="783"/>
      <c r="E98" s="783"/>
      <c r="F98" s="783"/>
      <c r="G98" s="783"/>
      <c r="H98" s="785"/>
      <c r="I98" s="784"/>
      <c r="J98" s="784"/>
      <c r="K98" s="984"/>
      <c r="L98" s="1118"/>
      <c r="M98" s="1118"/>
      <c r="N98" s="1118"/>
      <c r="O98" s="986"/>
      <c r="P98" s="986"/>
      <c r="Q98" s="986"/>
      <c r="R98" s="984"/>
      <c r="S98" s="987"/>
      <c r="T98" s="987"/>
      <c r="U98" s="1155">
        <f>N97-Q97</f>
        <v>280149.41189999983</v>
      </c>
      <c r="V98" s="984"/>
      <c r="W98" s="984"/>
      <c r="X98" s="984"/>
      <c r="Y98" s="984"/>
      <c r="Z98" s="984"/>
      <c r="AA98" s="984"/>
      <c r="AB98" s="984"/>
      <c r="AC98" s="984"/>
      <c r="AD98" s="786"/>
      <c r="AE98" s="781"/>
      <c r="AH98" s="847"/>
      <c r="AI98" s="847"/>
      <c r="AJ98" s="847"/>
    </row>
    <row r="99" spans="2:36" s="769" customFormat="1" ht="45.75" customHeight="1" hidden="1" outlineLevel="1" thickBot="1">
      <c r="B99" s="784"/>
      <c r="C99" s="783"/>
      <c r="D99" s="783"/>
      <c r="E99" s="783"/>
      <c r="F99" s="783"/>
      <c r="G99" s="783"/>
      <c r="H99" s="785"/>
      <c r="I99" s="784"/>
      <c r="J99" s="784"/>
      <c r="K99" s="984"/>
      <c r="L99" s="985"/>
      <c r="M99" s="985"/>
      <c r="N99" s="985"/>
      <c r="O99" s="986"/>
      <c r="P99" s="986"/>
      <c r="Q99" s="986"/>
      <c r="R99" s="984"/>
      <c r="S99" s="984"/>
      <c r="T99" s="984"/>
      <c r="U99" s="984"/>
      <c r="V99" s="984"/>
      <c r="W99" s="984"/>
      <c r="X99" s="984"/>
      <c r="Y99" s="984"/>
      <c r="Z99" s="984"/>
      <c r="AA99" s="984"/>
      <c r="AB99" s="984"/>
      <c r="AC99" s="984"/>
      <c r="AD99" s="786"/>
      <c r="AE99" s="781"/>
      <c r="AH99" s="847"/>
      <c r="AI99" s="847"/>
      <c r="AJ99" s="847"/>
    </row>
    <row r="100" spans="1:34" s="769" customFormat="1" ht="45.75" customHeight="1" hidden="1" outlineLevel="1" thickTop="1">
      <c r="A100" s="2148"/>
      <c r="B100" s="2149"/>
      <c r="C100" s="2149"/>
      <c r="D100" s="2149"/>
      <c r="E100" s="2149"/>
      <c r="F100" s="2149"/>
      <c r="G100" s="2145" t="s">
        <v>134</v>
      </c>
      <c r="H100" s="2146"/>
      <c r="I100" s="2146"/>
      <c r="J100" s="2147"/>
      <c r="K100" s="2129" t="s">
        <v>89</v>
      </c>
      <c r="L100" s="2130"/>
      <c r="M100" s="2130"/>
      <c r="N100" s="2131"/>
      <c r="O100" s="2126" t="s">
        <v>81</v>
      </c>
      <c r="P100" s="2127"/>
      <c r="Q100" s="2127"/>
      <c r="R100" s="2128"/>
      <c r="S100" s="2126" t="s">
        <v>92</v>
      </c>
      <c r="T100" s="2127"/>
      <c r="U100" s="2127"/>
      <c r="V100" s="2128"/>
      <c r="W100" s="2126" t="s">
        <v>98</v>
      </c>
      <c r="X100" s="2127"/>
      <c r="Y100" s="2127"/>
      <c r="Z100" s="2128"/>
      <c r="AA100" s="2126" t="s">
        <v>99</v>
      </c>
      <c r="AB100" s="2127"/>
      <c r="AC100" s="2127"/>
      <c r="AD100" s="2128"/>
      <c r="AE100" s="2126" t="s">
        <v>84</v>
      </c>
      <c r="AF100" s="2127"/>
      <c r="AG100" s="2127"/>
      <c r="AH100" s="2132"/>
    </row>
    <row r="101" spans="1:34" s="769" customFormat="1" ht="82.5" customHeight="1" hidden="1" outlineLevel="1" thickBot="1">
      <c r="A101" s="2150"/>
      <c r="B101" s="2151"/>
      <c r="C101" s="2151"/>
      <c r="D101" s="2151"/>
      <c r="E101" s="2151"/>
      <c r="F101" s="2151"/>
      <c r="G101" s="1617" t="s">
        <v>144</v>
      </c>
      <c r="H101" s="1617" t="s">
        <v>184</v>
      </c>
      <c r="I101" s="1618" t="s">
        <v>135</v>
      </c>
      <c r="J101" s="1619" t="s">
        <v>136</v>
      </c>
      <c r="K101" s="1617" t="s">
        <v>144</v>
      </c>
      <c r="L101" s="1617" t="s">
        <v>184</v>
      </c>
      <c r="M101" s="1618" t="s">
        <v>135</v>
      </c>
      <c r="N101" s="1620" t="s">
        <v>136</v>
      </c>
      <c r="O101" s="1621" t="s">
        <v>36</v>
      </c>
      <c r="P101" s="1622" t="s">
        <v>37</v>
      </c>
      <c r="Q101" s="1618" t="s">
        <v>38</v>
      </c>
      <c r="R101" s="1623" t="s">
        <v>39</v>
      </c>
      <c r="S101" s="1621" t="s">
        <v>36</v>
      </c>
      <c r="T101" s="1622" t="s">
        <v>37</v>
      </c>
      <c r="U101" s="1618" t="s">
        <v>38</v>
      </c>
      <c r="V101" s="1620" t="s">
        <v>39</v>
      </c>
      <c r="W101" s="1624" t="s">
        <v>36</v>
      </c>
      <c r="X101" s="1625" t="s">
        <v>344</v>
      </c>
      <c r="Y101" s="1221" t="s">
        <v>38</v>
      </c>
      <c r="Z101" s="1626" t="s">
        <v>39</v>
      </c>
      <c r="AA101" s="1625" t="s">
        <v>36</v>
      </c>
      <c r="AB101" s="1625" t="s">
        <v>344</v>
      </c>
      <c r="AC101" s="1221" t="s">
        <v>38</v>
      </c>
      <c r="AD101" s="1626" t="s">
        <v>39</v>
      </c>
      <c r="AE101" s="1625" t="s">
        <v>36</v>
      </c>
      <c r="AF101" s="1625" t="s">
        <v>344</v>
      </c>
      <c r="AG101" s="1221" t="s">
        <v>38</v>
      </c>
      <c r="AH101" s="1627" t="s">
        <v>39</v>
      </c>
    </row>
    <row r="102" spans="1:41" s="750" customFormat="1" ht="43.5" customHeight="1" hidden="1" outlineLevel="1">
      <c r="A102" s="2133" t="s">
        <v>197</v>
      </c>
      <c r="B102" s="2134"/>
      <c r="C102" s="2134"/>
      <c r="D102" s="2134"/>
      <c r="E102" s="2134"/>
      <c r="F102" s="2134"/>
      <c r="G102" s="1184">
        <v>253151</v>
      </c>
      <c r="H102" s="1185">
        <v>226805</v>
      </c>
      <c r="I102" s="1185">
        <f>H102*7%</f>
        <v>15876.350000000002</v>
      </c>
      <c r="J102" s="1219">
        <f>SUM(H102:I102)</f>
        <v>242681.35</v>
      </c>
      <c r="K102" s="1185">
        <f>SUM(L$9,L$13,L$14,L$30,L$31,L$47,L$48,L$49,L$50,L$51,L$52)</f>
        <v>109550</v>
      </c>
      <c r="L102" s="1185">
        <f>SUM(M$9,M$13,M$14,M$30,M$31,M$47,M$48,M$49,M$50,M$51,M$52)</f>
        <v>95165</v>
      </c>
      <c r="M102" s="1185">
        <f aca="true" t="shared" si="44" ref="M102:M109">L102*7%</f>
        <v>6661.55</v>
      </c>
      <c r="N102" s="1220">
        <f aca="true" t="shared" si="45" ref="N102:N109">SUM(L102:M102)</f>
        <v>101826.55</v>
      </c>
      <c r="O102" s="1186">
        <f>SUM(O$9,O$13,O$14,O$30,O$31,O$47,O$48,O$49,O$50,O$51,O$52)</f>
        <v>118592</v>
      </c>
      <c r="P102" s="1185">
        <f>SUM(P$9,P$13,P$14,P$30,P$31,P$47,P$48,P$49,P$50,P$51,P$52)</f>
        <v>101090</v>
      </c>
      <c r="Q102" s="1219">
        <f>P102*7%</f>
        <v>7076.300000000001</v>
      </c>
      <c r="R102" s="1567">
        <f aca="true" t="shared" si="46" ref="R102:R111">SUM(P102:Q102)</f>
        <v>108166.3</v>
      </c>
      <c r="S102" s="1186">
        <f>SUM(S$9,S$13,S$14,S$30,S$31,S$47,S$48,S$49,S$50,S$51,S$52)</f>
        <v>-9042</v>
      </c>
      <c r="T102" s="1185">
        <f>SUM(T$9,T$13,T$14,T$30,T$31,T$47,T$48,T$49,T$50,T$51,T$52)</f>
        <v>-5925</v>
      </c>
      <c r="U102" s="1219">
        <f>T102*7%</f>
        <v>-414.75000000000006</v>
      </c>
      <c r="V102" s="1220">
        <f>SUM(T102:U102)</f>
        <v>-6339.75</v>
      </c>
      <c r="W102" s="1188">
        <f>SUM(V$9,V$13,V$14,V$30,V$31,V$47,V$48,V$49,V$50,V$51,V$52)</f>
        <v>66100</v>
      </c>
      <c r="X102" s="1185">
        <f>SUM(W$9,W$13,W$14,W$30,W$31,W$47,W$48,W$49,W$50,W$51,W$52)</f>
        <v>22692</v>
      </c>
      <c r="Y102" s="770">
        <f>X102*7%</f>
        <v>1588.44</v>
      </c>
      <c r="Z102" s="1458">
        <f>SUM(X102:Y102)</f>
        <v>24280.44</v>
      </c>
      <c r="AA102" s="1185">
        <f>SUM(Y$9,Y$13,Y$14,Y$30,Y$31,Y$47,Y$48,Y$49,Y$50,Y$51,Y$52)</f>
        <v>0</v>
      </c>
      <c r="AB102" s="1185">
        <f>SUM(Z$9,Z$13,Z$14,Z$30,Z$31,Z$47,Z$48,Z$49,Z$50,Z$51,Z$52)</f>
        <v>0</v>
      </c>
      <c r="AC102" s="771">
        <f>AB102*7%</f>
        <v>0</v>
      </c>
      <c r="AD102" s="1458">
        <f>SUM(AB102:AC102)</f>
        <v>0</v>
      </c>
      <c r="AE102" s="1185">
        <f aca="true" t="shared" si="47" ref="AE102:AE111">SUM(W102,AA102)</f>
        <v>66100</v>
      </c>
      <c r="AF102" s="1185">
        <f aca="true" t="shared" si="48" ref="AF102:AF111">SUM(X102,AB102)</f>
        <v>22692</v>
      </c>
      <c r="AG102" s="1185">
        <f aca="true" t="shared" si="49" ref="AG102:AG111">SUM(Y102,AC102)</f>
        <v>1588.44</v>
      </c>
      <c r="AH102" s="1568">
        <f>SUM(AF102:AG102)</f>
        <v>24280.44</v>
      </c>
      <c r="AN102" s="769"/>
      <c r="AO102" s="769"/>
    </row>
    <row r="103" spans="1:41" s="645" customFormat="1" ht="54.75" customHeight="1" hidden="1" outlineLevel="2">
      <c r="A103" s="2115" t="s">
        <v>198</v>
      </c>
      <c r="B103" s="2116"/>
      <c r="C103" s="2116"/>
      <c r="D103" s="2116"/>
      <c r="E103" s="2116"/>
      <c r="F103" s="2116"/>
      <c r="G103" s="1184">
        <v>238836</v>
      </c>
      <c r="H103" s="771">
        <v>106536</v>
      </c>
      <c r="I103" s="1185">
        <f aca="true" t="shared" si="50" ref="I103:I111">H103*7%</f>
        <v>7457.52</v>
      </c>
      <c r="J103" s="1219">
        <f aca="true" t="shared" si="51" ref="J103:J111">SUM(H103:I103)</f>
        <v>113993.52</v>
      </c>
      <c r="K103" s="771">
        <f>SUM(L$17,L$18,L$69,L$70,L$76,L$77)</f>
        <v>70000</v>
      </c>
      <c r="L103" s="771">
        <f>M17+M18+M69+M70+M76+M77</f>
        <v>54536</v>
      </c>
      <c r="M103" s="1185">
        <f t="shared" si="44"/>
        <v>3817.5200000000004</v>
      </c>
      <c r="N103" s="1220">
        <f t="shared" si="45"/>
        <v>58353.520000000004</v>
      </c>
      <c r="O103" s="772">
        <f>SUM(O$17,O$18,O$69,O$70,O$76,O$77)</f>
        <v>83341</v>
      </c>
      <c r="P103" s="771">
        <f>SUM(P$17,P$18,P$69,P$70,P$76,P$77)</f>
        <v>32064</v>
      </c>
      <c r="Q103" s="1219">
        <f aca="true" t="shared" si="52" ref="Q103:Q109">P103*7%</f>
        <v>2244.48</v>
      </c>
      <c r="R103" s="1567">
        <f t="shared" si="46"/>
        <v>34308.48</v>
      </c>
      <c r="S103" s="772">
        <f>SUM(S$17,S$18,S$69,S$70,S$76,S$77)</f>
        <v>-13341</v>
      </c>
      <c r="T103" s="771">
        <f>SUM(T$17,T$18,T$69,T$70,T$76,T$77)</f>
        <v>22472</v>
      </c>
      <c r="U103" s="1219">
        <f aca="true" t="shared" si="53" ref="U103:U109">T103*7%</f>
        <v>1573.0400000000002</v>
      </c>
      <c r="V103" s="1220">
        <f aca="true" t="shared" si="54" ref="V103:V109">SUM(T103:U103)</f>
        <v>24045.04</v>
      </c>
      <c r="W103" s="1455">
        <f>SUM(V$17,V$18,V$69,V$70,V$76,V$77)</f>
        <v>154863</v>
      </c>
      <c r="X103" s="771">
        <f>SUM(W$17,W$18,W$69,W$70,W$76,W$77)</f>
        <v>43300</v>
      </c>
      <c r="Y103" s="770">
        <f aca="true" t="shared" si="55" ref="Y103:Y113">X103*7%</f>
        <v>3031.0000000000005</v>
      </c>
      <c r="Z103" s="1458">
        <f aca="true" t="shared" si="56" ref="Z103:Z113">SUM(X103:Y103)</f>
        <v>46331</v>
      </c>
      <c r="AA103" s="771">
        <f>SUM(Y$17,Y$18,Y$69,Y$70,Y$76,Y$77)</f>
        <v>0</v>
      </c>
      <c r="AB103" s="771">
        <f>SUM(Z$17,Z$18,Z$69,Z$70,Z$76,Z$77)</f>
        <v>0</v>
      </c>
      <c r="AC103" s="771">
        <f aca="true" t="shared" si="57" ref="AC103:AC109">AB103*7%</f>
        <v>0</v>
      </c>
      <c r="AD103" s="1458">
        <f aca="true" t="shared" si="58" ref="AD103:AD109">SUM(AB103:AC103)</f>
        <v>0</v>
      </c>
      <c r="AE103" s="1185">
        <f t="shared" si="47"/>
        <v>154863</v>
      </c>
      <c r="AF103" s="1185">
        <f t="shared" si="48"/>
        <v>43300</v>
      </c>
      <c r="AG103" s="1185">
        <f t="shared" si="49"/>
        <v>3031.0000000000005</v>
      </c>
      <c r="AH103" s="1568">
        <f aca="true" t="shared" si="59" ref="AH103:AH111">SUM(AF103:AG103)</f>
        <v>46331</v>
      </c>
      <c r="AN103" s="769"/>
      <c r="AO103" s="769"/>
    </row>
    <row r="104" spans="1:41" s="645" customFormat="1" ht="66.75" customHeight="1" hidden="1" outlineLevel="2">
      <c r="A104" s="2115" t="s">
        <v>199</v>
      </c>
      <c r="B104" s="2116"/>
      <c r="C104" s="2116"/>
      <c r="D104" s="2116"/>
      <c r="E104" s="2116"/>
      <c r="F104" s="2116"/>
      <c r="G104" s="1184">
        <v>191627</v>
      </c>
      <c r="H104" s="693">
        <v>338886</v>
      </c>
      <c r="I104" s="1185">
        <f t="shared" si="50"/>
        <v>23722.020000000004</v>
      </c>
      <c r="J104" s="1219">
        <f t="shared" si="51"/>
        <v>362608.02</v>
      </c>
      <c r="K104" s="771">
        <f>SUM(L$33,L$34,L$36,L$38,L$57,L$61)</f>
        <v>80850</v>
      </c>
      <c r="L104" s="771">
        <f>M33+M34+M36+M38+M57+M61</f>
        <v>143746</v>
      </c>
      <c r="M104" s="1185">
        <f t="shared" si="44"/>
        <v>10062.220000000001</v>
      </c>
      <c r="N104" s="1220">
        <f t="shared" si="45"/>
        <v>153808.22</v>
      </c>
      <c r="O104" s="772">
        <f>SUM(O$33,O$34,O$36,O$38,O$57,O$61)</f>
        <v>69677</v>
      </c>
      <c r="P104" s="771">
        <f>SUM(P$33,P$34,P$36,P$38,P$57,P$61)</f>
        <v>127643</v>
      </c>
      <c r="Q104" s="1219">
        <f t="shared" si="52"/>
        <v>8935.01</v>
      </c>
      <c r="R104" s="1567">
        <f t="shared" si="46"/>
        <v>136578.01</v>
      </c>
      <c r="S104" s="772">
        <f>SUM(S$33,S$34,S$36,S$38,S$57,S$61)</f>
        <v>11173</v>
      </c>
      <c r="T104" s="771">
        <f>SUM(T$33,T$34,T$36,T$38,T$57,T$61)</f>
        <v>16103</v>
      </c>
      <c r="U104" s="1219">
        <f t="shared" si="53"/>
        <v>1127.21</v>
      </c>
      <c r="V104" s="1220">
        <f t="shared" si="54"/>
        <v>17230.21</v>
      </c>
      <c r="W104" s="1455">
        <f>SUM(V$33,V$34,V$36,V$38,V$57,V$61)</f>
        <v>111580</v>
      </c>
      <c r="X104" s="771">
        <f>SUM(W$33,W$34,W$36,W$38,W$57,W$61)</f>
        <v>126586</v>
      </c>
      <c r="Y104" s="770">
        <f t="shared" si="55"/>
        <v>8861.02</v>
      </c>
      <c r="Z104" s="1458">
        <f t="shared" si="56"/>
        <v>135447.02</v>
      </c>
      <c r="AA104" s="771">
        <f>SUM(Y$33,Y$34,Y$36,Y$38,Y$57,Y$61)</f>
        <v>0</v>
      </c>
      <c r="AB104" s="771">
        <f>SUM(Z$33,Z$34,Z$36,Z$38,Z$57,Z$61)</f>
        <v>24057</v>
      </c>
      <c r="AC104" s="771">
        <f t="shared" si="57"/>
        <v>1683.9900000000002</v>
      </c>
      <c r="AD104" s="1458">
        <f t="shared" si="58"/>
        <v>25740.99</v>
      </c>
      <c r="AE104" s="1185">
        <f t="shared" si="47"/>
        <v>111580</v>
      </c>
      <c r="AF104" s="1185">
        <f t="shared" si="48"/>
        <v>150643</v>
      </c>
      <c r="AG104" s="1185">
        <f t="shared" si="49"/>
        <v>10545.01</v>
      </c>
      <c r="AH104" s="1568">
        <f t="shared" si="59"/>
        <v>161188.01</v>
      </c>
      <c r="AN104" s="769"/>
      <c r="AO104" s="769"/>
    </row>
    <row r="105" spans="1:41" s="751" customFormat="1" ht="33.75" customHeight="1" hidden="1" outlineLevel="2">
      <c r="A105" s="2115" t="s">
        <v>201</v>
      </c>
      <c r="B105" s="2116"/>
      <c r="C105" s="2116"/>
      <c r="D105" s="2116"/>
      <c r="E105" s="2116"/>
      <c r="F105" s="2116"/>
      <c r="G105" s="1184">
        <v>110000</v>
      </c>
      <c r="H105" s="693">
        <v>201752</v>
      </c>
      <c r="I105" s="771">
        <f t="shared" si="50"/>
        <v>14122.640000000001</v>
      </c>
      <c r="J105" s="770">
        <f t="shared" si="51"/>
        <v>215874.64</v>
      </c>
      <c r="K105" s="771">
        <f>SUM(L$39,L$40,L$41,L$42,L$43,L$44)</f>
        <v>80250</v>
      </c>
      <c r="L105" s="771">
        <f>SUM(M39+M40+M41+M42+M43+M44)</f>
        <v>138603</v>
      </c>
      <c r="M105" s="1185">
        <f t="shared" si="44"/>
        <v>9702.210000000001</v>
      </c>
      <c r="N105" s="1220">
        <f t="shared" si="45"/>
        <v>148305.21</v>
      </c>
      <c r="O105" s="772">
        <f>SUM(O$39,O$40,O$41,O$42,O$43,O$44)</f>
        <v>38194</v>
      </c>
      <c r="P105" s="771">
        <f>SUM(P$39,P$40,P$41,P$42,P$43,P$44)</f>
        <v>130086</v>
      </c>
      <c r="Q105" s="1219">
        <f t="shared" si="52"/>
        <v>9106.02</v>
      </c>
      <c r="R105" s="1567">
        <f t="shared" si="46"/>
        <v>139192.02</v>
      </c>
      <c r="S105" s="772">
        <f>SUM(S$39,S$40,S$41,S$42,S$43,S$44)</f>
        <v>42056</v>
      </c>
      <c r="T105" s="771">
        <f>SUM(T$39,T$40,T$41,T$42,T$43,T$44)</f>
        <v>8517</v>
      </c>
      <c r="U105" s="1219">
        <f t="shared" si="53"/>
        <v>596.19</v>
      </c>
      <c r="V105" s="1220">
        <f t="shared" si="54"/>
        <v>9113.19</v>
      </c>
      <c r="W105" s="1455">
        <f>SUM(V$39,V$40,V$41,V$42,V$43,V$44)</f>
        <v>50863</v>
      </c>
      <c r="X105" s="771">
        <f>SUM(W$39,W$40,W$41,W$42,W$43,W$44)</f>
        <v>20935</v>
      </c>
      <c r="Y105" s="770">
        <f t="shared" si="55"/>
        <v>1465.45</v>
      </c>
      <c r="Z105" s="1458">
        <f t="shared" si="56"/>
        <v>22400.45</v>
      </c>
      <c r="AA105" s="771">
        <f>SUM(Y$39,Y$40,Y$41,Y$42,Y$43,Y$44)</f>
        <v>0</v>
      </c>
      <c r="AB105" s="771">
        <f>SUM(Z$39,Z$40,Z$41,Z$42,Z$43,Z$44)</f>
        <v>0</v>
      </c>
      <c r="AC105" s="771">
        <f t="shared" si="57"/>
        <v>0</v>
      </c>
      <c r="AD105" s="1458">
        <f t="shared" si="58"/>
        <v>0</v>
      </c>
      <c r="AE105" s="1185">
        <f t="shared" si="47"/>
        <v>50863</v>
      </c>
      <c r="AF105" s="1185">
        <f t="shared" si="48"/>
        <v>20935</v>
      </c>
      <c r="AG105" s="1185">
        <f t="shared" si="49"/>
        <v>1465.45</v>
      </c>
      <c r="AH105" s="1568">
        <f t="shared" si="59"/>
        <v>22400.45</v>
      </c>
      <c r="AN105" s="769"/>
      <c r="AO105" s="769"/>
    </row>
    <row r="106" spans="1:41" s="751" customFormat="1" ht="33.75" customHeight="1" hidden="1" outlineLevel="2">
      <c r="A106" s="2115" t="s">
        <v>208</v>
      </c>
      <c r="B106" s="2116"/>
      <c r="C106" s="2116"/>
      <c r="D106" s="2116"/>
      <c r="E106" s="2116"/>
      <c r="F106" s="2116"/>
      <c r="G106" s="1184">
        <v>21961</v>
      </c>
      <c r="H106" s="693">
        <v>2799</v>
      </c>
      <c r="I106" s="771">
        <f t="shared" si="50"/>
        <v>195.93</v>
      </c>
      <c r="J106" s="770">
        <f t="shared" si="51"/>
        <v>2994.93</v>
      </c>
      <c r="K106" s="771">
        <f>SUM(L$28,L$29)</f>
        <v>25000</v>
      </c>
      <c r="L106" s="771">
        <f>M28+M29</f>
        <v>2799</v>
      </c>
      <c r="M106" s="1185">
        <f t="shared" si="44"/>
        <v>195.93</v>
      </c>
      <c r="N106" s="1220">
        <f t="shared" si="45"/>
        <v>2994.93</v>
      </c>
      <c r="O106" s="772">
        <f>SUM(O$28,O$29)</f>
        <v>33947</v>
      </c>
      <c r="P106" s="771">
        <f>SUM(P$28,P$29)</f>
        <v>2749</v>
      </c>
      <c r="Q106" s="1219">
        <f t="shared" si="52"/>
        <v>192.43</v>
      </c>
      <c r="R106" s="1567">
        <f t="shared" si="46"/>
        <v>2941.43</v>
      </c>
      <c r="S106" s="772">
        <f>SUM(S$28,S$29)</f>
        <v>-8947</v>
      </c>
      <c r="T106" s="771">
        <f>SUM(T$28,T$29)</f>
        <v>50</v>
      </c>
      <c r="U106" s="1219">
        <f t="shared" si="53"/>
        <v>3.5000000000000004</v>
      </c>
      <c r="V106" s="1220">
        <f t="shared" si="54"/>
        <v>53.5</v>
      </c>
      <c r="W106" s="1455">
        <f>SUM(V$28,V$29)</f>
        <v>0</v>
      </c>
      <c r="X106" s="771">
        <f>SUM(W$28,W$29)</f>
        <v>50</v>
      </c>
      <c r="Y106" s="770">
        <f t="shared" si="55"/>
        <v>3.5000000000000004</v>
      </c>
      <c r="Z106" s="1458">
        <f t="shared" si="56"/>
        <v>53.5</v>
      </c>
      <c r="AA106" s="771">
        <f>SUM(Y$28,Y$29)</f>
        <v>0</v>
      </c>
      <c r="AB106" s="771">
        <f>SUM(Z$28,Z$29)</f>
        <v>0</v>
      </c>
      <c r="AC106" s="771">
        <f t="shared" si="57"/>
        <v>0</v>
      </c>
      <c r="AD106" s="1458">
        <f t="shared" si="58"/>
        <v>0</v>
      </c>
      <c r="AE106" s="1185">
        <f t="shared" si="47"/>
        <v>0</v>
      </c>
      <c r="AF106" s="1185">
        <f t="shared" si="48"/>
        <v>50</v>
      </c>
      <c r="AG106" s="1185">
        <f t="shared" si="49"/>
        <v>3.5000000000000004</v>
      </c>
      <c r="AH106" s="1568">
        <f t="shared" si="59"/>
        <v>53.5</v>
      </c>
      <c r="AN106" s="769"/>
      <c r="AO106" s="769"/>
    </row>
    <row r="107" spans="1:41" s="751" customFormat="1" ht="33.75" customHeight="1" hidden="1" outlineLevel="2">
      <c r="A107" s="2115" t="s">
        <v>200</v>
      </c>
      <c r="B107" s="2116"/>
      <c r="C107" s="2116"/>
      <c r="D107" s="2116"/>
      <c r="E107" s="2116"/>
      <c r="F107" s="2116"/>
      <c r="G107" s="1184">
        <v>0</v>
      </c>
      <c r="H107" s="693">
        <v>118982</v>
      </c>
      <c r="I107" s="771">
        <f t="shared" si="50"/>
        <v>8328.740000000002</v>
      </c>
      <c r="J107" s="770">
        <f t="shared" si="51"/>
        <v>127310.74</v>
      </c>
      <c r="K107" s="771">
        <f>SUM(L$54,L$55,L$58,L$59)</f>
        <v>0</v>
      </c>
      <c r="L107" s="771">
        <f>SUM(M54+M55+M58+M59)</f>
        <v>41124</v>
      </c>
      <c r="M107" s="1185">
        <f t="shared" si="44"/>
        <v>2878.6800000000003</v>
      </c>
      <c r="N107" s="1220">
        <f t="shared" si="45"/>
        <v>44002.68</v>
      </c>
      <c r="O107" s="772">
        <f>SUM(O$54,O$55,O$58,O$59)</f>
        <v>0</v>
      </c>
      <c r="P107" s="771">
        <f>SUM(P$54,P$55,P$58,P$59)</f>
        <v>43910</v>
      </c>
      <c r="Q107" s="1219">
        <f t="shared" si="52"/>
        <v>3073.7000000000003</v>
      </c>
      <c r="R107" s="1567">
        <f t="shared" si="46"/>
        <v>46983.7</v>
      </c>
      <c r="S107" s="772">
        <f>SUM(S$54,S$55,S$58,S$59)</f>
        <v>0</v>
      </c>
      <c r="T107" s="771">
        <f>SUM(T$54,T$55,T$58,T$59)</f>
        <v>-2786</v>
      </c>
      <c r="U107" s="1219">
        <f t="shared" si="53"/>
        <v>-195.02</v>
      </c>
      <c r="V107" s="1220">
        <f t="shared" si="54"/>
        <v>-2981.02</v>
      </c>
      <c r="W107" s="1455">
        <f>SUM(V$54,V$55,V$58,V$59)</f>
        <v>0</v>
      </c>
      <c r="X107" s="771">
        <f>SUM(W$54,W$55,W$58,W$59)</f>
        <v>6182</v>
      </c>
      <c r="Y107" s="770">
        <f t="shared" si="55"/>
        <v>432.74000000000007</v>
      </c>
      <c r="Z107" s="1458">
        <f t="shared" si="56"/>
        <v>6614.74</v>
      </c>
      <c r="AA107" s="771">
        <f>SUM(Y$54,Y$55,Y$58,Y$59)</f>
        <v>0</v>
      </c>
      <c r="AB107" s="771">
        <f>SUM(Z$54,Z$55,Z$58,Z$59)</f>
        <v>0</v>
      </c>
      <c r="AC107" s="771">
        <f t="shared" si="57"/>
        <v>0</v>
      </c>
      <c r="AD107" s="1458">
        <f t="shared" si="58"/>
        <v>0</v>
      </c>
      <c r="AE107" s="1185">
        <f t="shared" si="47"/>
        <v>0</v>
      </c>
      <c r="AF107" s="1185">
        <f t="shared" si="48"/>
        <v>6182</v>
      </c>
      <c r="AG107" s="1185">
        <f t="shared" si="49"/>
        <v>432.74000000000007</v>
      </c>
      <c r="AH107" s="1568">
        <f t="shared" si="59"/>
        <v>6614.74</v>
      </c>
      <c r="AN107" s="769"/>
      <c r="AO107" s="769"/>
    </row>
    <row r="108" spans="1:41" s="751" customFormat="1" ht="33.75" customHeight="1" hidden="1" outlineLevel="2">
      <c r="A108" s="2115" t="s">
        <v>196</v>
      </c>
      <c r="B108" s="2116"/>
      <c r="C108" s="2116"/>
      <c r="D108" s="2116"/>
      <c r="E108" s="2116"/>
      <c r="F108" s="2116"/>
      <c r="G108" s="1184">
        <v>39000</v>
      </c>
      <c r="H108" s="693">
        <v>16000</v>
      </c>
      <c r="I108" s="771">
        <f t="shared" si="50"/>
        <v>1120</v>
      </c>
      <c r="J108" s="770">
        <f t="shared" si="51"/>
        <v>17120</v>
      </c>
      <c r="K108" s="771">
        <f>SUM(L$71,L$72)</f>
        <v>25000</v>
      </c>
      <c r="L108" s="771">
        <f>M71+M72</f>
        <v>15922</v>
      </c>
      <c r="M108" s="1185">
        <f t="shared" si="44"/>
        <v>1114.5400000000002</v>
      </c>
      <c r="N108" s="1220">
        <f t="shared" si="45"/>
        <v>17036.54</v>
      </c>
      <c r="O108" s="772">
        <f>SUM(O$71,O$72)</f>
        <v>2379</v>
      </c>
      <c r="P108" s="771">
        <f>SUM(P$71,P$72)</f>
        <v>126</v>
      </c>
      <c r="Q108" s="1219">
        <f t="shared" si="52"/>
        <v>8.82</v>
      </c>
      <c r="R108" s="1567">
        <f t="shared" si="46"/>
        <v>134.82</v>
      </c>
      <c r="S108" s="772">
        <f>SUM(S$71,S$72)</f>
        <v>22621</v>
      </c>
      <c r="T108" s="771">
        <f>SUM(T$71,T$72)</f>
        <v>15796</v>
      </c>
      <c r="U108" s="1219">
        <f t="shared" si="53"/>
        <v>1105.72</v>
      </c>
      <c r="V108" s="1220">
        <f t="shared" si="54"/>
        <v>16901.72</v>
      </c>
      <c r="W108" s="1455">
        <f>SUM(V$71,V$72)</f>
        <v>36621</v>
      </c>
      <c r="X108" s="771">
        <f>SUM(W$71,W$72)</f>
        <v>15796.42</v>
      </c>
      <c r="Y108" s="770">
        <f t="shared" si="55"/>
        <v>1105.7494000000002</v>
      </c>
      <c r="Z108" s="1458">
        <f t="shared" si="56"/>
        <v>16902.1694</v>
      </c>
      <c r="AA108" s="771">
        <f>SUM(Y$71,Y$72)</f>
        <v>0</v>
      </c>
      <c r="AB108" s="771">
        <f>SUM(Z$71,Z$72)</f>
        <v>0</v>
      </c>
      <c r="AC108" s="771">
        <f t="shared" si="57"/>
        <v>0</v>
      </c>
      <c r="AD108" s="1458">
        <f t="shared" si="58"/>
        <v>0</v>
      </c>
      <c r="AE108" s="1185">
        <f t="shared" si="47"/>
        <v>36621</v>
      </c>
      <c r="AF108" s="1185">
        <f t="shared" si="48"/>
        <v>15796.42</v>
      </c>
      <c r="AG108" s="1185">
        <f t="shared" si="49"/>
        <v>1105.7494000000002</v>
      </c>
      <c r="AH108" s="1568">
        <f t="shared" si="59"/>
        <v>16902.1694</v>
      </c>
      <c r="AN108" s="769"/>
      <c r="AO108" s="769"/>
    </row>
    <row r="109" spans="1:41" s="751" customFormat="1" ht="33.75" customHeight="1" hidden="1" outlineLevel="2">
      <c r="A109" s="2115" t="s">
        <v>421</v>
      </c>
      <c r="B109" s="2116"/>
      <c r="C109" s="2116"/>
      <c r="D109" s="2116"/>
      <c r="E109" s="2116"/>
      <c r="F109" s="2116"/>
      <c r="G109" s="1184">
        <v>0</v>
      </c>
      <c r="H109" s="693">
        <v>28037</v>
      </c>
      <c r="I109" s="771">
        <f t="shared" si="50"/>
        <v>1962.5900000000001</v>
      </c>
      <c r="J109" s="770">
        <f t="shared" si="51"/>
        <v>29999.59</v>
      </c>
      <c r="K109" s="771">
        <f>SUM(L$73,L$74)</f>
        <v>0</v>
      </c>
      <c r="L109" s="771">
        <f>SUM(M$73,M$74)</f>
        <v>28037</v>
      </c>
      <c r="M109" s="1185">
        <f t="shared" si="44"/>
        <v>1962.5900000000001</v>
      </c>
      <c r="N109" s="1220">
        <f t="shared" si="45"/>
        <v>29999.59</v>
      </c>
      <c r="O109" s="772">
        <f aca="true" t="shared" si="60" ref="O109:P111">SUM(O$73,O$74)</f>
        <v>0</v>
      </c>
      <c r="P109" s="771">
        <f t="shared" si="60"/>
        <v>0</v>
      </c>
      <c r="Q109" s="1219">
        <f t="shared" si="52"/>
        <v>0</v>
      </c>
      <c r="R109" s="1567">
        <f t="shared" si="46"/>
        <v>0</v>
      </c>
      <c r="S109" s="772">
        <f>SUM(S$73,S$74)</f>
        <v>0</v>
      </c>
      <c r="T109" s="771">
        <f>SUM(T$73,T$74)</f>
        <v>28037</v>
      </c>
      <c r="U109" s="1219">
        <f t="shared" si="53"/>
        <v>1962.5900000000001</v>
      </c>
      <c r="V109" s="1220">
        <f t="shared" si="54"/>
        <v>29999.59</v>
      </c>
      <c r="W109" s="1455">
        <f>SUM(V$73,V$74)</f>
        <v>0</v>
      </c>
      <c r="X109" s="771">
        <f>SUM(W$73,W$74)</f>
        <v>28037</v>
      </c>
      <c r="Y109" s="770">
        <f t="shared" si="55"/>
        <v>1962.5900000000001</v>
      </c>
      <c r="Z109" s="1458">
        <f t="shared" si="56"/>
        <v>29999.59</v>
      </c>
      <c r="AA109" s="771">
        <f>SUM(Y$73,Y$74)</f>
        <v>0</v>
      </c>
      <c r="AB109" s="771">
        <f>SUM(Z$71,Z$72)</f>
        <v>0</v>
      </c>
      <c r="AC109" s="771">
        <f t="shared" si="57"/>
        <v>0</v>
      </c>
      <c r="AD109" s="1458">
        <f t="shared" si="58"/>
        <v>0</v>
      </c>
      <c r="AE109" s="1185">
        <f t="shared" si="47"/>
        <v>0</v>
      </c>
      <c r="AF109" s="1185">
        <f t="shared" si="48"/>
        <v>28037</v>
      </c>
      <c r="AG109" s="1185">
        <f t="shared" si="49"/>
        <v>1962.5900000000001</v>
      </c>
      <c r="AH109" s="1568">
        <f t="shared" si="59"/>
        <v>29999.59</v>
      </c>
      <c r="AN109" s="769"/>
      <c r="AO109" s="769"/>
    </row>
    <row r="110" spans="1:41" s="751" customFormat="1" ht="33.75" customHeight="1" hidden="1" outlineLevel="2">
      <c r="A110" s="2115" t="s">
        <v>360</v>
      </c>
      <c r="B110" s="2116"/>
      <c r="C110" s="2116"/>
      <c r="D110" s="2116"/>
      <c r="E110" s="2116"/>
      <c r="F110" s="2116"/>
      <c r="G110" s="1184">
        <v>0</v>
      </c>
      <c r="H110" s="1184">
        <v>0</v>
      </c>
      <c r="I110" s="771">
        <f t="shared" si="50"/>
        <v>0</v>
      </c>
      <c r="J110" s="770">
        <f t="shared" si="51"/>
        <v>0</v>
      </c>
      <c r="K110" s="771"/>
      <c r="L110" s="771"/>
      <c r="M110" s="1185"/>
      <c r="N110" s="1220"/>
      <c r="O110" s="772">
        <f t="shared" si="60"/>
        <v>0</v>
      </c>
      <c r="P110" s="771">
        <f t="shared" si="60"/>
        <v>0</v>
      </c>
      <c r="Q110" s="1219">
        <f>P110*7%</f>
        <v>0</v>
      </c>
      <c r="R110" s="1567">
        <f t="shared" si="46"/>
        <v>0</v>
      </c>
      <c r="S110" s="772">
        <f>SUM(S$73,S$74)</f>
        <v>0</v>
      </c>
      <c r="T110" s="771"/>
      <c r="U110" s="1219"/>
      <c r="V110" s="1220"/>
      <c r="W110" s="1455">
        <f>SUM(V$73,V$74)</f>
        <v>0</v>
      </c>
      <c r="X110" s="771"/>
      <c r="Y110" s="770"/>
      <c r="Z110" s="1458"/>
      <c r="AA110" s="771">
        <f>SUM(Y$71,Y$72)</f>
        <v>0</v>
      </c>
      <c r="AB110" s="771">
        <f>SUM(Z$71,Z$72)</f>
        <v>0</v>
      </c>
      <c r="AC110" s="771"/>
      <c r="AD110" s="1458"/>
      <c r="AE110" s="1185">
        <f t="shared" si="47"/>
        <v>0</v>
      </c>
      <c r="AF110" s="1185">
        <f t="shared" si="48"/>
        <v>0</v>
      </c>
      <c r="AG110" s="1185">
        <f t="shared" si="49"/>
        <v>0</v>
      </c>
      <c r="AH110" s="1568">
        <f t="shared" si="59"/>
        <v>0</v>
      </c>
      <c r="AI110" s="773" t="s">
        <v>457</v>
      </c>
      <c r="AJ110" s="773"/>
      <c r="AK110" s="773"/>
      <c r="AN110" s="773"/>
      <c r="AO110" s="773"/>
    </row>
    <row r="111" spans="1:41" s="751" customFormat="1" ht="33.75" customHeight="1" hidden="1" outlineLevel="2">
      <c r="A111" s="2115" t="s">
        <v>361</v>
      </c>
      <c r="B111" s="2116"/>
      <c r="C111" s="2116"/>
      <c r="D111" s="2116"/>
      <c r="E111" s="2116"/>
      <c r="F111" s="2116"/>
      <c r="G111" s="1184">
        <v>0</v>
      </c>
      <c r="H111" s="1184">
        <v>0</v>
      </c>
      <c r="I111" s="771">
        <f t="shared" si="50"/>
        <v>0</v>
      </c>
      <c r="J111" s="770">
        <f t="shared" si="51"/>
        <v>0</v>
      </c>
      <c r="K111" s="771"/>
      <c r="L111" s="771"/>
      <c r="M111" s="1185"/>
      <c r="N111" s="1220"/>
      <c r="O111" s="772">
        <f t="shared" si="60"/>
        <v>0</v>
      </c>
      <c r="P111" s="771">
        <f t="shared" si="60"/>
        <v>0</v>
      </c>
      <c r="Q111" s="1219">
        <f>P111*7%</f>
        <v>0</v>
      </c>
      <c r="R111" s="1567">
        <f t="shared" si="46"/>
        <v>0</v>
      </c>
      <c r="S111" s="772">
        <f>SUM(S$73,S$74)</f>
        <v>0</v>
      </c>
      <c r="T111" s="771"/>
      <c r="U111" s="1219"/>
      <c r="V111" s="1220"/>
      <c r="W111" s="1455">
        <f>SUM(V$73,V$74)</f>
        <v>0</v>
      </c>
      <c r="X111" s="771"/>
      <c r="Y111" s="770"/>
      <c r="Z111" s="1458"/>
      <c r="AA111" s="771">
        <f>SUM(Y$71,Y$72)</f>
        <v>0</v>
      </c>
      <c r="AB111" s="771">
        <f>SUM(Z$71,Z$72)</f>
        <v>0</v>
      </c>
      <c r="AC111" s="771"/>
      <c r="AD111" s="1458"/>
      <c r="AE111" s="1185">
        <f t="shared" si="47"/>
        <v>0</v>
      </c>
      <c r="AF111" s="1185">
        <f t="shared" si="48"/>
        <v>0</v>
      </c>
      <c r="AG111" s="1185">
        <f t="shared" si="49"/>
        <v>0</v>
      </c>
      <c r="AH111" s="1568">
        <f t="shared" si="59"/>
        <v>0</v>
      </c>
      <c r="AI111" s="774"/>
      <c r="AJ111" s="775"/>
      <c r="AK111" s="775"/>
      <c r="AN111" s="775"/>
      <c r="AO111" s="775"/>
    </row>
    <row r="112" spans="1:41" s="1146" customFormat="1" ht="33.75" customHeight="1" hidden="1" outlineLevel="2">
      <c r="A112" s="2125" t="s">
        <v>101</v>
      </c>
      <c r="B112" s="2075"/>
      <c r="C112" s="2075"/>
      <c r="D112" s="2075"/>
      <c r="E112" s="2075"/>
      <c r="F112" s="2075"/>
      <c r="G112" s="1181">
        <f>SUM(G102:G111)</f>
        <v>854575</v>
      </c>
      <c r="H112" s="1208">
        <f>SUM(H102:H111)</f>
        <v>1039797</v>
      </c>
      <c r="I112" s="1208">
        <f>SUM(I102:I111)</f>
        <v>72785.79000000001</v>
      </c>
      <c r="J112" s="1208">
        <f>SUM(J102:J111)</f>
        <v>1112582.7900000003</v>
      </c>
      <c r="K112" s="1209">
        <f>SUM(K102:K109)</f>
        <v>390650</v>
      </c>
      <c r="L112" s="1209">
        <f>SUM(L102:L109)</f>
        <v>519932</v>
      </c>
      <c r="M112" s="1209">
        <f>SUM(M102:M109)</f>
        <v>36395.240000000005</v>
      </c>
      <c r="N112" s="1210">
        <f>SUM(N102:N109)</f>
        <v>556327.24</v>
      </c>
      <c r="O112" s="1211">
        <f>SUM(O102:O109)</f>
        <v>346130</v>
      </c>
      <c r="P112" s="1209">
        <f>SUM(P102:P111)</f>
        <v>437668</v>
      </c>
      <c r="Q112" s="1209">
        <f>SUM(P112*7%)</f>
        <v>30636.760000000002</v>
      </c>
      <c r="R112" s="1212">
        <f>SUM(R102:R111)</f>
        <v>468304.76000000007</v>
      </c>
      <c r="S112" s="1211">
        <f>SUM(S102:S109)</f>
        <v>44520</v>
      </c>
      <c r="T112" s="1209">
        <f>SUM(T102:T109)</f>
        <v>82264</v>
      </c>
      <c r="U112" s="1190">
        <f>T112*7%</f>
        <v>5758.4800000000005</v>
      </c>
      <c r="V112" s="1210">
        <f aca="true" t="shared" si="61" ref="V112:AD112">SUM(V102:V109)</f>
        <v>88022.48000000001</v>
      </c>
      <c r="W112" s="1213">
        <f t="shared" si="61"/>
        <v>420027</v>
      </c>
      <c r="X112" s="1209">
        <f t="shared" si="61"/>
        <v>263578.42000000004</v>
      </c>
      <c r="Y112" s="1209">
        <f t="shared" si="61"/>
        <v>18450.489400000002</v>
      </c>
      <c r="Z112" s="1210">
        <f t="shared" si="61"/>
        <v>282028.9094</v>
      </c>
      <c r="AA112" s="1209">
        <f t="shared" si="61"/>
        <v>0</v>
      </c>
      <c r="AB112" s="1209">
        <f t="shared" si="61"/>
        <v>24057</v>
      </c>
      <c r="AC112" s="1209">
        <f t="shared" si="61"/>
        <v>1683.9900000000002</v>
      </c>
      <c r="AD112" s="1210">
        <f t="shared" si="61"/>
        <v>25740.99</v>
      </c>
      <c r="AE112" s="1209">
        <f>SUM(AE102:AE111)</f>
        <v>420027</v>
      </c>
      <c r="AF112" s="1209">
        <f>SUM(AF102:AF111)</f>
        <v>287635.42000000004</v>
      </c>
      <c r="AG112" s="1209">
        <f>SUM(AG102:AG111)</f>
        <v>20134.479400000004</v>
      </c>
      <c r="AH112" s="1214">
        <f>SUM(AH102:AH111)</f>
        <v>307769.89940000005</v>
      </c>
      <c r="AI112" s="1634"/>
      <c r="AJ112" s="776"/>
      <c r="AK112" s="776"/>
      <c r="AN112" s="776"/>
      <c r="AO112" s="776"/>
    </row>
    <row r="113" spans="1:41" s="1582" customFormat="1" ht="33.75" customHeight="1" hidden="1" outlineLevel="2">
      <c r="A113" s="2117" t="s">
        <v>529</v>
      </c>
      <c r="B113" s="2118"/>
      <c r="C113" s="2118"/>
      <c r="D113" s="2118"/>
      <c r="E113" s="2118"/>
      <c r="F113" s="2118"/>
      <c r="G113" s="944">
        <v>325867</v>
      </c>
      <c r="H113" s="839">
        <f>271366-12998</f>
        <v>258368</v>
      </c>
      <c r="I113" s="1182">
        <f>H113*7%</f>
        <v>18085.760000000002</v>
      </c>
      <c r="J113" s="1182">
        <f>SUM(H113:I113)</f>
        <v>276453.76</v>
      </c>
      <c r="K113" s="1182">
        <f>SUM(L$10,L$15,L$16,L$20,L$21,L$22,L$23,L$24,L$25,L$26,L$27,L$63,L$64,L$65,L$66,L$79)</f>
        <v>181662</v>
      </c>
      <c r="L113" s="1182">
        <f>SUM(M10+M15+M16+M20+M21+M22+M23+M24+M25+M26+M27+M63+M64+M65+M66+M79)</f>
        <v>148016</v>
      </c>
      <c r="M113" s="1182">
        <f>L113*7%</f>
        <v>10361.12</v>
      </c>
      <c r="N113" s="1577">
        <f>SUM(L113:M113)</f>
        <v>158377.12</v>
      </c>
      <c r="O113" s="943">
        <f>SUM(O$10,O$15,O$16,O$20,O$21,O$22,O$23,O$24,O$25,O$26,O$27,O$63,O$64,O$65,O$66,O$79)</f>
        <v>97024</v>
      </c>
      <c r="P113" s="1182">
        <f>SUM(P$10,P$15,P$16,P$20,P$21,P$22,P$23,P$24,P$25,P$26,P$27,P$63,P$64,P$65,P$66,P$79)</f>
        <v>98448.83</v>
      </c>
      <c r="Q113" s="1183">
        <f>P113*7%-891</f>
        <v>6000.418100000001</v>
      </c>
      <c r="R113" s="1578">
        <f>SUM(P113:Q113)</f>
        <v>104449.2481</v>
      </c>
      <c r="S113" s="943">
        <f>SUM(S$10,S$15,S$16,S$20,S$21,S$22,S$23,S$24,S$25,S$26,S$27,S$63,S$64,S$65,S$66,S$79)</f>
        <v>84638</v>
      </c>
      <c r="T113" s="1182">
        <f>SUM(T$10,T$15,T$16,T$20,T$21,T$22,T$23,T$24,T$25,T$26,T$27,T$63,T$64,T$65,T$66,T$79)</f>
        <v>49567.17</v>
      </c>
      <c r="U113" s="1183">
        <f>T113*7%+891</f>
        <v>4360.7019</v>
      </c>
      <c r="V113" s="1577">
        <f>SUM(T113:U113)</f>
        <v>53927.8719</v>
      </c>
      <c r="W113" s="1579">
        <f>SUM(V$10,V$15,V$16,V$20,V$21,V$22,V$23,V$24,V$25,V$26,V$27,V$63,V$64,V$65,V$66,V$79)</f>
        <v>180332</v>
      </c>
      <c r="X113" s="1182">
        <f>SUM(W$10,W$15,W$16,W$20,W$21,W$22,W$23,W$24,W$25,W$26,W$27,W$63,W$64,W$65,W$66,W$79)</f>
        <v>88928</v>
      </c>
      <c r="Y113" s="1182">
        <f t="shared" si="55"/>
        <v>6224.960000000001</v>
      </c>
      <c r="Z113" s="1580">
        <f t="shared" si="56"/>
        <v>95152.96</v>
      </c>
      <c r="AA113" s="1182">
        <f>SUM(Y$10,Y$15,Y$16,Y$20,Y$21,Y$22,Y$23,Y$24,Y$25,Y$26,Y$27,Y$63,Y$64,Y$65,Y$66,Y$79)</f>
        <v>16675</v>
      </c>
      <c r="AB113" s="1182">
        <f>SUM(Z$10,Z$15,Z$16,Z$20,Z$21,Z$22,Z$23,Z$24,Z$25,Z$26,Z$27,Z$63,Z$64,Z$65,Z$66,Z$79)</f>
        <v>19467</v>
      </c>
      <c r="AC113" s="1182">
        <f>AB113*7%</f>
        <v>1362.69</v>
      </c>
      <c r="AD113" s="1580">
        <f>SUM(AB113:AC113)</f>
        <v>20829.69</v>
      </c>
      <c r="AE113" s="1182">
        <f>SUM(W113,AA113)</f>
        <v>197007</v>
      </c>
      <c r="AF113" s="1182">
        <f>SUM(X113,AB113)</f>
        <v>108395</v>
      </c>
      <c r="AG113" s="1182">
        <f>SUM(Y113,AC113)</f>
        <v>7587.6500000000015</v>
      </c>
      <c r="AH113" s="1581">
        <f>SUM(AF113:AG113)</f>
        <v>115982.65</v>
      </c>
      <c r="AI113" s="1635">
        <f>W133</f>
        <v>115982.31319999999</v>
      </c>
      <c r="AJ113" s="778"/>
      <c r="AK113" s="778"/>
      <c r="AN113" s="778"/>
      <c r="AO113" s="778"/>
    </row>
    <row r="114" spans="1:41" s="1582" customFormat="1" ht="36" customHeight="1" hidden="1" outlineLevel="2">
      <c r="A114" s="2117" t="s">
        <v>427</v>
      </c>
      <c r="B114" s="2118"/>
      <c r="C114" s="2118"/>
      <c r="D114" s="2118"/>
      <c r="E114" s="2118"/>
      <c r="F114" s="2118"/>
      <c r="G114" s="1571">
        <f>SUM(G112:G113)</f>
        <v>1180442</v>
      </c>
      <c r="H114" s="685">
        <v>0</v>
      </c>
      <c r="I114" s="958">
        <f>ROUND(G114*7%,1)+1.7</f>
        <v>82632.59999999999</v>
      </c>
      <c r="J114" s="685">
        <f>SUM(G114:I114)</f>
        <v>1263074.6</v>
      </c>
      <c r="K114" s="1572">
        <f>K112+K113</f>
        <v>572312</v>
      </c>
      <c r="L114" s="1572"/>
      <c r="M114" s="1572">
        <f>K114*7%</f>
        <v>40061.840000000004</v>
      </c>
      <c r="N114" s="1583">
        <f>SUM(K114:M114)</f>
        <v>612373.84</v>
      </c>
      <c r="O114" s="1573">
        <f>O112+O113</f>
        <v>443154</v>
      </c>
      <c r="P114" s="1572">
        <v>0</v>
      </c>
      <c r="Q114" s="1572">
        <f>SUM(O114*7%)</f>
        <v>31020.780000000002</v>
      </c>
      <c r="R114" s="1574">
        <f>SUM(O114:Q114)</f>
        <v>474174.78</v>
      </c>
      <c r="S114" s="1573">
        <f>S112+S113</f>
        <v>129158</v>
      </c>
      <c r="T114" s="1572">
        <v>0</v>
      </c>
      <c r="U114" s="1572">
        <f>S114*7%</f>
        <v>9041.060000000001</v>
      </c>
      <c r="V114" s="1583">
        <f>SUM(S114:U114)</f>
        <v>138199.06</v>
      </c>
      <c r="W114" s="1575">
        <f>W112+W113</f>
        <v>600359</v>
      </c>
      <c r="X114" s="1572">
        <v>0</v>
      </c>
      <c r="Y114" s="1572">
        <f>W114*7%</f>
        <v>42025.130000000005</v>
      </c>
      <c r="Z114" s="1576">
        <f>SUM(W114:Y114)</f>
        <v>642384.13</v>
      </c>
      <c r="AA114" s="1572">
        <f>AA112+AA113</f>
        <v>16675</v>
      </c>
      <c r="AB114" s="1572">
        <v>0</v>
      </c>
      <c r="AC114" s="1572">
        <f>AA114*7%</f>
        <v>1167.25</v>
      </c>
      <c r="AD114" s="1576">
        <f>SUM(AA114:AC114)</f>
        <v>17842.25</v>
      </c>
      <c r="AE114" s="1572">
        <f>AE112+AE113</f>
        <v>617034</v>
      </c>
      <c r="AF114" s="1572">
        <v>0</v>
      </c>
      <c r="AG114" s="1572">
        <f>AE114*7%</f>
        <v>43192.380000000005</v>
      </c>
      <c r="AH114" s="1032">
        <f>SUM(AE114:AG114)</f>
        <v>660226.38</v>
      </c>
      <c r="AI114" s="1635">
        <f>O133</f>
        <v>660226.53</v>
      </c>
      <c r="AJ114" s="778"/>
      <c r="AK114" s="779"/>
      <c r="AN114" s="778"/>
      <c r="AO114" s="779"/>
    </row>
    <row r="115" spans="1:41" s="1146" customFormat="1" ht="44.25" customHeight="1" hidden="1" outlineLevel="2" thickBot="1">
      <c r="A115" s="2119" t="s">
        <v>362</v>
      </c>
      <c r="B115" s="2120"/>
      <c r="C115" s="2120"/>
      <c r="D115" s="2120"/>
      <c r="E115" s="2120"/>
      <c r="F115" s="2120"/>
      <c r="G115" s="780">
        <f>SUM(G114)</f>
        <v>1180442</v>
      </c>
      <c r="H115" s="780">
        <f>SUM(H113:H114)</f>
        <v>258368</v>
      </c>
      <c r="I115" s="1584">
        <f>SUM(I113:I114)</f>
        <v>100718.35999999999</v>
      </c>
      <c r="J115" s="780">
        <f>SUM(J113:J114)</f>
        <v>1539528.36</v>
      </c>
      <c r="K115" s="1584">
        <f>SUM(K114)</f>
        <v>572312</v>
      </c>
      <c r="L115" s="1584">
        <f>SUM(L113:L114)</f>
        <v>148016</v>
      </c>
      <c r="M115" s="1584">
        <f>SUM(M113:M114)</f>
        <v>50422.96000000001</v>
      </c>
      <c r="N115" s="1585">
        <f>SUM(K115:M115)</f>
        <v>770750.96</v>
      </c>
      <c r="O115" s="1586">
        <f>SUM(O114)</f>
        <v>443154</v>
      </c>
      <c r="P115" s="1587">
        <f>P113</f>
        <v>98448.83</v>
      </c>
      <c r="Q115" s="1584">
        <f>SUM(Q113:Q114)</f>
        <v>37021.1981</v>
      </c>
      <c r="R115" s="1588">
        <f>SUM(O115+P115+Q115)</f>
        <v>578624.0281</v>
      </c>
      <c r="S115" s="1586">
        <f>S114</f>
        <v>129158</v>
      </c>
      <c r="T115" s="1587">
        <f>SUM(T113:T114)</f>
        <v>49567.17</v>
      </c>
      <c r="U115" s="1584">
        <f>SUM(U113:U114)</f>
        <v>13401.761900000001</v>
      </c>
      <c r="V115" s="1589">
        <f>SUM(S115:U115)</f>
        <v>192126.9319</v>
      </c>
      <c r="W115" s="1590">
        <f>SUM(W114)</f>
        <v>600359</v>
      </c>
      <c r="X115" s="1584">
        <f>X113</f>
        <v>88928</v>
      </c>
      <c r="Y115" s="1584">
        <f>SUM(Y113:Y114)</f>
        <v>48250.090000000004</v>
      </c>
      <c r="Z115" s="1591">
        <f>SUM(W115:Y115)</f>
        <v>737537.09</v>
      </c>
      <c r="AA115" s="1584">
        <f>SUM(AA114)</f>
        <v>16675</v>
      </c>
      <c r="AB115" s="1587">
        <f>AB113</f>
        <v>19467</v>
      </c>
      <c r="AC115" s="1587">
        <f>SUM(AC113:AC114)</f>
        <v>2529.94</v>
      </c>
      <c r="AD115" s="1591">
        <f>SUM(AA115:AC115)</f>
        <v>38671.94</v>
      </c>
      <c r="AE115" s="1584">
        <f>SUM(AE114)</f>
        <v>617034</v>
      </c>
      <c r="AF115" s="1584">
        <f>AF113</f>
        <v>108395</v>
      </c>
      <c r="AG115" s="1584">
        <f>SUM(AG113:AG114)</f>
        <v>50780.030000000006</v>
      </c>
      <c r="AH115" s="1592">
        <f>SUM(AE115:AG115)</f>
        <v>776209.03</v>
      </c>
      <c r="AI115" s="1636">
        <f>X133</f>
        <v>776208.8432</v>
      </c>
      <c r="AN115" s="776"/>
      <c r="AO115" s="776"/>
    </row>
    <row r="116" spans="1:41" s="1582" customFormat="1" ht="48.75" customHeight="1" hidden="1" outlineLevel="2" thickBot="1" thickTop="1">
      <c r="A116" s="2121" t="s">
        <v>146</v>
      </c>
      <c r="B116" s="2122"/>
      <c r="C116" s="2122"/>
      <c r="D116" s="2122"/>
      <c r="E116" s="2122"/>
      <c r="F116" s="2122"/>
      <c r="G116" s="1712">
        <f>SUM(G115)</f>
        <v>1180442</v>
      </c>
      <c r="H116" s="1712">
        <f>H115+H112</f>
        <v>1298165</v>
      </c>
      <c r="I116" s="1713">
        <f>I115+I112</f>
        <v>173504.15</v>
      </c>
      <c r="J116" s="1713">
        <f>J115+J112</f>
        <v>2652111.1500000004</v>
      </c>
      <c r="K116" s="1713">
        <f>SUM(K115)</f>
        <v>572312</v>
      </c>
      <c r="L116" s="1713">
        <f>SUM(L112+L113)</f>
        <v>667948</v>
      </c>
      <c r="M116" s="1713">
        <f>SUM(M112+M113+M114)</f>
        <v>86818.20000000001</v>
      </c>
      <c r="N116" s="1714">
        <f>SUM(K116:M116)</f>
        <v>1327078.2</v>
      </c>
      <c r="O116" s="1715">
        <f>O112+O113</f>
        <v>443154</v>
      </c>
      <c r="P116" s="1716">
        <f>P112+P113</f>
        <v>536116.83</v>
      </c>
      <c r="Q116" s="1713">
        <f>SUM(Q112+Q113+Q114)</f>
        <v>67657.9581</v>
      </c>
      <c r="R116" s="1717">
        <f>SUM(R112,R115)</f>
        <v>1046928.7881</v>
      </c>
      <c r="S116" s="1715">
        <f>SUM(S115)</f>
        <v>129158</v>
      </c>
      <c r="T116" s="1716">
        <f>T112+T113</f>
        <v>131831.16999999998</v>
      </c>
      <c r="U116" s="1717">
        <f>U112+U113+U114</f>
        <v>19160.2419</v>
      </c>
      <c r="V116" s="1718">
        <f>SUM(V115+V112)</f>
        <v>280149.4119</v>
      </c>
      <c r="W116" s="1719">
        <f>SUM(W115)</f>
        <v>600359</v>
      </c>
      <c r="X116" s="1713">
        <f>X112+X113</f>
        <v>352506.42000000004</v>
      </c>
      <c r="Y116" s="1713">
        <f>Y112+Y113+Y114</f>
        <v>66700.57940000002</v>
      </c>
      <c r="Z116" s="1718">
        <f>SUM(Z115+Z112)</f>
        <v>1019565.9994</v>
      </c>
      <c r="AA116" s="1720">
        <f>SUM(AA115)</f>
        <v>16675</v>
      </c>
      <c r="AB116" s="1716">
        <f>SUM(AB112+AB113)</f>
        <v>43524</v>
      </c>
      <c r="AC116" s="1716">
        <f>AC112+AC113+AC114</f>
        <v>4213.93</v>
      </c>
      <c r="AD116" s="1718">
        <f>SUM(AD115+AD112)</f>
        <v>64412.93000000001</v>
      </c>
      <c r="AE116" s="1720">
        <f>SUM(AE115)</f>
        <v>617034</v>
      </c>
      <c r="AF116" s="1713">
        <f>SUM(AF112+AF113)</f>
        <v>396030.42000000004</v>
      </c>
      <c r="AG116" s="1112">
        <f>AG112+AG113+AG114</f>
        <v>70914.50940000001</v>
      </c>
      <c r="AH116" s="1721">
        <f>SUM(AE116:AG116)</f>
        <v>1083978.9294</v>
      </c>
      <c r="AI116" s="1637"/>
      <c r="AN116" s="1121"/>
      <c r="AO116" s="776"/>
    </row>
    <row r="117" spans="12:45" s="617" customFormat="1" ht="29.25" customHeight="1" hidden="1" outlineLevel="2" thickTop="1">
      <c r="L117" s="616"/>
      <c r="M117" s="616"/>
      <c r="N117" s="616"/>
      <c r="S117" s="616"/>
      <c r="T117" s="616"/>
      <c r="U117" s="616"/>
      <c r="V117" s="1130">
        <f>N116-R116</f>
        <v>280149.41189999995</v>
      </c>
      <c r="AI117" s="1638"/>
      <c r="AK117" s="988"/>
      <c r="AL117" s="725"/>
      <c r="AM117" s="635"/>
      <c r="AN117" s="635"/>
      <c r="AO117" s="635"/>
      <c r="AP117" s="635"/>
      <c r="AQ117" s="635"/>
      <c r="AR117" s="635"/>
      <c r="AS117" s="635"/>
    </row>
    <row r="118" spans="1:45" ht="15" customHeight="1" hidden="1" outlineLevel="1" collapsed="1">
      <c r="A118" s="626"/>
      <c r="B118" s="626"/>
      <c r="C118" s="2138" t="s">
        <v>466</v>
      </c>
      <c r="D118" s="2138"/>
      <c r="E118" s="2138"/>
      <c r="F118" s="2138"/>
      <c r="K118" s="991"/>
      <c r="L118" s="625"/>
      <c r="M118" s="625"/>
      <c r="N118" s="992"/>
      <c r="O118" s="792"/>
      <c r="P118" s="626"/>
      <c r="Q118" s="989" t="s">
        <v>132</v>
      </c>
      <c r="R118" s="793"/>
      <c r="S118" s="793"/>
      <c r="T118" s="793"/>
      <c r="V118" s="792"/>
      <c r="W118" s="792"/>
      <c r="X118" s="993"/>
      <c r="Y118" s="794"/>
      <c r="AE118" s="794"/>
      <c r="AF118" s="794"/>
      <c r="AG118" s="794"/>
      <c r="AH118" s="818"/>
      <c r="AS118" s="625"/>
    </row>
    <row r="119" spans="3:41" s="797" customFormat="1" ht="44.25" customHeight="1" hidden="1" outlineLevel="1">
      <c r="C119" s="2137"/>
      <c r="D119" s="2137"/>
      <c r="E119" s="2137"/>
      <c r="F119" s="2137"/>
      <c r="G119" s="1222" t="s">
        <v>106</v>
      </c>
      <c r="H119" s="1222" t="s">
        <v>107</v>
      </c>
      <c r="I119" s="1222" t="s">
        <v>116</v>
      </c>
      <c r="J119" s="1222" t="s">
        <v>124</v>
      </c>
      <c r="K119" s="1222" t="s">
        <v>111</v>
      </c>
      <c r="L119" s="1222" t="s">
        <v>110</v>
      </c>
      <c r="M119" s="1222" t="s">
        <v>108</v>
      </c>
      <c r="N119" s="1222" t="s">
        <v>109</v>
      </c>
      <c r="O119" s="1221" t="s">
        <v>118</v>
      </c>
      <c r="Q119" s="1630"/>
      <c r="R119" s="1221" t="s">
        <v>106</v>
      </c>
      <c r="S119" s="1221" t="s">
        <v>107</v>
      </c>
      <c r="T119" s="1221" t="s">
        <v>116</v>
      </c>
      <c r="U119" s="1221" t="s">
        <v>456</v>
      </c>
      <c r="V119" s="1221" t="s">
        <v>109</v>
      </c>
      <c r="W119" s="1221" t="s">
        <v>118</v>
      </c>
      <c r="X119" s="2135" t="s">
        <v>484</v>
      </c>
      <c r="AE119" s="800"/>
      <c r="AF119" s="800"/>
      <c r="AG119" s="800"/>
      <c r="AH119" s="994"/>
      <c r="AI119" s="994"/>
      <c r="AJ119" s="994"/>
      <c r="AK119" s="994"/>
      <c r="AL119" s="994"/>
      <c r="AM119" s="800"/>
      <c r="AN119" s="800"/>
      <c r="AO119" s="800"/>
    </row>
    <row r="120" spans="3:41" s="801" customFormat="1" ht="30" customHeight="1" hidden="1" outlineLevel="1">
      <c r="C120" s="2137"/>
      <c r="D120" s="2137"/>
      <c r="E120" s="2137"/>
      <c r="F120" s="2137"/>
      <c r="G120" s="1628" t="s">
        <v>112</v>
      </c>
      <c r="H120" s="1628" t="s">
        <v>113</v>
      </c>
      <c r="I120" s="1628" t="s">
        <v>114</v>
      </c>
      <c r="J120" s="1628" t="s">
        <v>115</v>
      </c>
      <c r="K120" s="1628" t="s">
        <v>117</v>
      </c>
      <c r="L120" s="1628" t="s">
        <v>125</v>
      </c>
      <c r="M120" s="1628" t="s">
        <v>126</v>
      </c>
      <c r="N120" s="1628" t="s">
        <v>127</v>
      </c>
      <c r="O120" s="1629" t="s">
        <v>128</v>
      </c>
      <c r="Q120" s="1631"/>
      <c r="R120" s="1221" t="s">
        <v>112</v>
      </c>
      <c r="S120" s="1221" t="s">
        <v>113</v>
      </c>
      <c r="T120" s="1221" t="s">
        <v>114</v>
      </c>
      <c r="U120" s="1221" t="s">
        <v>115</v>
      </c>
      <c r="V120" s="1221" t="s">
        <v>129</v>
      </c>
      <c r="W120" s="1221" t="s">
        <v>130</v>
      </c>
      <c r="X120" s="2136"/>
      <c r="AE120" s="802"/>
      <c r="AF120" s="802"/>
      <c r="AG120" s="802"/>
      <c r="AH120" s="995"/>
      <c r="AI120" s="995"/>
      <c r="AJ120" s="995"/>
      <c r="AK120" s="995"/>
      <c r="AL120" s="995"/>
      <c r="AM120" s="802"/>
      <c r="AN120" s="802"/>
      <c r="AO120" s="802"/>
    </row>
    <row r="121" spans="3:45" ht="34.5" customHeight="1" hidden="1" outlineLevel="1">
      <c r="C121" s="2081" t="s">
        <v>358</v>
      </c>
      <c r="D121" s="2081"/>
      <c r="E121" s="2081"/>
      <c r="F121" s="2081"/>
      <c r="G121" s="1157">
        <v>9840</v>
      </c>
      <c r="H121" s="1157">
        <v>3440.63</v>
      </c>
      <c r="I121" s="1157">
        <v>4000</v>
      </c>
      <c r="J121" s="1157">
        <v>3977.65</v>
      </c>
      <c r="K121" s="1157">
        <f>SUM(O93)</f>
        <v>3998</v>
      </c>
      <c r="L121" s="1157">
        <f aca="true" t="shared" si="62" ref="L121:L132">K121-J121</f>
        <v>20.34999999999991</v>
      </c>
      <c r="M121" s="1157">
        <f aca="true" t="shared" si="63" ref="M121:M132">J121+L121</f>
        <v>3998</v>
      </c>
      <c r="N121" s="1157">
        <f aca="true" t="shared" si="64" ref="N121:N132">I121-M121</f>
        <v>2</v>
      </c>
      <c r="O121" s="810">
        <f aca="true" t="shared" si="65" ref="O121:O132">G121-H121-M121</f>
        <v>2401.37</v>
      </c>
      <c r="Q121" s="996" t="s">
        <v>358</v>
      </c>
      <c r="R121" s="1158">
        <v>3420</v>
      </c>
      <c r="S121" s="1158">
        <v>1140</v>
      </c>
      <c r="T121" s="701">
        <v>1200</v>
      </c>
      <c r="U121" s="701">
        <f>1150.41-92.05</f>
        <v>1058.3600000000001</v>
      </c>
      <c r="V121" s="1159">
        <f>T121-U121</f>
        <v>141.63999999999987</v>
      </c>
      <c r="W121" s="806">
        <f>R121-S121-U121</f>
        <v>1221.6399999999999</v>
      </c>
      <c r="X121" s="1160">
        <f aca="true" t="shared" si="66" ref="X121:X133">O121+W121</f>
        <v>3623.0099999999998</v>
      </c>
      <c r="AP121" s="625"/>
      <c r="AQ121" s="625"/>
      <c r="AR121" s="625"/>
      <c r="AS121" s="625"/>
    </row>
    <row r="122" spans="3:45" ht="34.5" customHeight="1" hidden="1" outlineLevel="1">
      <c r="C122" s="2081" t="s">
        <v>357</v>
      </c>
      <c r="D122" s="2081"/>
      <c r="E122" s="2081"/>
      <c r="F122" s="2081"/>
      <c r="G122" s="1157">
        <v>124319</v>
      </c>
      <c r="H122" s="1157">
        <v>10048.33</v>
      </c>
      <c r="I122" s="1157">
        <v>35720</v>
      </c>
      <c r="J122" s="1157">
        <v>20866.69</v>
      </c>
      <c r="K122" s="1157">
        <f>SUM(O81)</f>
        <v>30050</v>
      </c>
      <c r="L122" s="1157">
        <f t="shared" si="62"/>
        <v>9183.310000000001</v>
      </c>
      <c r="M122" s="1157">
        <f t="shared" si="63"/>
        <v>30050</v>
      </c>
      <c r="N122" s="1157">
        <f t="shared" si="64"/>
        <v>5670</v>
      </c>
      <c r="O122" s="810">
        <f t="shared" si="65"/>
        <v>84220.67</v>
      </c>
      <c r="Q122" s="996" t="s">
        <v>357</v>
      </c>
      <c r="R122" s="1158">
        <v>151310</v>
      </c>
      <c r="S122" s="1158">
        <f>41444+7626</f>
        <v>49070</v>
      </c>
      <c r="T122" s="701">
        <v>101000</v>
      </c>
      <c r="U122" s="701">
        <f>86000+1665</f>
        <v>87665</v>
      </c>
      <c r="V122" s="1159">
        <f>T122-U122</f>
        <v>13335</v>
      </c>
      <c r="W122" s="806">
        <f>R122-S122-U122</f>
        <v>14575</v>
      </c>
      <c r="X122" s="1160">
        <f t="shared" si="66"/>
        <v>98795.67</v>
      </c>
      <c r="AP122" s="625"/>
      <c r="AQ122" s="625"/>
      <c r="AR122" s="625"/>
      <c r="AS122" s="625"/>
    </row>
    <row r="123" spans="3:45" ht="34.5" customHeight="1" hidden="1" outlineLevel="1">
      <c r="C123" s="2081" t="s">
        <v>423</v>
      </c>
      <c r="D123" s="2081"/>
      <c r="E123" s="2081"/>
      <c r="F123" s="2081"/>
      <c r="G123" s="1157">
        <v>0</v>
      </c>
      <c r="H123" s="1157">
        <v>0</v>
      </c>
      <c r="I123" s="1157">
        <v>0</v>
      </c>
      <c r="J123" s="1157">
        <v>0</v>
      </c>
      <c r="K123" s="1157">
        <f>L88</f>
        <v>0</v>
      </c>
      <c r="L123" s="1157">
        <f t="shared" si="62"/>
        <v>0</v>
      </c>
      <c r="M123" s="1157">
        <f t="shared" si="63"/>
        <v>0</v>
      </c>
      <c r="N123" s="1157">
        <f t="shared" si="64"/>
        <v>0</v>
      </c>
      <c r="O123" s="810">
        <f t="shared" si="65"/>
        <v>0</v>
      </c>
      <c r="Q123" s="996" t="s">
        <v>423</v>
      </c>
      <c r="R123" s="1158">
        <v>5000</v>
      </c>
      <c r="S123" s="1158">
        <v>0</v>
      </c>
      <c r="T123" s="701">
        <v>0</v>
      </c>
      <c r="U123" s="701">
        <v>3704.05</v>
      </c>
      <c r="V123" s="1159">
        <f aca="true" t="shared" si="67" ref="V123:V132">T123-U123</f>
        <v>-3704.05</v>
      </c>
      <c r="W123" s="806">
        <f aca="true" t="shared" si="68" ref="W123:W132">R123-S123-U123</f>
        <v>1295.9499999999998</v>
      </c>
      <c r="X123" s="1160">
        <f t="shared" si="66"/>
        <v>1295.9499999999998</v>
      </c>
      <c r="AP123" s="625"/>
      <c r="AQ123" s="625"/>
      <c r="AR123" s="625"/>
      <c r="AS123" s="625"/>
    </row>
    <row r="124" spans="3:45" ht="34.5" customHeight="1" hidden="1" outlineLevel="1">
      <c r="C124" s="2081" t="s">
        <v>334</v>
      </c>
      <c r="D124" s="2081"/>
      <c r="E124" s="2081"/>
      <c r="F124" s="2081"/>
      <c r="G124" s="1157">
        <v>457153</v>
      </c>
      <c r="H124" s="1157">
        <v>59952.92</v>
      </c>
      <c r="I124" s="1157">
        <v>210212</v>
      </c>
      <c r="J124" s="1157">
        <v>67156.05</v>
      </c>
      <c r="K124" s="1157">
        <f>O11+O14+O16+O25+O27+O33+O36+O48+O50+O52+O55+O64</f>
        <v>97400</v>
      </c>
      <c r="L124" s="1157">
        <f t="shared" si="62"/>
        <v>30243.949999999997</v>
      </c>
      <c r="M124" s="1157">
        <f t="shared" si="63"/>
        <v>97400</v>
      </c>
      <c r="N124" s="1157">
        <f t="shared" si="64"/>
        <v>112812</v>
      </c>
      <c r="O124" s="810">
        <f t="shared" si="65"/>
        <v>299800.08</v>
      </c>
      <c r="Q124" s="996" t="s">
        <v>334</v>
      </c>
      <c r="R124" s="1158">
        <v>16357</v>
      </c>
      <c r="S124" s="1158">
        <v>14</v>
      </c>
      <c r="T124" s="701">
        <v>11816</v>
      </c>
      <c r="U124" s="701">
        <v>0</v>
      </c>
      <c r="V124" s="1159">
        <f t="shared" si="67"/>
        <v>11816</v>
      </c>
      <c r="W124" s="806">
        <f t="shared" si="68"/>
        <v>16343</v>
      </c>
      <c r="X124" s="1160">
        <f t="shared" si="66"/>
        <v>316143.08</v>
      </c>
      <c r="AP124" s="625"/>
      <c r="AQ124" s="625"/>
      <c r="AR124" s="625"/>
      <c r="AS124" s="625"/>
    </row>
    <row r="125" spans="3:45" ht="34.5" customHeight="1" hidden="1" outlineLevel="1">
      <c r="C125" s="2081" t="s">
        <v>120</v>
      </c>
      <c r="D125" s="2081"/>
      <c r="E125" s="2081"/>
      <c r="F125" s="2081"/>
      <c r="G125" s="1157">
        <v>0</v>
      </c>
      <c r="H125" s="1157"/>
      <c r="I125" s="1157">
        <v>0</v>
      </c>
      <c r="J125" s="1157">
        <v>0</v>
      </c>
      <c r="K125" s="1157">
        <f>0</f>
        <v>0</v>
      </c>
      <c r="L125" s="1157">
        <f t="shared" si="62"/>
        <v>0</v>
      </c>
      <c r="M125" s="1157">
        <f t="shared" si="63"/>
        <v>0</v>
      </c>
      <c r="N125" s="1157">
        <f t="shared" si="64"/>
        <v>0</v>
      </c>
      <c r="O125" s="810">
        <f t="shared" si="65"/>
        <v>0</v>
      </c>
      <c r="Q125" s="996" t="s">
        <v>120</v>
      </c>
      <c r="R125" s="1158">
        <v>0</v>
      </c>
      <c r="S125" s="1158">
        <v>0</v>
      </c>
      <c r="T125" s="701">
        <v>0</v>
      </c>
      <c r="U125" s="701">
        <v>0</v>
      </c>
      <c r="V125" s="1159">
        <f t="shared" si="67"/>
        <v>0</v>
      </c>
      <c r="W125" s="806">
        <f t="shared" si="68"/>
        <v>0</v>
      </c>
      <c r="X125" s="1160">
        <f t="shared" si="66"/>
        <v>0</v>
      </c>
      <c r="AP125" s="625"/>
      <c r="AQ125" s="625"/>
      <c r="AR125" s="625"/>
      <c r="AS125" s="625"/>
    </row>
    <row r="126" spans="3:45" ht="34.5" customHeight="1" hidden="1" outlineLevel="1">
      <c r="C126" s="2081" t="s">
        <v>413</v>
      </c>
      <c r="D126" s="2081"/>
      <c r="E126" s="2081"/>
      <c r="F126" s="2081"/>
      <c r="G126" s="1157">
        <v>0</v>
      </c>
      <c r="H126" s="1157">
        <v>0</v>
      </c>
      <c r="I126" s="1157">
        <v>0</v>
      </c>
      <c r="J126" s="1157">
        <v>0</v>
      </c>
      <c r="K126" s="1157">
        <v>0</v>
      </c>
      <c r="L126" s="1157">
        <f t="shared" si="62"/>
        <v>0</v>
      </c>
      <c r="M126" s="1157">
        <f t="shared" si="63"/>
        <v>0</v>
      </c>
      <c r="N126" s="1157">
        <f t="shared" si="64"/>
        <v>0</v>
      </c>
      <c r="O126" s="810">
        <f t="shared" si="65"/>
        <v>0</v>
      </c>
      <c r="Q126" s="996" t="s">
        <v>413</v>
      </c>
      <c r="R126" s="1158">
        <v>0</v>
      </c>
      <c r="S126" s="1158">
        <v>0</v>
      </c>
      <c r="T126" s="701">
        <v>0</v>
      </c>
      <c r="U126" s="701">
        <v>0</v>
      </c>
      <c r="V126" s="1159">
        <f t="shared" si="67"/>
        <v>0</v>
      </c>
      <c r="W126" s="806">
        <f t="shared" si="68"/>
        <v>0</v>
      </c>
      <c r="X126" s="1160">
        <f t="shared" si="66"/>
        <v>0</v>
      </c>
      <c r="AP126" s="625"/>
      <c r="AQ126" s="625"/>
      <c r="AR126" s="625"/>
      <c r="AS126" s="625"/>
    </row>
    <row r="127" spans="3:45" ht="34.5" customHeight="1" hidden="1" outlineLevel="1">
      <c r="C127" s="2081" t="s">
        <v>335</v>
      </c>
      <c r="D127" s="2081"/>
      <c r="E127" s="2081"/>
      <c r="F127" s="2081"/>
      <c r="G127" s="1157">
        <v>452083</v>
      </c>
      <c r="H127" s="1157">
        <v>45587.24</v>
      </c>
      <c r="I127" s="1157">
        <v>320380</v>
      </c>
      <c r="J127" s="1157">
        <v>165172.47</v>
      </c>
      <c r="K127" s="1157">
        <f>SUM(O18+O21+O23+O29+O31+O34+O38+O40+O42+O44+O66+O70+O72+O77)</f>
        <v>310245</v>
      </c>
      <c r="L127" s="1157">
        <f t="shared" si="62"/>
        <v>145072.53</v>
      </c>
      <c r="M127" s="1157">
        <f t="shared" si="63"/>
        <v>310245</v>
      </c>
      <c r="N127" s="1157">
        <f t="shared" si="64"/>
        <v>10135</v>
      </c>
      <c r="O127" s="810">
        <f t="shared" si="65"/>
        <v>96250.76000000001</v>
      </c>
      <c r="Q127" s="996" t="s">
        <v>335</v>
      </c>
      <c r="R127" s="1158">
        <v>31021</v>
      </c>
      <c r="S127" s="1158">
        <v>0</v>
      </c>
      <c r="T127" s="701">
        <v>32000</v>
      </c>
      <c r="U127" s="701">
        <v>6008.78</v>
      </c>
      <c r="V127" s="1159">
        <f t="shared" si="67"/>
        <v>25991.22</v>
      </c>
      <c r="W127" s="806">
        <f t="shared" si="68"/>
        <v>25012.22</v>
      </c>
      <c r="X127" s="1160">
        <f t="shared" si="66"/>
        <v>121262.98000000001</v>
      </c>
      <c r="AP127" s="625"/>
      <c r="AQ127" s="625"/>
      <c r="AR127" s="625"/>
      <c r="AS127" s="625"/>
    </row>
    <row r="128" spans="3:45" ht="34.5" customHeight="1" hidden="1" outlineLevel="1">
      <c r="C128" s="2081" t="s">
        <v>345</v>
      </c>
      <c r="D128" s="2081"/>
      <c r="E128" s="2081"/>
      <c r="F128" s="2081"/>
      <c r="G128" s="1157">
        <v>0</v>
      </c>
      <c r="H128" s="1157">
        <v>0</v>
      </c>
      <c r="I128" s="1157">
        <v>0</v>
      </c>
      <c r="J128" s="1157">
        <v>0</v>
      </c>
      <c r="K128" s="1157">
        <v>0</v>
      </c>
      <c r="L128" s="1157">
        <f t="shared" si="62"/>
        <v>0</v>
      </c>
      <c r="M128" s="1157">
        <f t="shared" si="63"/>
        <v>0</v>
      </c>
      <c r="N128" s="1157">
        <f t="shared" si="64"/>
        <v>0</v>
      </c>
      <c r="O128" s="810">
        <f t="shared" si="65"/>
        <v>0</v>
      </c>
      <c r="Q128" s="996" t="s">
        <v>345</v>
      </c>
      <c r="R128" s="1158">
        <v>0</v>
      </c>
      <c r="S128" s="1158">
        <v>0</v>
      </c>
      <c r="T128" s="701">
        <v>0</v>
      </c>
      <c r="U128" s="701">
        <v>0</v>
      </c>
      <c r="V128" s="1159">
        <f t="shared" si="67"/>
        <v>0</v>
      </c>
      <c r="W128" s="806">
        <f t="shared" si="68"/>
        <v>0</v>
      </c>
      <c r="X128" s="1160">
        <f t="shared" si="66"/>
        <v>0</v>
      </c>
      <c r="AP128" s="625"/>
      <c r="AQ128" s="625"/>
      <c r="AR128" s="625"/>
      <c r="AS128" s="625"/>
    </row>
    <row r="129" spans="3:45" ht="34.5" customHeight="1" hidden="1" outlineLevel="1">
      <c r="C129" s="2081" t="s">
        <v>78</v>
      </c>
      <c r="D129" s="2081"/>
      <c r="E129" s="2081"/>
      <c r="F129" s="2081"/>
      <c r="G129" s="1157">
        <v>107500</v>
      </c>
      <c r="H129" s="1157">
        <v>0</v>
      </c>
      <c r="I129" s="1157">
        <v>0</v>
      </c>
      <c r="J129" s="1157">
        <v>0</v>
      </c>
      <c r="K129" s="1157">
        <v>0</v>
      </c>
      <c r="L129" s="1157">
        <f t="shared" si="62"/>
        <v>0</v>
      </c>
      <c r="M129" s="1157">
        <f t="shared" si="63"/>
        <v>0</v>
      </c>
      <c r="N129" s="1157">
        <f t="shared" si="64"/>
        <v>0</v>
      </c>
      <c r="O129" s="810">
        <f t="shared" si="65"/>
        <v>107500</v>
      </c>
      <c r="Q129" s="996" t="s">
        <v>78</v>
      </c>
      <c r="R129" s="1158">
        <v>0</v>
      </c>
      <c r="S129" s="1158">
        <v>0</v>
      </c>
      <c r="T129" s="701">
        <v>0</v>
      </c>
      <c r="U129" s="701">
        <v>0</v>
      </c>
      <c r="V129" s="1159">
        <f t="shared" si="67"/>
        <v>0</v>
      </c>
      <c r="W129" s="806">
        <f t="shared" si="68"/>
        <v>0</v>
      </c>
      <c r="X129" s="1160">
        <f t="shared" si="66"/>
        <v>107500</v>
      </c>
      <c r="AP129" s="625"/>
      <c r="AQ129" s="625"/>
      <c r="AR129" s="625"/>
      <c r="AS129" s="625"/>
    </row>
    <row r="130" spans="3:45" ht="34.5" customHeight="1" hidden="1" outlineLevel="1">
      <c r="C130" s="2081" t="s">
        <v>359</v>
      </c>
      <c r="D130" s="2081"/>
      <c r="E130" s="2081"/>
      <c r="F130" s="2081"/>
      <c r="G130" s="1157">
        <v>5549</v>
      </c>
      <c r="H130" s="1157">
        <v>727.77</v>
      </c>
      <c r="I130" s="1157">
        <v>2000</v>
      </c>
      <c r="J130" s="1157">
        <v>1521.15</v>
      </c>
      <c r="K130" s="1157">
        <f>SUM(O94)</f>
        <v>1461</v>
      </c>
      <c r="L130" s="1157">
        <f t="shared" si="62"/>
        <v>-60.15000000000009</v>
      </c>
      <c r="M130" s="1157">
        <f t="shared" si="63"/>
        <v>1461</v>
      </c>
      <c r="N130" s="1157">
        <f t="shared" si="64"/>
        <v>539</v>
      </c>
      <c r="O130" s="810">
        <f t="shared" si="65"/>
        <v>3360.2299999999996</v>
      </c>
      <c r="Q130" s="996" t="s">
        <v>359</v>
      </c>
      <c r="R130" s="1158">
        <v>9589</v>
      </c>
      <c r="S130" s="1158">
        <v>2171</v>
      </c>
      <c r="T130" s="701">
        <v>1000</v>
      </c>
      <c r="U130" s="701"/>
      <c r="V130" s="1159">
        <f t="shared" si="67"/>
        <v>1000</v>
      </c>
      <c r="W130" s="806">
        <f t="shared" si="68"/>
        <v>7418</v>
      </c>
      <c r="X130" s="1160">
        <f t="shared" si="66"/>
        <v>10778.23</v>
      </c>
      <c r="AP130" s="625"/>
      <c r="AQ130" s="625"/>
      <c r="AR130" s="625"/>
      <c r="AS130" s="625"/>
    </row>
    <row r="131" spans="3:45" ht="34.5" customHeight="1" hidden="1" outlineLevel="1">
      <c r="C131" s="2081" t="s">
        <v>86</v>
      </c>
      <c r="D131" s="2081"/>
      <c r="E131" s="2081"/>
      <c r="F131" s="2081"/>
      <c r="G131" s="1157">
        <v>24000</v>
      </c>
      <c r="H131" s="1157">
        <v>0</v>
      </c>
      <c r="I131" s="1157">
        <v>0</v>
      </c>
      <c r="J131" s="1157">
        <v>0</v>
      </c>
      <c r="K131" s="1157">
        <v>0</v>
      </c>
      <c r="L131" s="1157">
        <f t="shared" si="62"/>
        <v>0</v>
      </c>
      <c r="M131" s="1157">
        <f t="shared" si="63"/>
        <v>0</v>
      </c>
      <c r="N131" s="1157">
        <f t="shared" si="64"/>
        <v>0</v>
      </c>
      <c r="O131" s="810">
        <f t="shared" si="65"/>
        <v>24000</v>
      </c>
      <c r="Q131" s="996" t="s">
        <v>86</v>
      </c>
      <c r="R131" s="1158">
        <v>41670</v>
      </c>
      <c r="S131" s="1158">
        <v>0</v>
      </c>
      <c r="T131" s="701">
        <v>1000</v>
      </c>
      <c r="U131" s="701">
        <f>P80</f>
        <v>13.05</v>
      </c>
      <c r="V131" s="1159">
        <f t="shared" si="67"/>
        <v>986.95</v>
      </c>
      <c r="W131" s="806">
        <f t="shared" si="68"/>
        <v>41656.95</v>
      </c>
      <c r="X131" s="1160">
        <f t="shared" si="66"/>
        <v>65656.95</v>
      </c>
      <c r="AP131" s="625"/>
      <c r="AQ131" s="625"/>
      <c r="AR131" s="625"/>
      <c r="AS131" s="625"/>
    </row>
    <row r="132" spans="3:41" s="623" customFormat="1" ht="34.5" customHeight="1" hidden="1" outlineLevel="1">
      <c r="C132" s="2081" t="s">
        <v>87</v>
      </c>
      <c r="D132" s="2081"/>
      <c r="E132" s="2081"/>
      <c r="F132" s="2081"/>
      <c r="G132" s="1157">
        <v>82631</v>
      </c>
      <c r="H132" s="1157">
        <v>8916.8</v>
      </c>
      <c r="I132" s="1157">
        <v>40062</v>
      </c>
      <c r="J132" s="1157">
        <v>18108.58</v>
      </c>
      <c r="K132" s="1157">
        <f>SUM(O96)</f>
        <v>31020.780000000002</v>
      </c>
      <c r="L132" s="1157">
        <f t="shared" si="62"/>
        <v>12912.2</v>
      </c>
      <c r="M132" s="1157">
        <f t="shared" si="63"/>
        <v>31020.780000000002</v>
      </c>
      <c r="N132" s="1157">
        <f t="shared" si="64"/>
        <v>9041.219999999998</v>
      </c>
      <c r="O132" s="810">
        <f t="shared" si="65"/>
        <v>42693.42</v>
      </c>
      <c r="Q132" s="724" t="s">
        <v>87</v>
      </c>
      <c r="R132" s="1158">
        <f>18086+1</f>
        <v>18087</v>
      </c>
      <c r="S132" s="1158">
        <v>3627</v>
      </c>
      <c r="T132" s="693">
        <v>10361</v>
      </c>
      <c r="U132" s="693">
        <f>SUM(U121:U131)*7%-891</f>
        <v>6000.446800000001</v>
      </c>
      <c r="V132" s="1158">
        <f t="shared" si="67"/>
        <v>4360.553199999999</v>
      </c>
      <c r="W132" s="806">
        <f t="shared" si="68"/>
        <v>8459.553199999998</v>
      </c>
      <c r="X132" s="1160">
        <f t="shared" si="66"/>
        <v>51152.97319999999</v>
      </c>
      <c r="Y132" s="795"/>
      <c r="Z132" s="795"/>
      <c r="AA132" s="793"/>
      <c r="AB132" s="793"/>
      <c r="AC132" s="793"/>
      <c r="AD132" s="795"/>
      <c r="AE132" s="793"/>
      <c r="AF132" s="793"/>
      <c r="AG132" s="793"/>
      <c r="AH132" s="793"/>
      <c r="AI132" s="793"/>
      <c r="AJ132" s="793"/>
      <c r="AK132" s="793"/>
      <c r="AL132" s="793"/>
      <c r="AM132" s="793"/>
      <c r="AN132" s="793"/>
      <c r="AO132" s="793"/>
    </row>
    <row r="133" spans="3:41" s="623" customFormat="1" ht="39.75" customHeight="1" hidden="1" outlineLevel="1">
      <c r="C133" s="2140" t="s">
        <v>88</v>
      </c>
      <c r="D133" s="2140"/>
      <c r="E133" s="2140"/>
      <c r="F133" s="2140"/>
      <c r="G133" s="1157">
        <f aca="true" t="shared" si="69" ref="G133:O133">SUM(G121:G132)</f>
        <v>1263075</v>
      </c>
      <c r="H133" s="809">
        <f t="shared" si="69"/>
        <v>128673.69</v>
      </c>
      <c r="I133" s="809">
        <f t="shared" si="69"/>
        <v>612374</v>
      </c>
      <c r="J133" s="809">
        <f t="shared" si="69"/>
        <v>276802.58999999997</v>
      </c>
      <c r="K133" s="809">
        <f t="shared" si="69"/>
        <v>474174.78</v>
      </c>
      <c r="L133" s="809">
        <f t="shared" si="69"/>
        <v>197372.19000000003</v>
      </c>
      <c r="M133" s="809">
        <f t="shared" si="69"/>
        <v>474174.78</v>
      </c>
      <c r="N133" s="809">
        <f t="shared" si="69"/>
        <v>138199.22</v>
      </c>
      <c r="O133" s="810">
        <f t="shared" si="69"/>
        <v>660226.53</v>
      </c>
      <c r="Q133" s="884" t="s">
        <v>88</v>
      </c>
      <c r="R133" s="1158">
        <f aca="true" t="shared" si="70" ref="R133:W133">SUM(R121:R132)</f>
        <v>276454</v>
      </c>
      <c r="S133" s="1158">
        <f t="shared" si="70"/>
        <v>56022</v>
      </c>
      <c r="T133" s="693">
        <f t="shared" si="70"/>
        <v>158377</v>
      </c>
      <c r="U133" s="1184">
        <f t="shared" si="70"/>
        <v>104449.68680000001</v>
      </c>
      <c r="V133" s="1218">
        <f t="shared" si="70"/>
        <v>53927.3132</v>
      </c>
      <c r="W133" s="1047">
        <f t="shared" si="70"/>
        <v>115982.31319999999</v>
      </c>
      <c r="X133" s="1161">
        <f t="shared" si="66"/>
        <v>776208.8432</v>
      </c>
      <c r="Y133" s="795"/>
      <c r="Z133" s="795"/>
      <c r="AA133" s="793"/>
      <c r="AB133" s="793"/>
      <c r="AC133" s="793"/>
      <c r="AD133" s="795"/>
      <c r="AE133" s="793"/>
      <c r="AF133" s="793"/>
      <c r="AG133" s="793"/>
      <c r="AH133" s="793"/>
      <c r="AI133" s="793"/>
      <c r="AJ133" s="793"/>
      <c r="AK133" s="793"/>
      <c r="AL133" s="793"/>
      <c r="AM133" s="793"/>
      <c r="AN133" s="793"/>
      <c r="AO133" s="793"/>
    </row>
    <row r="134" spans="3:41" s="1633" customFormat="1" ht="39.75" customHeight="1" hidden="1" outlineLevel="1">
      <c r="C134" s="2139" t="s">
        <v>510</v>
      </c>
      <c r="D134" s="2139"/>
      <c r="E134" s="2139"/>
      <c r="F134" s="2139"/>
      <c r="G134" s="1162"/>
      <c r="H134" s="997">
        <f>SUM(H121:H131)</f>
        <v>119756.89</v>
      </c>
      <c r="I134" s="997">
        <f aca="true" t="shared" si="71" ref="I134:X134">SUM(I121:I131)</f>
        <v>572312</v>
      </c>
      <c r="J134" s="997">
        <f t="shared" si="71"/>
        <v>258694.00999999998</v>
      </c>
      <c r="K134" s="997">
        <f t="shared" si="71"/>
        <v>443154</v>
      </c>
      <c r="L134" s="997">
        <f t="shared" si="71"/>
        <v>184459.99000000002</v>
      </c>
      <c r="M134" s="997">
        <f t="shared" si="71"/>
        <v>443154</v>
      </c>
      <c r="N134" s="997">
        <f t="shared" si="71"/>
        <v>129158</v>
      </c>
      <c r="O134" s="997">
        <f t="shared" si="71"/>
        <v>617533.11</v>
      </c>
      <c r="P134" s="997">
        <f t="shared" si="71"/>
        <v>0</v>
      </c>
      <c r="Q134" s="997">
        <f t="shared" si="71"/>
        <v>0</v>
      </c>
      <c r="R134" s="997">
        <f t="shared" si="71"/>
        <v>258367</v>
      </c>
      <c r="S134" s="997">
        <f t="shared" si="71"/>
        <v>52395</v>
      </c>
      <c r="T134" s="997">
        <f t="shared" si="71"/>
        <v>148016</v>
      </c>
      <c r="U134" s="997">
        <f t="shared" si="71"/>
        <v>98449.24</v>
      </c>
      <c r="V134" s="997">
        <f t="shared" si="71"/>
        <v>49566.759999999995</v>
      </c>
      <c r="W134" s="997">
        <f>SUM(W121:W131)</f>
        <v>107522.76</v>
      </c>
      <c r="X134" s="997">
        <f t="shared" si="71"/>
        <v>725055.87</v>
      </c>
      <c r="Y134" s="1632"/>
      <c r="Z134" s="1632"/>
      <c r="AA134" s="1131"/>
      <c r="AB134" s="1131"/>
      <c r="AC134" s="1131"/>
      <c r="AD134" s="1632"/>
      <c r="AE134" s="1131"/>
      <c r="AF134" s="1131"/>
      <c r="AG134" s="1131"/>
      <c r="AH134" s="1131"/>
      <c r="AI134" s="1131"/>
      <c r="AJ134" s="1131"/>
      <c r="AK134" s="1131"/>
      <c r="AL134" s="1131"/>
      <c r="AM134" s="1131"/>
      <c r="AN134" s="1131"/>
      <c r="AO134" s="1131"/>
    </row>
    <row r="135" spans="3:41" s="623" customFormat="1" ht="39.75" customHeight="1" hidden="1" outlineLevel="1">
      <c r="C135" s="2080"/>
      <c r="D135" s="2080"/>
      <c r="E135" s="2080"/>
      <c r="F135" s="2080"/>
      <c r="G135" s="819"/>
      <c r="H135" s="998"/>
      <c r="I135" s="820"/>
      <c r="J135" s="820"/>
      <c r="M135" s="822"/>
      <c r="N135" s="999"/>
      <c r="P135" s="725"/>
      <c r="Q135" s="812"/>
      <c r="R135" s="812"/>
      <c r="S135" s="997"/>
      <c r="T135" s="997"/>
      <c r="U135" s="812"/>
      <c r="V135" s="997"/>
      <c r="W135" s="997"/>
      <c r="X135" s="990"/>
      <c r="Y135" s="990"/>
      <c r="Z135" s="795"/>
      <c r="AA135" s="793"/>
      <c r="AB135" s="793"/>
      <c r="AC135" s="793"/>
      <c r="AD135" s="795"/>
      <c r="AE135" s="793"/>
      <c r="AF135" s="793"/>
      <c r="AG135" s="793"/>
      <c r="AH135" s="793"/>
      <c r="AI135" s="793"/>
      <c r="AJ135" s="793"/>
      <c r="AK135" s="793"/>
      <c r="AL135" s="793"/>
      <c r="AM135" s="793"/>
      <c r="AN135" s="793"/>
      <c r="AO135" s="793"/>
    </row>
    <row r="136" ht="15" hidden="1" outlineLevel="1"/>
    <row r="137" ht="11.25" customHeight="1" collapsed="1"/>
    <row r="138" spans="1:28" ht="15.75" customHeight="1">
      <c r="A138" s="824" t="s">
        <v>202</v>
      </c>
      <c r="Q138" s="824" t="s">
        <v>205</v>
      </c>
      <c r="AB138" s="824"/>
    </row>
    <row r="139" spans="1:28" ht="24" customHeight="1">
      <c r="A139" s="824" t="s">
        <v>532</v>
      </c>
      <c r="J139" s="824" t="s">
        <v>205</v>
      </c>
      <c r="AB139" s="824"/>
    </row>
    <row r="140" spans="18:28" ht="30" customHeight="1">
      <c r="R140" s="625"/>
      <c r="AB140" s="625"/>
    </row>
    <row r="141" spans="18:28" ht="30" customHeight="1">
      <c r="R141" s="625"/>
      <c r="AB141" s="625"/>
    </row>
    <row r="142" spans="18:28" ht="30" customHeight="1">
      <c r="R142" s="625"/>
      <c r="AB142" s="625"/>
    </row>
    <row r="143" spans="1:28" ht="22.5" customHeight="1">
      <c r="A143" s="824" t="s">
        <v>533</v>
      </c>
      <c r="J143" s="824" t="s">
        <v>551</v>
      </c>
      <c r="Q143" s="824" t="s">
        <v>538</v>
      </c>
      <c r="R143" s="625"/>
      <c r="AB143" s="824"/>
    </row>
    <row r="144" spans="1:28" ht="30" customHeight="1">
      <c r="A144" s="824" t="s">
        <v>534</v>
      </c>
      <c r="J144" s="824" t="s">
        <v>539</v>
      </c>
      <c r="Q144" s="824" t="s">
        <v>539</v>
      </c>
      <c r="R144" s="625"/>
      <c r="AB144" s="824"/>
    </row>
    <row r="145" spans="1:28" ht="30" customHeight="1">
      <c r="A145" s="625" t="s">
        <v>535</v>
      </c>
      <c r="J145" s="625" t="s">
        <v>535</v>
      </c>
      <c r="Q145" s="625" t="s">
        <v>535</v>
      </c>
      <c r="R145" s="625"/>
      <c r="AB145" s="625"/>
    </row>
    <row r="146" ht="30" customHeight="1"/>
    <row r="147" ht="30" customHeight="1"/>
    <row r="148" ht="30" customHeight="1"/>
    <row r="149" ht="30" customHeight="1"/>
    <row r="150" ht="30" customHeight="1"/>
    <row r="151" ht="30" customHeight="1"/>
    <row r="152" ht="30" customHeight="1"/>
  </sheetData>
  <sheetProtection/>
  <mergeCells count="71">
    <mergeCell ref="A20:A26"/>
    <mergeCell ref="A27:A35"/>
    <mergeCell ref="A48:A52"/>
    <mergeCell ref="A56:A57"/>
    <mergeCell ref="G100:J100"/>
    <mergeCell ref="A100:F101"/>
    <mergeCell ref="C134:F134"/>
    <mergeCell ref="C128:F128"/>
    <mergeCell ref="C129:F129"/>
    <mergeCell ref="C130:F130"/>
    <mergeCell ref="C131:F131"/>
    <mergeCell ref="C132:F132"/>
    <mergeCell ref="C133:F133"/>
    <mergeCell ref="AE100:AH100"/>
    <mergeCell ref="A105:F105"/>
    <mergeCell ref="A102:F102"/>
    <mergeCell ref="A103:F103"/>
    <mergeCell ref="A104:F104"/>
    <mergeCell ref="X119:X120"/>
    <mergeCell ref="C119:F120"/>
    <mergeCell ref="C118:F118"/>
    <mergeCell ref="A106:F106"/>
    <mergeCell ref="A107:F107"/>
    <mergeCell ref="A112:F112"/>
    <mergeCell ref="A113:F113"/>
    <mergeCell ref="AA100:AD100"/>
    <mergeCell ref="K100:N100"/>
    <mergeCell ref="O100:R100"/>
    <mergeCell ref="W100:Z100"/>
    <mergeCell ref="S100:V100"/>
    <mergeCell ref="A110:F110"/>
    <mergeCell ref="S6:U6"/>
    <mergeCell ref="C123:F123"/>
    <mergeCell ref="A114:F114"/>
    <mergeCell ref="A115:F115"/>
    <mergeCell ref="A116:F116"/>
    <mergeCell ref="A46:K46"/>
    <mergeCell ref="C5:G6"/>
    <mergeCell ref="A108:F108"/>
    <mergeCell ref="A109:F109"/>
    <mergeCell ref="C121:F121"/>
    <mergeCell ref="A9:A12"/>
    <mergeCell ref="A4:K4"/>
    <mergeCell ref="A1:F1"/>
    <mergeCell ref="C126:F126"/>
    <mergeCell ref="A69:A72"/>
    <mergeCell ref="A2:F2"/>
    <mergeCell ref="C124:F124"/>
    <mergeCell ref="C125:F125"/>
    <mergeCell ref="C122:F122"/>
    <mergeCell ref="A111:F111"/>
    <mergeCell ref="A8:G8"/>
    <mergeCell ref="A68:K68"/>
    <mergeCell ref="AB6:AD6"/>
    <mergeCell ref="L6:N6"/>
    <mergeCell ref="O6:Q6"/>
    <mergeCell ref="V6:X6"/>
    <mergeCell ref="A63:A66"/>
    <mergeCell ref="A5:A7"/>
    <mergeCell ref="H5:J6"/>
    <mergeCell ref="B5:B7"/>
    <mergeCell ref="C135:F135"/>
    <mergeCell ref="C127:F127"/>
    <mergeCell ref="AB1:AD1"/>
    <mergeCell ref="A76:A77"/>
    <mergeCell ref="K5:K7"/>
    <mergeCell ref="R6:R7"/>
    <mergeCell ref="Y6:AA6"/>
    <mergeCell ref="A3:K3"/>
    <mergeCell ref="A14:A18"/>
    <mergeCell ref="L5:AD5"/>
  </mergeCells>
  <printOptions horizontalCentered="1"/>
  <pageMargins left="0" right="0" top="0.5" bottom="0" header="0.3" footer="0.3"/>
  <pageSetup horizontalDpi="600" verticalDpi="600" orientation="landscape" paperSize="9" scale="50" r:id="rId3"/>
  <headerFooter>
    <oddFooter>&amp;RAWP 2011 - March 2012  &amp;N</oddFooter>
  </headerFooter>
  <legacyDrawing r:id="rId2"/>
</worksheet>
</file>

<file path=xl/worksheets/sheet4.xml><?xml version="1.0" encoding="utf-8"?>
<worksheet xmlns="http://schemas.openxmlformats.org/spreadsheetml/2006/main" xmlns:r="http://schemas.openxmlformats.org/officeDocument/2006/relationships">
  <dimension ref="A1:AU97"/>
  <sheetViews>
    <sheetView zoomScale="60" zoomScaleNormal="60" zoomScaleSheetLayoutView="80" zoomScalePageLayoutView="0" workbookViewId="0" topLeftCell="A1">
      <pane xSplit="7" ySplit="9" topLeftCell="H88" activePane="bottomRight" state="frozen"/>
      <selection pane="topLeft" activeCell="A1" sqref="A1"/>
      <selection pane="topRight" activeCell="H1" sqref="H1"/>
      <selection pane="bottomLeft" activeCell="A10" sqref="A10"/>
      <selection pane="bottomRight" activeCell="C45" sqref="C45"/>
    </sheetView>
  </sheetViews>
  <sheetFormatPr defaultColWidth="9.140625" defaultRowHeight="12.75" outlineLevelRow="2" outlineLevelCol="1"/>
  <cols>
    <col min="1" max="1" width="41.421875" style="625" customWidth="1"/>
    <col min="2" max="2" width="36.28125" style="625" customWidth="1"/>
    <col min="3" max="3" width="8.28125" style="803" customWidth="1"/>
    <col min="4" max="4" width="8.7109375" style="803" customWidth="1"/>
    <col min="5" max="5" width="8.57421875" style="803" customWidth="1"/>
    <col min="6" max="6" width="8.28125" style="803" customWidth="1"/>
    <col min="7" max="7" width="20.421875" style="803" customWidth="1"/>
    <col min="8" max="8" width="19.421875" style="816" customWidth="1"/>
    <col min="9" max="9" width="15.421875" style="815" customWidth="1"/>
    <col min="10" max="10" width="18.8515625" style="817" customWidth="1"/>
    <col min="11" max="11" width="19.7109375" style="625" customWidth="1"/>
    <col min="12" max="12" width="20.140625" style="625" hidden="1" customWidth="1" outlineLevel="1"/>
    <col min="13" max="13" width="21.8515625" style="625" hidden="1" customWidth="1" outlineLevel="1"/>
    <col min="14" max="14" width="16.57421875" style="625" hidden="1" customWidth="1" outlineLevel="1"/>
    <col min="15" max="15" width="20.421875" style="624" hidden="1" customWidth="1" outlineLevel="1" collapsed="1"/>
    <col min="16" max="16" width="20.421875" style="625" hidden="1" customWidth="1" outlineLevel="1"/>
    <col min="17" max="17" width="17.421875" style="625" hidden="1" customWidth="1" outlineLevel="1"/>
    <col min="18" max="18" width="19.00390625" style="824" customWidth="1" collapsed="1"/>
    <col min="19" max="19" width="20.57421875" style="625" hidden="1" customWidth="1" outlineLevel="1"/>
    <col min="20" max="20" width="20.140625" style="625" hidden="1" customWidth="1" outlineLevel="1"/>
    <col min="21" max="21" width="22.7109375" style="824" hidden="1" customWidth="1" outlineLevel="1"/>
    <col min="22" max="22" width="21.140625" style="626" customWidth="1" collapsed="1"/>
    <col min="23" max="23" width="21.00390625" style="626" customWidth="1"/>
    <col min="24" max="24" width="25.7109375" style="796" customWidth="1"/>
    <col min="25" max="25" width="21.28125" style="796" customWidth="1"/>
    <col min="26" max="26" width="25.28125" style="796" customWidth="1"/>
    <col min="27" max="27" width="22.7109375" style="795" customWidth="1"/>
    <col min="28" max="28" width="21.28125" style="796" customWidth="1"/>
    <col min="29" max="29" width="21.57421875" style="796" customWidth="1"/>
    <col min="30" max="30" width="22.421875" style="626" customWidth="1"/>
    <col min="31" max="31" width="25.421875" style="626" customWidth="1"/>
    <col min="32" max="32" width="20.421875" style="626" customWidth="1"/>
    <col min="33" max="33" width="17.140625" style="626" customWidth="1"/>
    <col min="34" max="34" width="16.57421875" style="626" customWidth="1"/>
    <col min="35" max="35" width="13.00390625" style="626" bestFit="1" customWidth="1"/>
    <col min="36" max="36" width="12.7109375" style="626" customWidth="1"/>
    <col min="37" max="37" width="9.8515625" style="626" bestFit="1" customWidth="1"/>
    <col min="38" max="44" width="9.140625" style="626" customWidth="1"/>
    <col min="45" max="16384" width="9.140625" style="625" customWidth="1"/>
  </cols>
  <sheetData>
    <row r="1" spans="1:30" ht="18" customHeight="1" outlineLevel="1">
      <c r="A1" s="2087" t="s">
        <v>33</v>
      </c>
      <c r="B1" s="2087"/>
      <c r="C1" s="2087"/>
      <c r="D1" s="2087"/>
      <c r="E1" s="2087"/>
      <c r="F1" s="2087"/>
      <c r="G1" s="2087"/>
      <c r="AB1" s="2082" t="s">
        <v>482</v>
      </c>
      <c r="AC1" s="2082"/>
      <c r="AD1" s="2082"/>
    </row>
    <row r="2" spans="1:44" s="615" customFormat="1" ht="30.75" customHeight="1" outlineLevel="1">
      <c r="A2" s="2087" t="s">
        <v>478</v>
      </c>
      <c r="B2" s="2087"/>
      <c r="C2" s="2087"/>
      <c r="D2" s="2087"/>
      <c r="E2" s="2087"/>
      <c r="F2" s="2087"/>
      <c r="G2" s="2087"/>
      <c r="I2" s="1000"/>
      <c r="J2" s="614"/>
      <c r="O2" s="617"/>
      <c r="R2" s="826"/>
      <c r="U2" s="612"/>
      <c r="V2" s="618"/>
      <c r="W2" s="618"/>
      <c r="X2" s="619"/>
      <c r="Y2" s="619"/>
      <c r="Z2" s="619"/>
      <c r="AA2" s="769"/>
      <c r="AB2" s="619"/>
      <c r="AC2" s="619"/>
      <c r="AD2" s="618"/>
      <c r="AE2" s="618"/>
      <c r="AF2" s="618"/>
      <c r="AG2" s="618"/>
      <c r="AH2" s="618"/>
      <c r="AI2" s="618"/>
      <c r="AJ2" s="618"/>
      <c r="AK2" s="618"/>
      <c r="AL2" s="618"/>
      <c r="AM2" s="618"/>
      <c r="AN2" s="618"/>
      <c r="AO2" s="618"/>
      <c r="AP2" s="618"/>
      <c r="AQ2" s="618"/>
      <c r="AR2" s="618"/>
    </row>
    <row r="3" spans="1:44" s="615" customFormat="1" ht="17.25" customHeight="1" outlineLevel="1">
      <c r="A3" s="2087" t="s">
        <v>467</v>
      </c>
      <c r="B3" s="2087"/>
      <c r="C3" s="2087"/>
      <c r="D3" s="2087"/>
      <c r="E3" s="2087"/>
      <c r="F3" s="2087"/>
      <c r="G3" s="2087"/>
      <c r="I3" s="1000"/>
      <c r="J3" s="614"/>
      <c r="O3" s="617"/>
      <c r="R3" s="612"/>
      <c r="U3" s="612"/>
      <c r="V3" s="618"/>
      <c r="W3" s="618"/>
      <c r="X3" s="619"/>
      <c r="Y3" s="619"/>
      <c r="Z3" s="619"/>
      <c r="AA3" s="769"/>
      <c r="AB3" s="619"/>
      <c r="AC3" s="619"/>
      <c r="AD3" s="618"/>
      <c r="AE3" s="618"/>
      <c r="AF3" s="618"/>
      <c r="AG3" s="618"/>
      <c r="AH3" s="618"/>
      <c r="AI3" s="618"/>
      <c r="AJ3" s="618"/>
      <c r="AK3" s="618"/>
      <c r="AL3" s="618"/>
      <c r="AM3" s="618"/>
      <c r="AN3" s="618"/>
      <c r="AO3" s="618"/>
      <c r="AP3" s="618"/>
      <c r="AQ3" s="618"/>
      <c r="AR3" s="618"/>
    </row>
    <row r="4" spans="1:44" s="615" customFormat="1" ht="22.5" customHeight="1" outlineLevel="1">
      <c r="A4" s="2087" t="s">
        <v>468</v>
      </c>
      <c r="B4" s="2087"/>
      <c r="C4" s="2087"/>
      <c r="D4" s="2087"/>
      <c r="E4" s="2087"/>
      <c r="F4" s="2087"/>
      <c r="G4" s="2087"/>
      <c r="H4" s="2087"/>
      <c r="I4" s="2087"/>
      <c r="J4" s="2087"/>
      <c r="K4" s="2087"/>
      <c r="O4" s="617"/>
      <c r="R4" s="612"/>
      <c r="S4" s="620"/>
      <c r="T4" s="621"/>
      <c r="U4" s="1136"/>
      <c r="V4" s="622"/>
      <c r="W4" s="618"/>
      <c r="X4" s="619"/>
      <c r="Y4" s="619"/>
      <c r="Z4" s="619"/>
      <c r="AA4" s="769"/>
      <c r="AB4" s="619"/>
      <c r="AC4" s="619"/>
      <c r="AD4" s="618"/>
      <c r="AE4" s="618"/>
      <c r="AF4" s="618"/>
      <c r="AG4" s="618"/>
      <c r="AH4" s="618"/>
      <c r="AI4" s="618"/>
      <c r="AJ4" s="618"/>
      <c r="AK4" s="618"/>
      <c r="AL4" s="618"/>
      <c r="AM4" s="618"/>
      <c r="AN4" s="618"/>
      <c r="AO4" s="618"/>
      <c r="AP4" s="618"/>
      <c r="AQ4" s="618"/>
      <c r="AR4" s="618"/>
    </row>
    <row r="5" spans="1:44" s="615" customFormat="1" ht="27" customHeight="1" outlineLevel="1" thickBot="1">
      <c r="A5" s="2114" t="s">
        <v>469</v>
      </c>
      <c r="B5" s="2114"/>
      <c r="C5" s="2114"/>
      <c r="D5" s="2114"/>
      <c r="E5" s="2114"/>
      <c r="F5" s="2114"/>
      <c r="G5" s="2114"/>
      <c r="H5" s="2114"/>
      <c r="I5" s="2114"/>
      <c r="J5" s="2114"/>
      <c r="K5" s="2114"/>
      <c r="L5" s="625"/>
      <c r="M5" s="625"/>
      <c r="N5" s="625"/>
      <c r="O5" s="624"/>
      <c r="P5" s="625"/>
      <c r="Q5" s="625"/>
      <c r="R5" s="830"/>
      <c r="S5" s="625"/>
      <c r="T5" s="625"/>
      <c r="U5" s="824"/>
      <c r="V5" s="618"/>
      <c r="W5" s="618"/>
      <c r="X5" s="619"/>
      <c r="Y5" s="619"/>
      <c r="Z5" s="619"/>
      <c r="AA5" s="769"/>
      <c r="AB5" s="619"/>
      <c r="AC5" s="619"/>
      <c r="AD5" s="618"/>
      <c r="AE5" s="618"/>
      <c r="AF5" s="618"/>
      <c r="AG5" s="618"/>
      <c r="AH5" s="618"/>
      <c r="AI5" s="618"/>
      <c r="AJ5" s="618"/>
      <c r="AK5" s="618"/>
      <c r="AL5" s="618"/>
      <c r="AM5" s="618"/>
      <c r="AN5" s="618"/>
      <c r="AO5" s="618"/>
      <c r="AP5" s="618"/>
      <c r="AQ5" s="618"/>
      <c r="AR5" s="618"/>
    </row>
    <row r="6" spans="1:30" ht="52.5" customHeight="1" thickTop="1">
      <c r="A6" s="2104" t="s">
        <v>225</v>
      </c>
      <c r="B6" s="2085" t="s">
        <v>175</v>
      </c>
      <c r="C6" s="2085" t="s">
        <v>73</v>
      </c>
      <c r="D6" s="2085"/>
      <c r="E6" s="2085"/>
      <c r="F6" s="2085"/>
      <c r="G6" s="2085"/>
      <c r="H6" s="2085" t="s">
        <v>505</v>
      </c>
      <c r="I6" s="2085"/>
      <c r="J6" s="2085"/>
      <c r="K6" s="2166" t="s">
        <v>187</v>
      </c>
      <c r="L6" s="2085" t="s">
        <v>151</v>
      </c>
      <c r="M6" s="2085"/>
      <c r="N6" s="2085"/>
      <c r="O6" s="2085"/>
      <c r="P6" s="2085"/>
      <c r="Q6" s="2085"/>
      <c r="R6" s="2085"/>
      <c r="S6" s="2085"/>
      <c r="T6" s="2085"/>
      <c r="U6" s="2085"/>
      <c r="V6" s="2085"/>
      <c r="W6" s="2085"/>
      <c r="X6" s="2085"/>
      <c r="Y6" s="2085"/>
      <c r="Z6" s="2085"/>
      <c r="AA6" s="2085"/>
      <c r="AB6" s="2085"/>
      <c r="AC6" s="2085"/>
      <c r="AD6" s="2165"/>
    </row>
    <row r="7" spans="1:30" ht="51.75" customHeight="1">
      <c r="A7" s="2105"/>
      <c r="B7" s="2086"/>
      <c r="C7" s="2086"/>
      <c r="D7" s="2086"/>
      <c r="E7" s="2086"/>
      <c r="F7" s="2086"/>
      <c r="G7" s="2086"/>
      <c r="H7" s="2086"/>
      <c r="I7" s="2086"/>
      <c r="J7" s="2086"/>
      <c r="K7" s="2167"/>
      <c r="L7" s="2086" t="s">
        <v>94</v>
      </c>
      <c r="M7" s="2086"/>
      <c r="N7" s="2086"/>
      <c r="O7" s="2086" t="s">
        <v>93</v>
      </c>
      <c r="P7" s="2086"/>
      <c r="Q7" s="2086"/>
      <c r="R7" s="2086" t="s">
        <v>207</v>
      </c>
      <c r="S7" s="2086" t="s">
        <v>60</v>
      </c>
      <c r="T7" s="2086"/>
      <c r="U7" s="2086"/>
      <c r="V7" s="2086" t="s">
        <v>71</v>
      </c>
      <c r="W7" s="2086"/>
      <c r="X7" s="2086"/>
      <c r="Y7" s="2086" t="s">
        <v>62</v>
      </c>
      <c r="Z7" s="2086"/>
      <c r="AA7" s="2086"/>
      <c r="AB7" s="2086" t="s">
        <v>540</v>
      </c>
      <c r="AC7" s="2086"/>
      <c r="AD7" s="2163"/>
    </row>
    <row r="8" spans="1:30" ht="57" customHeight="1">
      <c r="A8" s="2105"/>
      <c r="B8" s="2086"/>
      <c r="C8" s="1221" t="s">
        <v>170</v>
      </c>
      <c r="D8" s="1221" t="s">
        <v>171</v>
      </c>
      <c r="E8" s="1221" t="s">
        <v>172</v>
      </c>
      <c r="F8" s="1221" t="s">
        <v>173</v>
      </c>
      <c r="G8" s="1221" t="s">
        <v>72</v>
      </c>
      <c r="H8" s="1221" t="s">
        <v>206</v>
      </c>
      <c r="I8" s="1221" t="s">
        <v>186</v>
      </c>
      <c r="J8" s="1221" t="s">
        <v>169</v>
      </c>
      <c r="K8" s="2136"/>
      <c r="L8" s="1222" t="s">
        <v>144</v>
      </c>
      <c r="M8" s="1222" t="s">
        <v>184</v>
      </c>
      <c r="N8" s="1221" t="s">
        <v>35</v>
      </c>
      <c r="O8" s="1221" t="s">
        <v>144</v>
      </c>
      <c r="P8" s="1222" t="s">
        <v>184</v>
      </c>
      <c r="Q8" s="1222" t="s">
        <v>35</v>
      </c>
      <c r="R8" s="2086"/>
      <c r="S8" s="1222" t="s">
        <v>144</v>
      </c>
      <c r="T8" s="1222" t="s">
        <v>184</v>
      </c>
      <c r="U8" s="1221" t="s">
        <v>35</v>
      </c>
      <c r="V8" s="1222" t="s">
        <v>144</v>
      </c>
      <c r="W8" s="1222" t="s">
        <v>184</v>
      </c>
      <c r="X8" s="1221" t="s">
        <v>35</v>
      </c>
      <c r="Y8" s="1222" t="s">
        <v>144</v>
      </c>
      <c r="Z8" s="1222" t="s">
        <v>184</v>
      </c>
      <c r="AA8" s="1221" t="s">
        <v>35</v>
      </c>
      <c r="AB8" s="1222" t="s">
        <v>144</v>
      </c>
      <c r="AC8" s="1222" t="s">
        <v>184</v>
      </c>
      <c r="AD8" s="1223" t="s">
        <v>35</v>
      </c>
    </row>
    <row r="9" spans="1:44" s="624" customFormat="1" ht="142.5" customHeight="1">
      <c r="A9" s="2093" t="s">
        <v>461</v>
      </c>
      <c r="B9" s="2094"/>
      <c r="C9" s="2094"/>
      <c r="D9" s="2094"/>
      <c r="E9" s="2094"/>
      <c r="F9" s="2094"/>
      <c r="G9" s="2094"/>
      <c r="H9" s="627"/>
      <c r="I9" s="627"/>
      <c r="J9" s="627"/>
      <c r="K9" s="627"/>
      <c r="L9" s="627"/>
      <c r="M9" s="627"/>
      <c r="N9" s="627"/>
      <c r="O9" s="627"/>
      <c r="P9" s="627"/>
      <c r="Q9" s="627"/>
      <c r="R9" s="627"/>
      <c r="S9" s="627"/>
      <c r="T9" s="627"/>
      <c r="U9" s="627"/>
      <c r="V9" s="629"/>
      <c r="W9" s="629"/>
      <c r="X9" s="1142"/>
      <c r="Y9" s="629"/>
      <c r="Z9" s="629"/>
      <c r="AA9" s="1143"/>
      <c r="AB9" s="629"/>
      <c r="AC9" s="629"/>
      <c r="AD9" s="1001"/>
      <c r="AE9" s="630"/>
      <c r="AF9" s="630"/>
      <c r="AG9" s="630"/>
      <c r="AH9" s="630"/>
      <c r="AI9" s="630"/>
      <c r="AJ9" s="630"/>
      <c r="AK9" s="630"/>
      <c r="AL9" s="630"/>
      <c r="AM9" s="630"/>
      <c r="AN9" s="630"/>
      <c r="AO9" s="630"/>
      <c r="AP9" s="630"/>
      <c r="AQ9" s="630"/>
      <c r="AR9" s="630"/>
    </row>
    <row r="10" spans="1:44" s="825" customFormat="1" ht="95.25" customHeight="1">
      <c r="A10" s="2083" t="s">
        <v>604</v>
      </c>
      <c r="B10" s="1002" t="s">
        <v>500</v>
      </c>
      <c r="C10" s="835" t="s">
        <v>176</v>
      </c>
      <c r="D10" s="1002"/>
      <c r="E10" s="1002"/>
      <c r="F10" s="1002"/>
      <c r="G10" s="1002"/>
      <c r="H10" s="726" t="s">
        <v>157</v>
      </c>
      <c r="I10" s="838" t="s">
        <v>157</v>
      </c>
      <c r="J10" s="838" t="s">
        <v>183</v>
      </c>
      <c r="K10" s="1660"/>
      <c r="L10" s="681">
        <v>0</v>
      </c>
      <c r="M10" s="682">
        <v>0</v>
      </c>
      <c r="N10" s="683">
        <f>SUM(L10:M10)</f>
        <v>0</v>
      </c>
      <c r="O10" s="841"/>
      <c r="P10" s="839"/>
      <c r="Q10" s="871"/>
      <c r="R10" s="1669"/>
      <c r="S10" s="841"/>
      <c r="T10" s="842">
        <f>M10-P10</f>
        <v>0</v>
      </c>
      <c r="U10" s="1756">
        <f aca="true" t="shared" si="0" ref="U10:U19">S10+T10</f>
        <v>0</v>
      </c>
      <c r="V10" s="839"/>
      <c r="W10" s="839">
        <v>0</v>
      </c>
      <c r="X10" s="840">
        <f>V10+W10</f>
        <v>0</v>
      </c>
      <c r="Y10" s="839">
        <v>0</v>
      </c>
      <c r="Z10" s="839">
        <v>0</v>
      </c>
      <c r="AA10" s="840">
        <f>Y10+Z10</f>
        <v>0</v>
      </c>
      <c r="AB10" s="839"/>
      <c r="AC10" s="839"/>
      <c r="AD10" s="1003"/>
      <c r="AE10" s="769"/>
      <c r="AF10" s="769"/>
      <c r="AG10" s="769"/>
      <c r="AH10" s="769"/>
      <c r="AI10" s="769"/>
      <c r="AJ10" s="769"/>
      <c r="AK10" s="769"/>
      <c r="AL10" s="769"/>
      <c r="AM10" s="769"/>
      <c r="AN10" s="769"/>
      <c r="AO10" s="769"/>
      <c r="AP10" s="769"/>
      <c r="AQ10" s="769"/>
      <c r="AR10" s="769"/>
    </row>
    <row r="11" spans="1:44" s="616" customFormat="1" ht="37.5" customHeight="1">
      <c r="A11" s="2084"/>
      <c r="B11" s="872" t="s">
        <v>433</v>
      </c>
      <c r="C11" s="873"/>
      <c r="D11" s="873"/>
      <c r="E11" s="873"/>
      <c r="F11" s="873"/>
      <c r="G11" s="873"/>
      <c r="H11" s="857"/>
      <c r="I11" s="856"/>
      <c r="J11" s="856"/>
      <c r="K11" s="1644" t="s">
        <v>185</v>
      </c>
      <c r="L11" s="676">
        <f>11900</f>
        <v>11900</v>
      </c>
      <c r="M11" s="677">
        <v>3000</v>
      </c>
      <c r="N11" s="678">
        <f aca="true" t="shared" si="1" ref="N11:N19">L11+M11</f>
        <v>14900</v>
      </c>
      <c r="O11" s="1314">
        <v>13030</v>
      </c>
      <c r="P11" s="1133">
        <v>2790</v>
      </c>
      <c r="Q11" s="671">
        <f>SUM(O11:P11)</f>
        <v>15820</v>
      </c>
      <c r="R11" s="1670" t="s">
        <v>345</v>
      </c>
      <c r="S11" s="670">
        <f>L11-O11</f>
        <v>-1130</v>
      </c>
      <c r="T11" s="668">
        <f>M11-P11</f>
        <v>210</v>
      </c>
      <c r="U11" s="1755">
        <f t="shared" si="0"/>
        <v>-920</v>
      </c>
      <c r="V11" s="1133">
        <v>1840</v>
      </c>
      <c r="W11" s="874">
        <v>0</v>
      </c>
      <c r="X11" s="877">
        <f>V11+W11</f>
        <v>1840</v>
      </c>
      <c r="Y11" s="668">
        <v>0</v>
      </c>
      <c r="Z11" s="668">
        <v>0</v>
      </c>
      <c r="AA11" s="877">
        <f>SUM(Y11:Z11)</f>
        <v>0</v>
      </c>
      <c r="AB11" s="668">
        <f>V11+Y11</f>
        <v>1840</v>
      </c>
      <c r="AC11" s="874">
        <f>SUM(W11+Z11)</f>
        <v>0</v>
      </c>
      <c r="AD11" s="672">
        <f>SUM(AB11:AC11)</f>
        <v>1840</v>
      </c>
      <c r="AE11" s="725"/>
      <c r="AF11" s="725"/>
      <c r="AG11" s="725"/>
      <c r="AH11" s="725"/>
      <c r="AI11" s="725"/>
      <c r="AJ11" s="725"/>
      <c r="AK11" s="725"/>
      <c r="AL11" s="725"/>
      <c r="AM11" s="725"/>
      <c r="AN11" s="725"/>
      <c r="AO11" s="725"/>
      <c r="AP11" s="725"/>
      <c r="AQ11" s="725"/>
      <c r="AR11" s="725"/>
    </row>
    <row r="12" spans="1:44" s="617" customFormat="1" ht="173.25" customHeight="1">
      <c r="A12" s="2084"/>
      <c r="B12" s="702" t="s">
        <v>237</v>
      </c>
      <c r="C12" s="702" t="s">
        <v>176</v>
      </c>
      <c r="D12" s="702" t="s">
        <v>176</v>
      </c>
      <c r="E12" s="702" t="s">
        <v>176</v>
      </c>
      <c r="F12" s="702" t="s">
        <v>176</v>
      </c>
      <c r="G12" s="702"/>
      <c r="H12" s="726" t="s">
        <v>157</v>
      </c>
      <c r="I12" s="631" t="s">
        <v>346</v>
      </c>
      <c r="J12" s="631" t="s">
        <v>179</v>
      </c>
      <c r="K12" s="1647"/>
      <c r="L12" s="632"/>
      <c r="M12" s="674"/>
      <c r="N12" s="634">
        <f t="shared" si="1"/>
        <v>0</v>
      </c>
      <c r="O12" s="1744"/>
      <c r="P12" s="659"/>
      <c r="Q12" s="871">
        <f>O12+P12</f>
        <v>0</v>
      </c>
      <c r="R12" s="1668"/>
      <c r="S12" s="841">
        <f>L12-O12</f>
        <v>0</v>
      </c>
      <c r="T12" s="660">
        <f>M12-P12</f>
        <v>0</v>
      </c>
      <c r="U12" s="1969">
        <f t="shared" si="0"/>
        <v>0</v>
      </c>
      <c r="V12" s="1930"/>
      <c r="W12" s="706"/>
      <c r="X12" s="893"/>
      <c r="Y12" s="708"/>
      <c r="Z12" s="706"/>
      <c r="AA12" s="893"/>
      <c r="AB12" s="715"/>
      <c r="AC12" s="661"/>
      <c r="AD12" s="1007"/>
      <c r="AE12" s="635"/>
      <c r="AF12" s="635"/>
      <c r="AG12" s="635"/>
      <c r="AH12" s="635"/>
      <c r="AI12" s="635"/>
      <c r="AJ12" s="635"/>
      <c r="AK12" s="635"/>
      <c r="AL12" s="635"/>
      <c r="AM12" s="635"/>
      <c r="AN12" s="635"/>
      <c r="AO12" s="635"/>
      <c r="AP12" s="635"/>
      <c r="AQ12" s="635"/>
      <c r="AR12" s="635"/>
    </row>
    <row r="13" spans="1:44" s="616" customFormat="1" ht="28.5" customHeight="1">
      <c r="A13" s="1008"/>
      <c r="B13" s="872" t="s">
        <v>432</v>
      </c>
      <c r="C13" s="873"/>
      <c r="D13" s="873"/>
      <c r="E13" s="873"/>
      <c r="F13" s="873"/>
      <c r="G13" s="873"/>
      <c r="H13" s="857"/>
      <c r="I13" s="856"/>
      <c r="J13" s="857"/>
      <c r="K13" s="1644" t="s">
        <v>185</v>
      </c>
      <c r="L13" s="676">
        <v>50000</v>
      </c>
      <c r="M13" s="677">
        <v>14000</v>
      </c>
      <c r="N13" s="678">
        <f>L13+M13</f>
        <v>64000</v>
      </c>
      <c r="O13" s="1345">
        <v>62022</v>
      </c>
      <c r="P13" s="668">
        <v>10397</v>
      </c>
      <c r="Q13" s="671">
        <f>SUM(O13:P13)</f>
        <v>72419</v>
      </c>
      <c r="R13" s="1670"/>
      <c r="S13" s="670">
        <f>L13-O13</f>
        <v>-12022</v>
      </c>
      <c r="T13" s="668">
        <f>M13-P13</f>
        <v>3603</v>
      </c>
      <c r="U13" s="1755">
        <f>S13+T13</f>
        <v>-8419</v>
      </c>
      <c r="V13" s="1133">
        <v>20000</v>
      </c>
      <c r="W13" s="874">
        <v>3603</v>
      </c>
      <c r="X13" s="877">
        <f>SUM(V13:W13)</f>
        <v>23603</v>
      </c>
      <c r="Y13" s="1004">
        <v>5000</v>
      </c>
      <c r="Z13" s="874">
        <v>0</v>
      </c>
      <c r="AA13" s="877">
        <f>SUM(Y13:Z13)</f>
        <v>5000</v>
      </c>
      <c r="AB13" s="668">
        <f>V13+Y13</f>
        <v>25000</v>
      </c>
      <c r="AC13" s="874">
        <f>W13+Z13</f>
        <v>3603</v>
      </c>
      <c r="AD13" s="672">
        <f>SUM(AB13:AC13)</f>
        <v>28603</v>
      </c>
      <c r="AE13" s="725"/>
      <c r="AF13" s="725"/>
      <c r="AG13" s="725"/>
      <c r="AH13" s="725"/>
      <c r="AI13" s="725"/>
      <c r="AJ13" s="725"/>
      <c r="AK13" s="725"/>
      <c r="AL13" s="725"/>
      <c r="AM13" s="725"/>
      <c r="AN13" s="725"/>
      <c r="AO13" s="725"/>
      <c r="AP13" s="725"/>
      <c r="AQ13" s="725"/>
      <c r="AR13" s="725"/>
    </row>
    <row r="14" spans="1:44" s="656" customFormat="1" ht="30.75" customHeight="1">
      <c r="A14" s="878"/>
      <c r="B14" s="647" t="s">
        <v>336</v>
      </c>
      <c r="C14" s="648"/>
      <c r="D14" s="648"/>
      <c r="E14" s="648"/>
      <c r="F14" s="648"/>
      <c r="G14" s="648"/>
      <c r="H14" s="697"/>
      <c r="I14" s="649"/>
      <c r="J14" s="649"/>
      <c r="K14" s="1652"/>
      <c r="L14" s="1010">
        <f aca="true" t="shared" si="2" ref="L14:Q14">SUM(L10:L13)</f>
        <v>61900</v>
      </c>
      <c r="M14" s="760">
        <f t="shared" si="2"/>
        <v>17000</v>
      </c>
      <c r="N14" s="1011">
        <f t="shared" si="2"/>
        <v>78900</v>
      </c>
      <c r="O14" s="1010">
        <f t="shared" si="2"/>
        <v>75052</v>
      </c>
      <c r="P14" s="760">
        <f t="shared" si="2"/>
        <v>13187</v>
      </c>
      <c r="Q14" s="1011">
        <f t="shared" si="2"/>
        <v>88239</v>
      </c>
      <c r="R14" s="1743" t="s">
        <v>345</v>
      </c>
      <c r="S14" s="1010">
        <f aca="true" t="shared" si="3" ref="S14:AD14">SUM(S10:S13)</f>
        <v>-13152</v>
      </c>
      <c r="T14" s="760">
        <f t="shared" si="3"/>
        <v>3813</v>
      </c>
      <c r="U14" s="1012">
        <f t="shared" si="3"/>
        <v>-9339</v>
      </c>
      <c r="V14" s="760">
        <f t="shared" si="3"/>
        <v>21840</v>
      </c>
      <c r="W14" s="760">
        <f t="shared" si="3"/>
        <v>3603</v>
      </c>
      <c r="X14" s="1012">
        <f t="shared" si="3"/>
        <v>25443</v>
      </c>
      <c r="Y14" s="760">
        <f t="shared" si="3"/>
        <v>5000</v>
      </c>
      <c r="Z14" s="760">
        <f t="shared" si="3"/>
        <v>0</v>
      </c>
      <c r="AA14" s="1012">
        <f t="shared" si="3"/>
        <v>5000</v>
      </c>
      <c r="AB14" s="760">
        <f t="shared" si="3"/>
        <v>26840</v>
      </c>
      <c r="AC14" s="760">
        <f t="shared" si="3"/>
        <v>3603</v>
      </c>
      <c r="AD14" s="1013">
        <f t="shared" si="3"/>
        <v>30443</v>
      </c>
      <c r="AE14" s="655"/>
      <c r="AF14" s="655"/>
      <c r="AG14" s="655"/>
      <c r="AH14" s="655"/>
      <c r="AI14" s="655"/>
      <c r="AJ14" s="655"/>
      <c r="AK14" s="655"/>
      <c r="AL14" s="655"/>
      <c r="AM14" s="655"/>
      <c r="AN14" s="655"/>
      <c r="AO14" s="655"/>
      <c r="AP14" s="655"/>
      <c r="AQ14" s="655"/>
      <c r="AR14" s="655"/>
    </row>
    <row r="15" spans="1:30" s="725" customFormat="1" ht="172.5" customHeight="1">
      <c r="A15" s="948" t="s">
        <v>544</v>
      </c>
      <c r="B15" s="835" t="s">
        <v>242</v>
      </c>
      <c r="C15" s="835"/>
      <c r="D15" s="835" t="s">
        <v>176</v>
      </c>
      <c r="E15" s="835" t="s">
        <v>176</v>
      </c>
      <c r="F15" s="835" t="s">
        <v>176</v>
      </c>
      <c r="G15" s="835" t="s">
        <v>176</v>
      </c>
      <c r="H15" s="879" t="s">
        <v>157</v>
      </c>
      <c r="I15" s="838" t="s">
        <v>317</v>
      </c>
      <c r="J15" s="838" t="s">
        <v>183</v>
      </c>
      <c r="K15" s="1643"/>
      <c r="L15" s="632">
        <v>0</v>
      </c>
      <c r="M15" s="633"/>
      <c r="N15" s="634">
        <f t="shared" si="1"/>
        <v>0</v>
      </c>
      <c r="O15" s="841">
        <v>0</v>
      </c>
      <c r="P15" s="839"/>
      <c r="Q15" s="871">
        <f>SUM(O15:P15)</f>
        <v>0</v>
      </c>
      <c r="R15" s="1665"/>
      <c r="S15" s="841">
        <f>L15-O15</f>
        <v>0</v>
      </c>
      <c r="T15" s="842">
        <f>M15-P15</f>
        <v>0</v>
      </c>
      <c r="U15" s="1756">
        <f t="shared" si="0"/>
        <v>0</v>
      </c>
      <c r="V15" s="839"/>
      <c r="W15" s="839"/>
      <c r="X15" s="840"/>
      <c r="Y15" s="839"/>
      <c r="Z15" s="839"/>
      <c r="AA15" s="840"/>
      <c r="AB15" s="839">
        <f aca="true" t="shared" si="4" ref="AB15:AC24">V15+Y15</f>
        <v>0</v>
      </c>
      <c r="AC15" s="842">
        <f t="shared" si="4"/>
        <v>0</v>
      </c>
      <c r="AD15" s="846">
        <f aca="true" t="shared" si="5" ref="AD15:AD20">SUM(AB15:AC15)</f>
        <v>0</v>
      </c>
    </row>
    <row r="16" spans="1:30" s="725" customFormat="1" ht="28.5" customHeight="1">
      <c r="A16" s="1868"/>
      <c r="B16" s="872" t="s">
        <v>436</v>
      </c>
      <c r="C16" s="883"/>
      <c r="D16" s="883"/>
      <c r="E16" s="883"/>
      <c r="F16" s="883"/>
      <c r="G16" s="883"/>
      <c r="H16" s="857"/>
      <c r="I16" s="856"/>
      <c r="J16" s="856"/>
      <c r="K16" s="1644" t="s">
        <v>185</v>
      </c>
      <c r="L16" s="676">
        <v>10000</v>
      </c>
      <c r="M16" s="677">
        <v>2000</v>
      </c>
      <c r="N16" s="678">
        <f t="shared" si="1"/>
        <v>12000</v>
      </c>
      <c r="O16" s="1345">
        <v>9392</v>
      </c>
      <c r="P16" s="668">
        <v>0</v>
      </c>
      <c r="Q16" s="671">
        <f>SUM(O16:P16)</f>
        <v>9392</v>
      </c>
      <c r="R16" s="1670" t="s">
        <v>345</v>
      </c>
      <c r="S16" s="670">
        <f>L16-O16</f>
        <v>608</v>
      </c>
      <c r="T16" s="668">
        <f>M16-P16</f>
        <v>2000</v>
      </c>
      <c r="U16" s="1755">
        <f>S16+T16</f>
        <v>2608</v>
      </c>
      <c r="V16" s="1971">
        <f>648</f>
        <v>648</v>
      </c>
      <c r="W16" s="909"/>
      <c r="X16" s="877">
        <f>SUM(V16:W16)</f>
        <v>648</v>
      </c>
      <c r="Y16" s="668">
        <v>0</v>
      </c>
      <c r="Z16" s="874">
        <v>0</v>
      </c>
      <c r="AA16" s="877">
        <f>SUM(Y16:Z16)</f>
        <v>0</v>
      </c>
      <c r="AB16" s="668">
        <f t="shared" si="4"/>
        <v>648</v>
      </c>
      <c r="AC16" s="874">
        <f t="shared" si="4"/>
        <v>0</v>
      </c>
      <c r="AD16" s="672">
        <f t="shared" si="5"/>
        <v>648</v>
      </c>
    </row>
    <row r="17" spans="1:44" s="616" customFormat="1" ht="123.75" customHeight="1">
      <c r="A17" s="2152" t="s">
        <v>605</v>
      </c>
      <c r="B17" s="888" t="s">
        <v>41</v>
      </c>
      <c r="C17" s="888" t="s">
        <v>176</v>
      </c>
      <c r="D17" s="888"/>
      <c r="E17" s="888"/>
      <c r="F17" s="888"/>
      <c r="G17" s="888"/>
      <c r="H17" s="889" t="s">
        <v>157</v>
      </c>
      <c r="I17" s="891"/>
      <c r="J17" s="891" t="s">
        <v>183</v>
      </c>
      <c r="K17" s="1646"/>
      <c r="L17" s="703"/>
      <c r="M17" s="704"/>
      <c r="N17" s="705"/>
      <c r="O17" s="1866"/>
      <c r="P17" s="708"/>
      <c r="Q17" s="709"/>
      <c r="R17" s="983"/>
      <c r="S17" s="707"/>
      <c r="T17" s="894"/>
      <c r="U17" s="1970"/>
      <c r="V17" s="1972"/>
      <c r="W17" s="708"/>
      <c r="X17" s="893"/>
      <c r="Y17" s="708"/>
      <c r="Z17" s="708"/>
      <c r="AA17" s="893"/>
      <c r="AB17" s="708">
        <f t="shared" si="4"/>
        <v>0</v>
      </c>
      <c r="AC17" s="894">
        <f t="shared" si="4"/>
        <v>0</v>
      </c>
      <c r="AD17" s="1867">
        <f t="shared" si="5"/>
        <v>0</v>
      </c>
      <c r="AE17" s="725"/>
      <c r="AF17" s="725"/>
      <c r="AG17" s="725"/>
      <c r="AH17" s="725"/>
      <c r="AI17" s="725"/>
      <c r="AJ17" s="725"/>
      <c r="AK17" s="725"/>
      <c r="AL17" s="725"/>
      <c r="AM17" s="725"/>
      <c r="AN17" s="725"/>
      <c r="AO17" s="725"/>
      <c r="AP17" s="725"/>
      <c r="AQ17" s="725"/>
      <c r="AR17" s="725"/>
    </row>
    <row r="18" spans="1:44" s="616" customFormat="1" ht="32.25" customHeight="1">
      <c r="A18" s="2153"/>
      <c r="B18" s="872" t="s">
        <v>246</v>
      </c>
      <c r="C18" s="873"/>
      <c r="D18" s="873"/>
      <c r="E18" s="873"/>
      <c r="F18" s="873"/>
      <c r="G18" s="873"/>
      <c r="H18" s="857"/>
      <c r="I18" s="856"/>
      <c r="J18" s="856"/>
      <c r="K18" s="1644" t="s">
        <v>185</v>
      </c>
      <c r="L18" s="676">
        <v>11400</v>
      </c>
      <c r="M18" s="677">
        <v>2000</v>
      </c>
      <c r="N18" s="678">
        <f>L18+M18</f>
        <v>13400</v>
      </c>
      <c r="O18" s="1345">
        <v>6970</v>
      </c>
      <c r="P18" s="668">
        <v>0</v>
      </c>
      <c r="Q18" s="671">
        <f>SUM(O18:P18)</f>
        <v>6970</v>
      </c>
      <c r="R18" s="1670" t="s">
        <v>345</v>
      </c>
      <c r="S18" s="670">
        <f>L18-O18</f>
        <v>4430</v>
      </c>
      <c r="T18" s="668">
        <f>M18-P18</f>
        <v>2000</v>
      </c>
      <c r="U18" s="1755">
        <f>S18+T18</f>
        <v>6430</v>
      </c>
      <c r="V18" s="1971">
        <f>3880</f>
        <v>3880</v>
      </c>
      <c r="X18" s="877">
        <f>SUM(V18:W18)</f>
        <v>3880</v>
      </c>
      <c r="Y18" s="668">
        <v>0</v>
      </c>
      <c r="Z18" s="874">
        <v>0</v>
      </c>
      <c r="AA18" s="877">
        <f>SUM(Y18:Z18)</f>
        <v>0</v>
      </c>
      <c r="AB18" s="668">
        <f t="shared" si="4"/>
        <v>3880</v>
      </c>
      <c r="AC18" s="874">
        <f t="shared" si="4"/>
        <v>0</v>
      </c>
      <c r="AD18" s="672">
        <f t="shared" si="5"/>
        <v>3880</v>
      </c>
      <c r="AE18" s="725"/>
      <c r="AF18" s="725"/>
      <c r="AG18" s="725"/>
      <c r="AH18" s="725"/>
      <c r="AI18" s="725"/>
      <c r="AJ18" s="725"/>
      <c r="AK18" s="725"/>
      <c r="AL18" s="725"/>
      <c r="AM18" s="725"/>
      <c r="AN18" s="725"/>
      <c r="AO18" s="725"/>
      <c r="AP18" s="725"/>
      <c r="AQ18" s="725"/>
      <c r="AR18" s="725"/>
    </row>
    <row r="19" spans="1:44" s="616" customFormat="1" ht="144.75" customHeight="1">
      <c r="A19" s="2153"/>
      <c r="B19" s="835" t="s">
        <v>43</v>
      </c>
      <c r="C19" s="835"/>
      <c r="D19" s="835" t="s">
        <v>176</v>
      </c>
      <c r="E19" s="835" t="s">
        <v>176</v>
      </c>
      <c r="F19" s="835" t="s">
        <v>176</v>
      </c>
      <c r="G19" s="835"/>
      <c r="H19" s="879" t="s">
        <v>157</v>
      </c>
      <c r="I19" s="838" t="s">
        <v>349</v>
      </c>
      <c r="J19" s="838" t="s">
        <v>183</v>
      </c>
      <c r="K19" s="1643"/>
      <c r="L19" s="632"/>
      <c r="M19" s="633"/>
      <c r="N19" s="634">
        <f t="shared" si="1"/>
        <v>0</v>
      </c>
      <c r="O19" s="1744"/>
      <c r="P19" s="839"/>
      <c r="Q19" s="871">
        <f>O19+P19</f>
        <v>0</v>
      </c>
      <c r="R19" s="1665"/>
      <c r="S19" s="841">
        <f aca="true" t="shared" si="6" ref="S19:T24">L19-O19</f>
        <v>0</v>
      </c>
      <c r="T19" s="842">
        <f t="shared" si="6"/>
        <v>0</v>
      </c>
      <c r="U19" s="1756">
        <f t="shared" si="0"/>
        <v>0</v>
      </c>
      <c r="V19" s="1973"/>
      <c r="W19" s="839"/>
      <c r="X19" s="840"/>
      <c r="Y19" s="839"/>
      <c r="Z19" s="839"/>
      <c r="AA19" s="840"/>
      <c r="AB19" s="839">
        <f t="shared" si="4"/>
        <v>0</v>
      </c>
      <c r="AC19" s="842">
        <f t="shared" si="4"/>
        <v>0</v>
      </c>
      <c r="AD19" s="846">
        <f t="shared" si="5"/>
        <v>0</v>
      </c>
      <c r="AE19" s="725"/>
      <c r="AF19" s="725"/>
      <c r="AG19" s="725"/>
      <c r="AH19" s="725"/>
      <c r="AI19" s="725"/>
      <c r="AJ19" s="725"/>
      <c r="AK19" s="725"/>
      <c r="AL19" s="725"/>
      <c r="AM19" s="725"/>
      <c r="AN19" s="725"/>
      <c r="AO19" s="725"/>
      <c r="AP19" s="725"/>
      <c r="AQ19" s="725"/>
      <c r="AR19" s="725"/>
    </row>
    <row r="20" spans="1:44" s="616" customFormat="1" ht="32.25" customHeight="1">
      <c r="A20" s="2153"/>
      <c r="B20" s="872" t="s">
        <v>438</v>
      </c>
      <c r="C20" s="873"/>
      <c r="D20" s="873"/>
      <c r="E20" s="873"/>
      <c r="F20" s="873"/>
      <c r="G20" s="873"/>
      <c r="H20" s="857"/>
      <c r="I20" s="856"/>
      <c r="J20" s="856"/>
      <c r="K20" s="1644" t="s">
        <v>350</v>
      </c>
      <c r="L20" s="676">
        <v>44700</v>
      </c>
      <c r="M20" s="677">
        <v>2000</v>
      </c>
      <c r="N20" s="678">
        <v>46700</v>
      </c>
      <c r="O20" s="1314">
        <v>38941</v>
      </c>
      <c r="P20" s="668">
        <v>0</v>
      </c>
      <c r="Q20" s="671">
        <f>SUM(O20:P20)</f>
        <v>38941</v>
      </c>
      <c r="R20" s="1667" t="s">
        <v>347</v>
      </c>
      <c r="S20" s="670">
        <f>L20-O20</f>
        <v>5759</v>
      </c>
      <c r="T20" s="668">
        <f>M20-P20</f>
        <v>2000</v>
      </c>
      <c r="U20" s="1755">
        <f>S20+T20</f>
        <v>7759</v>
      </c>
      <c r="V20" s="1971">
        <f>15550</f>
        <v>15550</v>
      </c>
      <c r="W20" s="1963">
        <f>10000-3213-2118</f>
        <v>4669</v>
      </c>
      <c r="X20" s="877">
        <f>SUM(V20:W20)</f>
        <v>20219</v>
      </c>
      <c r="Y20" s="668">
        <v>0</v>
      </c>
      <c r="Z20" s="874">
        <v>0</v>
      </c>
      <c r="AA20" s="877">
        <f>SUM(Y20:Z20)</f>
        <v>0</v>
      </c>
      <c r="AB20" s="668">
        <f t="shared" si="4"/>
        <v>15550</v>
      </c>
      <c r="AC20" s="874">
        <f t="shared" si="4"/>
        <v>4669</v>
      </c>
      <c r="AD20" s="672">
        <f t="shared" si="5"/>
        <v>20219</v>
      </c>
      <c r="AE20" s="725"/>
      <c r="AF20" s="725"/>
      <c r="AG20" s="725"/>
      <c r="AH20" s="725"/>
      <c r="AI20" s="725"/>
      <c r="AJ20" s="725"/>
      <c r="AK20" s="725"/>
      <c r="AL20" s="725"/>
      <c r="AM20" s="725"/>
      <c r="AN20" s="725"/>
      <c r="AO20" s="725"/>
      <c r="AP20" s="725"/>
      <c r="AQ20" s="725"/>
      <c r="AR20" s="725"/>
    </row>
    <row r="21" spans="1:44" s="616" customFormat="1" ht="96.75" customHeight="1">
      <c r="A21" s="2153"/>
      <c r="B21" s="1139" t="s">
        <v>49</v>
      </c>
      <c r="C21" s="886"/>
      <c r="D21" s="886"/>
      <c r="E21" s="886"/>
      <c r="F21" s="886"/>
      <c r="G21" s="886"/>
      <c r="H21" s="1138"/>
      <c r="I21" s="1139"/>
      <c r="J21" s="1139" t="s">
        <v>351</v>
      </c>
      <c r="K21" s="1741" t="s">
        <v>353</v>
      </c>
      <c r="L21" s="689">
        <v>0</v>
      </c>
      <c r="M21" s="690">
        <v>22252</v>
      </c>
      <c r="N21" s="691">
        <f>SUM(L21:M21)</f>
        <v>22252</v>
      </c>
      <c r="O21" s="689">
        <v>0</v>
      </c>
      <c r="P21" s="1676">
        <v>50000</v>
      </c>
      <c r="Q21" s="671">
        <f>SUM(O21:P21)</f>
        <v>50000</v>
      </c>
      <c r="R21" s="1672"/>
      <c r="S21" s="670">
        <f t="shared" si="6"/>
        <v>0</v>
      </c>
      <c r="T21" s="668">
        <f t="shared" si="6"/>
        <v>-27748</v>
      </c>
      <c r="U21" s="1755">
        <f>S21+T21</f>
        <v>-27748</v>
      </c>
      <c r="V21" s="693">
        <v>0</v>
      </c>
      <c r="W21" s="885">
        <v>0</v>
      </c>
      <c r="X21" s="877">
        <f>SUM(V21:W21)</f>
        <v>0</v>
      </c>
      <c r="Y21" s="693">
        <v>0</v>
      </c>
      <c r="Z21" s="885">
        <v>0</v>
      </c>
      <c r="AA21" s="877">
        <f>SUM(Y21:Z21)</f>
        <v>0</v>
      </c>
      <c r="AB21" s="668">
        <v>0</v>
      </c>
      <c r="AC21" s="874">
        <f t="shared" si="4"/>
        <v>0</v>
      </c>
      <c r="AD21" s="672">
        <f>SUM(AB21:AC21)</f>
        <v>0</v>
      </c>
      <c r="AE21" s="725"/>
      <c r="AF21" s="725"/>
      <c r="AG21" s="725"/>
      <c r="AH21" s="725"/>
      <c r="AI21" s="725"/>
      <c r="AJ21" s="725"/>
      <c r="AK21" s="725"/>
      <c r="AL21" s="725"/>
      <c r="AM21" s="725"/>
      <c r="AN21" s="725"/>
      <c r="AO21" s="725"/>
      <c r="AP21" s="725"/>
      <c r="AQ21" s="725"/>
      <c r="AR21" s="725"/>
    </row>
    <row r="22" spans="1:44" s="616" customFormat="1" ht="72.75" customHeight="1">
      <c r="A22" s="2153"/>
      <c r="B22" s="1139" t="s">
        <v>20</v>
      </c>
      <c r="C22" s="886"/>
      <c r="D22" s="886"/>
      <c r="E22" s="886"/>
      <c r="F22" s="886"/>
      <c r="G22" s="886"/>
      <c r="H22" s="1138"/>
      <c r="I22" s="1139"/>
      <c r="J22" s="1139" t="s">
        <v>183</v>
      </c>
      <c r="K22" s="1741" t="s">
        <v>353</v>
      </c>
      <c r="L22" s="689">
        <v>0</v>
      </c>
      <c r="M22" s="690">
        <v>8953</v>
      </c>
      <c r="N22" s="691">
        <f>SUM(L22:M22)</f>
        <v>8953</v>
      </c>
      <c r="O22" s="689">
        <v>0</v>
      </c>
      <c r="P22" s="690">
        <v>10011.97</v>
      </c>
      <c r="Q22" s="696">
        <f>SUM(O22:P22)</f>
        <v>10011.97</v>
      </c>
      <c r="R22" s="1669" t="s">
        <v>345</v>
      </c>
      <c r="S22" s="670">
        <f t="shared" si="6"/>
        <v>0</v>
      </c>
      <c r="T22" s="885">
        <f t="shared" si="6"/>
        <v>-1058.9699999999993</v>
      </c>
      <c r="U22" s="1755">
        <f>SUM(S22:T22)</f>
        <v>-1058.9699999999993</v>
      </c>
      <c r="V22" s="693">
        <v>0</v>
      </c>
      <c r="W22" s="885">
        <v>0</v>
      </c>
      <c r="X22" s="877">
        <f>SUM(V22:W22)</f>
        <v>0</v>
      </c>
      <c r="Y22" s="693">
        <v>0</v>
      </c>
      <c r="Z22" s="885">
        <v>0</v>
      </c>
      <c r="AA22" s="877">
        <f>SUM(Y22:Z22)</f>
        <v>0</v>
      </c>
      <c r="AB22" s="693">
        <f t="shared" si="4"/>
        <v>0</v>
      </c>
      <c r="AC22" s="874">
        <f t="shared" si="4"/>
        <v>0</v>
      </c>
      <c r="AD22" s="672">
        <f>SUM(AB22:AC22)</f>
        <v>0</v>
      </c>
      <c r="AE22" s="725"/>
      <c r="AF22" s="725"/>
      <c r="AG22" s="725"/>
      <c r="AH22" s="725"/>
      <c r="AI22" s="725"/>
      <c r="AJ22" s="725"/>
      <c r="AK22" s="725"/>
      <c r="AL22" s="725"/>
      <c r="AM22" s="725"/>
      <c r="AN22" s="725"/>
      <c r="AO22" s="725"/>
      <c r="AP22" s="725"/>
      <c r="AQ22" s="725"/>
      <c r="AR22" s="725"/>
    </row>
    <row r="23" spans="1:44" s="616" customFormat="1" ht="106.5" customHeight="1">
      <c r="A23" s="2153"/>
      <c r="B23" s="1139" t="s">
        <v>50</v>
      </c>
      <c r="C23" s="886"/>
      <c r="D23" s="886"/>
      <c r="E23" s="886"/>
      <c r="F23" s="886"/>
      <c r="G23" s="886"/>
      <c r="H23" s="1138"/>
      <c r="I23" s="1139"/>
      <c r="J23" s="1139" t="s">
        <v>354</v>
      </c>
      <c r="K23" s="1741" t="s">
        <v>95</v>
      </c>
      <c r="L23" s="689"/>
      <c r="M23" s="690">
        <v>10763</v>
      </c>
      <c r="N23" s="691">
        <f>SUM(L23:M23)</f>
        <v>10763</v>
      </c>
      <c r="O23" s="689">
        <v>0</v>
      </c>
      <c r="P23" s="690">
        <v>10763</v>
      </c>
      <c r="Q23" s="696">
        <f>SUM(O23:P23)</f>
        <v>10763</v>
      </c>
      <c r="R23" s="1672"/>
      <c r="S23" s="670">
        <f t="shared" si="6"/>
        <v>0</v>
      </c>
      <c r="T23" s="885">
        <f t="shared" si="6"/>
        <v>0</v>
      </c>
      <c r="U23" s="1755">
        <f>SUM(S23:T23)</f>
        <v>0</v>
      </c>
      <c r="V23" s="693">
        <v>0</v>
      </c>
      <c r="W23" s="885">
        <v>0</v>
      </c>
      <c r="X23" s="877">
        <f>SUM(V23:W23)</f>
        <v>0</v>
      </c>
      <c r="Y23" s="693">
        <v>0</v>
      </c>
      <c r="Z23" s="885">
        <v>0</v>
      </c>
      <c r="AA23" s="877">
        <f>SUM(Y23:Z23)</f>
        <v>0</v>
      </c>
      <c r="AB23" s="668">
        <f t="shared" si="4"/>
        <v>0</v>
      </c>
      <c r="AC23" s="874">
        <f t="shared" si="4"/>
        <v>0</v>
      </c>
      <c r="AD23" s="672">
        <f>SUM(AB23:AC23)</f>
        <v>0</v>
      </c>
      <c r="AE23" s="725"/>
      <c r="AF23" s="725"/>
      <c r="AG23" s="725"/>
      <c r="AH23" s="725"/>
      <c r="AI23" s="725"/>
      <c r="AJ23" s="725"/>
      <c r="AK23" s="725"/>
      <c r="AL23" s="725"/>
      <c r="AM23" s="725"/>
      <c r="AN23" s="725"/>
      <c r="AO23" s="725"/>
      <c r="AP23" s="725"/>
      <c r="AQ23" s="725"/>
      <c r="AR23" s="725"/>
    </row>
    <row r="24" spans="1:44" s="616" customFormat="1" ht="102.75" customHeight="1">
      <c r="A24" s="2103"/>
      <c r="B24" s="838" t="s">
        <v>51</v>
      </c>
      <c r="C24" s="868" t="s">
        <v>176</v>
      </c>
      <c r="D24" s="868" t="s">
        <v>176</v>
      </c>
      <c r="E24" s="1015"/>
      <c r="F24" s="1015"/>
      <c r="G24" s="1015"/>
      <c r="H24" s="836"/>
      <c r="I24" s="838" t="s">
        <v>91</v>
      </c>
      <c r="J24" s="838" t="s">
        <v>354</v>
      </c>
      <c r="K24" s="1643" t="s">
        <v>154</v>
      </c>
      <c r="L24" s="632">
        <v>0</v>
      </c>
      <c r="M24" s="633">
        <v>36605</v>
      </c>
      <c r="N24" s="634">
        <f>SUM(L24:M24)</f>
        <v>36605</v>
      </c>
      <c r="O24" s="632">
        <v>0</v>
      </c>
      <c r="P24" s="633">
        <v>8573</v>
      </c>
      <c r="Q24" s="696">
        <f>SUM(O24:P24)</f>
        <v>8573</v>
      </c>
      <c r="R24" s="1665"/>
      <c r="S24" s="670">
        <f t="shared" si="6"/>
        <v>0</v>
      </c>
      <c r="T24" s="885">
        <f t="shared" si="6"/>
        <v>28032</v>
      </c>
      <c r="U24" s="1755">
        <f>SUM(S24:T24)</f>
        <v>28032</v>
      </c>
      <c r="V24" s="839">
        <v>0</v>
      </c>
      <c r="W24" s="842">
        <v>28032</v>
      </c>
      <c r="X24" s="877">
        <f>SUM(V24:W24)</f>
        <v>28032</v>
      </c>
      <c r="Y24" s="839">
        <v>0</v>
      </c>
      <c r="Z24" s="842">
        <v>0</v>
      </c>
      <c r="AA24" s="877">
        <f>SUM(Y24:Z24)</f>
        <v>0</v>
      </c>
      <c r="AB24" s="839">
        <f t="shared" si="4"/>
        <v>0</v>
      </c>
      <c r="AC24" s="842">
        <f t="shared" si="4"/>
        <v>28032</v>
      </c>
      <c r="AD24" s="672">
        <f>SUM(AB24:AC24)</f>
        <v>28032</v>
      </c>
      <c r="AE24" s="725"/>
      <c r="AF24" s="725"/>
      <c r="AG24" s="725"/>
      <c r="AH24" s="725"/>
      <c r="AI24" s="725"/>
      <c r="AJ24" s="725"/>
      <c r="AK24" s="725"/>
      <c r="AL24" s="725"/>
      <c r="AM24" s="725"/>
      <c r="AN24" s="725"/>
      <c r="AO24" s="725"/>
      <c r="AP24" s="725"/>
      <c r="AQ24" s="725"/>
      <c r="AR24" s="725"/>
    </row>
    <row r="25" spans="1:44" s="616" customFormat="1" ht="31.5" customHeight="1" thickBot="1">
      <c r="A25" s="1016"/>
      <c r="B25" s="719" t="s">
        <v>338</v>
      </c>
      <c r="C25" s="720"/>
      <c r="D25" s="720"/>
      <c r="E25" s="720"/>
      <c r="F25" s="720"/>
      <c r="G25" s="720"/>
      <c r="H25" s="722"/>
      <c r="I25" s="721"/>
      <c r="J25" s="721"/>
      <c r="K25" s="1742"/>
      <c r="L25" s="913">
        <f aca="true" t="shared" si="7" ref="L25:Q25">SUM(L15:L24)</f>
        <v>66100</v>
      </c>
      <c r="M25" s="914">
        <f t="shared" si="7"/>
        <v>84573</v>
      </c>
      <c r="N25" s="915">
        <f t="shared" si="7"/>
        <v>150673</v>
      </c>
      <c r="O25" s="913">
        <f t="shared" si="7"/>
        <v>55303</v>
      </c>
      <c r="P25" s="914">
        <f t="shared" si="7"/>
        <v>79347.97</v>
      </c>
      <c r="Q25" s="915">
        <f t="shared" si="7"/>
        <v>134650.97</v>
      </c>
      <c r="R25" s="1671"/>
      <c r="S25" s="913">
        <f aca="true" t="shared" si="8" ref="S25:AD25">SUM(S15:S24)</f>
        <v>10797</v>
      </c>
      <c r="T25" s="914">
        <f t="shared" si="8"/>
        <v>5225.029999999999</v>
      </c>
      <c r="U25" s="1017">
        <f t="shared" si="8"/>
        <v>16022.03</v>
      </c>
      <c r="V25" s="914">
        <f t="shared" si="8"/>
        <v>20078</v>
      </c>
      <c r="W25" s="914">
        <f t="shared" si="8"/>
        <v>32701</v>
      </c>
      <c r="X25" s="1017">
        <f t="shared" si="8"/>
        <v>52779</v>
      </c>
      <c r="Y25" s="914">
        <f t="shared" si="8"/>
        <v>0</v>
      </c>
      <c r="Z25" s="914">
        <f t="shared" si="8"/>
        <v>0</v>
      </c>
      <c r="AA25" s="1017">
        <f t="shared" si="8"/>
        <v>0</v>
      </c>
      <c r="AB25" s="914">
        <f t="shared" si="8"/>
        <v>20078</v>
      </c>
      <c r="AC25" s="914">
        <f t="shared" si="8"/>
        <v>32701</v>
      </c>
      <c r="AD25" s="1018">
        <f t="shared" si="8"/>
        <v>52779</v>
      </c>
      <c r="AE25" s="725"/>
      <c r="AF25" s="725"/>
      <c r="AG25" s="725"/>
      <c r="AH25" s="725"/>
      <c r="AI25" s="725"/>
      <c r="AJ25" s="725"/>
      <c r="AK25" s="725"/>
      <c r="AL25" s="725"/>
      <c r="AM25" s="725"/>
      <c r="AN25" s="725"/>
      <c r="AO25" s="725"/>
      <c r="AP25" s="725"/>
      <c r="AQ25" s="725"/>
      <c r="AR25" s="725"/>
    </row>
    <row r="26" spans="1:44" s="616" customFormat="1" ht="73.5" customHeight="1" thickTop="1">
      <c r="A26" s="2160" t="s">
        <v>96</v>
      </c>
      <c r="B26" s="2124"/>
      <c r="C26" s="2124"/>
      <c r="D26" s="2124"/>
      <c r="E26" s="2124"/>
      <c r="F26" s="2124"/>
      <c r="G26" s="2124"/>
      <c r="H26" s="2124"/>
      <c r="I26" s="2124"/>
      <c r="J26" s="2124"/>
      <c r="K26" s="2124"/>
      <c r="L26" s="2161"/>
      <c r="M26" s="2161"/>
      <c r="N26" s="2161"/>
      <c r="O26" s="2161"/>
      <c r="P26" s="2161"/>
      <c r="Q26" s="2161"/>
      <c r="R26" s="2161"/>
      <c r="S26" s="2161"/>
      <c r="T26" s="2161"/>
      <c r="U26" s="2161"/>
      <c r="V26" s="2161"/>
      <c r="W26" s="2161"/>
      <c r="X26" s="2161"/>
      <c r="Y26" s="2161"/>
      <c r="Z26" s="2161"/>
      <c r="AA26" s="2161"/>
      <c r="AB26" s="2161"/>
      <c r="AC26" s="2161"/>
      <c r="AD26" s="2162"/>
      <c r="AE26" s="725"/>
      <c r="AF26" s="725"/>
      <c r="AG26" s="725"/>
      <c r="AH26" s="725"/>
      <c r="AI26" s="725"/>
      <c r="AJ26" s="725"/>
      <c r="AK26" s="725"/>
      <c r="AL26" s="725"/>
      <c r="AM26" s="725"/>
      <c r="AN26" s="725"/>
      <c r="AO26" s="725"/>
      <c r="AP26" s="725"/>
      <c r="AQ26" s="725"/>
      <c r="AR26" s="725"/>
    </row>
    <row r="27" spans="1:44" s="616" customFormat="1" ht="126.75" customHeight="1">
      <c r="A27" s="2083" t="s">
        <v>606</v>
      </c>
      <c r="B27" s="838" t="s">
        <v>54</v>
      </c>
      <c r="C27" s="1015"/>
      <c r="D27" s="1015"/>
      <c r="E27" s="1015"/>
      <c r="F27" s="1015"/>
      <c r="G27" s="1015"/>
      <c r="H27" s="836"/>
      <c r="I27" s="838"/>
      <c r="J27" s="838" t="s">
        <v>182</v>
      </c>
      <c r="K27" s="1658"/>
      <c r="L27" s="632"/>
      <c r="M27" s="633"/>
      <c r="N27" s="683">
        <f>SUM(L27:M27)</f>
        <v>0</v>
      </c>
      <c r="O27" s="1019"/>
      <c r="P27" s="682"/>
      <c r="Q27" s="1020"/>
      <c r="R27" s="1021"/>
      <c r="S27" s="1019"/>
      <c r="T27" s="682"/>
      <c r="U27" s="1020"/>
      <c r="V27" s="681"/>
      <c r="W27" s="682"/>
      <c r="X27" s="683"/>
      <c r="Y27" s="1019"/>
      <c r="Z27" s="682"/>
      <c r="AA27" s="683"/>
      <c r="AB27" s="632"/>
      <c r="AC27" s="633"/>
      <c r="AD27" s="965"/>
      <c r="AE27" s="725"/>
      <c r="AF27" s="725"/>
      <c r="AG27" s="725"/>
      <c r="AH27" s="725"/>
      <c r="AI27" s="725"/>
      <c r="AJ27" s="725"/>
      <c r="AK27" s="725"/>
      <c r="AL27" s="725"/>
      <c r="AM27" s="725"/>
      <c r="AN27" s="725"/>
      <c r="AO27" s="725"/>
      <c r="AP27" s="725"/>
      <c r="AQ27" s="725"/>
      <c r="AR27" s="725"/>
    </row>
    <row r="28" spans="1:44" s="616" customFormat="1" ht="39" customHeight="1">
      <c r="A28" s="2084"/>
      <c r="B28" s="872" t="s">
        <v>25</v>
      </c>
      <c r="C28" s="873"/>
      <c r="D28" s="873"/>
      <c r="E28" s="873"/>
      <c r="F28" s="873"/>
      <c r="G28" s="873"/>
      <c r="H28" s="857"/>
      <c r="I28" s="856"/>
      <c r="J28" s="856"/>
      <c r="K28" s="1657"/>
      <c r="L28" s="676">
        <v>5588</v>
      </c>
      <c r="M28" s="677">
        <v>2065</v>
      </c>
      <c r="N28" s="678">
        <f>SUM(L28:M28)</f>
        <v>7653</v>
      </c>
      <c r="O28" s="1132">
        <v>5588</v>
      </c>
      <c r="P28" s="677">
        <v>2065</v>
      </c>
      <c r="Q28" s="680">
        <f>SUM(O28:P28)</f>
        <v>7653</v>
      </c>
      <c r="R28" s="858" t="s">
        <v>347</v>
      </c>
      <c r="S28" s="667">
        <f>L28-O28</f>
        <v>0</v>
      </c>
      <c r="T28" s="668">
        <f>M28-P28</f>
        <v>0</v>
      </c>
      <c r="U28" s="1755">
        <f>S28+T28</f>
        <v>0</v>
      </c>
      <c r="V28" s="640">
        <v>0</v>
      </c>
      <c r="W28" s="641">
        <v>0</v>
      </c>
      <c r="X28" s="642">
        <f>SUM(V28:W28)</f>
        <v>0</v>
      </c>
      <c r="Y28" s="667">
        <v>0</v>
      </c>
      <c r="Z28" s="874">
        <v>0</v>
      </c>
      <c r="AA28" s="642">
        <f>SUM(Y28:Z28)</f>
        <v>0</v>
      </c>
      <c r="AB28" s="670">
        <f>V28+Y28</f>
        <v>0</v>
      </c>
      <c r="AC28" s="874">
        <f>W28+Z28</f>
        <v>0</v>
      </c>
      <c r="AD28" s="1022">
        <f>SUM(AB28:AC28)</f>
        <v>0</v>
      </c>
      <c r="AE28" s="725"/>
      <c r="AF28" s="725"/>
      <c r="AG28" s="725"/>
      <c r="AH28" s="725"/>
      <c r="AI28" s="725"/>
      <c r="AJ28" s="725"/>
      <c r="AK28" s="725"/>
      <c r="AL28" s="725"/>
      <c r="AM28" s="725"/>
      <c r="AN28" s="725"/>
      <c r="AO28" s="725"/>
      <c r="AP28" s="725"/>
      <c r="AQ28" s="725"/>
      <c r="AR28" s="725"/>
    </row>
    <row r="29" spans="1:44" s="616" customFormat="1" ht="24.75" customHeight="1">
      <c r="A29" s="2084"/>
      <c r="B29" s="719" t="s">
        <v>515</v>
      </c>
      <c r="C29" s="1195"/>
      <c r="D29" s="1195"/>
      <c r="E29" s="1195"/>
      <c r="F29" s="1195"/>
      <c r="G29" s="1195"/>
      <c r="H29" s="1196"/>
      <c r="I29" s="1197"/>
      <c r="J29" s="1197"/>
      <c r="K29" s="1745"/>
      <c r="L29" s="1198">
        <f>SUM(L28)</f>
        <v>5588</v>
      </c>
      <c r="M29" s="1199">
        <f aca="true" t="shared" si="9" ref="M29:AD29">SUM(M28)</f>
        <v>2065</v>
      </c>
      <c r="N29" s="1200">
        <f t="shared" si="9"/>
        <v>7653</v>
      </c>
      <c r="O29" s="1747">
        <f t="shared" si="9"/>
        <v>5588</v>
      </c>
      <c r="P29" s="1199">
        <f t="shared" si="9"/>
        <v>2065</v>
      </c>
      <c r="Q29" s="1201">
        <f t="shared" si="9"/>
        <v>7653</v>
      </c>
      <c r="R29" s="1751">
        <f t="shared" si="9"/>
        <v>0</v>
      </c>
      <c r="S29" s="1747">
        <f t="shared" si="9"/>
        <v>0</v>
      </c>
      <c r="T29" s="1199">
        <f t="shared" si="9"/>
        <v>0</v>
      </c>
      <c r="U29" s="1201">
        <f t="shared" si="9"/>
        <v>0</v>
      </c>
      <c r="V29" s="1198">
        <f t="shared" si="9"/>
        <v>0</v>
      </c>
      <c r="W29" s="1199">
        <f t="shared" si="9"/>
        <v>0</v>
      </c>
      <c r="X29" s="1200">
        <f t="shared" si="9"/>
        <v>0</v>
      </c>
      <c r="Y29" s="1747">
        <f t="shared" si="9"/>
        <v>0</v>
      </c>
      <c r="Z29" s="1199">
        <f t="shared" si="9"/>
        <v>0</v>
      </c>
      <c r="AA29" s="1200">
        <f t="shared" si="9"/>
        <v>0</v>
      </c>
      <c r="AB29" s="1198">
        <f t="shared" si="9"/>
        <v>0</v>
      </c>
      <c r="AC29" s="1199">
        <f t="shared" si="9"/>
        <v>0</v>
      </c>
      <c r="AD29" s="1677">
        <f t="shared" si="9"/>
        <v>0</v>
      </c>
      <c r="AE29" s="725"/>
      <c r="AF29" s="725"/>
      <c r="AG29" s="725"/>
      <c r="AH29" s="725"/>
      <c r="AI29" s="725"/>
      <c r="AJ29" s="725"/>
      <c r="AK29" s="725"/>
      <c r="AL29" s="725"/>
      <c r="AM29" s="725"/>
      <c r="AN29" s="725"/>
      <c r="AO29" s="725"/>
      <c r="AP29" s="725"/>
      <c r="AQ29" s="725"/>
      <c r="AR29" s="725"/>
    </row>
    <row r="30" spans="1:44" s="616" customFormat="1" ht="114" customHeight="1">
      <c r="A30" s="2084"/>
      <c r="B30" s="838" t="s">
        <v>58</v>
      </c>
      <c r="C30" s="1015"/>
      <c r="D30" s="1015"/>
      <c r="E30" s="1015"/>
      <c r="F30" s="1015"/>
      <c r="G30" s="1015"/>
      <c r="H30" s="836"/>
      <c r="I30" s="838"/>
      <c r="J30" s="838" t="s">
        <v>183</v>
      </c>
      <c r="K30" s="1643"/>
      <c r="L30" s="632"/>
      <c r="M30" s="633"/>
      <c r="N30" s="634"/>
      <c r="O30" s="752"/>
      <c r="P30" s="633"/>
      <c r="Q30" s="935"/>
      <c r="R30" s="899"/>
      <c r="S30" s="869"/>
      <c r="T30" s="842"/>
      <c r="U30" s="1756"/>
      <c r="V30" s="841"/>
      <c r="W30" s="842"/>
      <c r="X30" s="844"/>
      <c r="Y30" s="869"/>
      <c r="Z30" s="842"/>
      <c r="AA30" s="844"/>
      <c r="AB30" s="841"/>
      <c r="AC30" s="842"/>
      <c r="AD30" s="846"/>
      <c r="AE30" s="725"/>
      <c r="AF30" s="725"/>
      <c r="AG30" s="725"/>
      <c r="AH30" s="725"/>
      <c r="AI30" s="725"/>
      <c r="AJ30" s="725"/>
      <c r="AK30" s="725"/>
      <c r="AL30" s="725"/>
      <c r="AM30" s="725"/>
      <c r="AN30" s="725"/>
      <c r="AO30" s="725"/>
      <c r="AP30" s="725"/>
      <c r="AQ30" s="725"/>
      <c r="AR30" s="725"/>
    </row>
    <row r="31" spans="1:44" s="616" customFormat="1" ht="252.75" customHeight="1">
      <c r="A31" s="2144"/>
      <c r="B31" s="872" t="s">
        <v>12</v>
      </c>
      <c r="C31" s="873"/>
      <c r="D31" s="873"/>
      <c r="E31" s="873"/>
      <c r="F31" s="873"/>
      <c r="G31" s="873"/>
      <c r="H31" s="857"/>
      <c r="I31" s="856"/>
      <c r="J31" s="856"/>
      <c r="K31" s="1657"/>
      <c r="L31" s="640">
        <v>0</v>
      </c>
      <c r="M31" s="677">
        <v>7730</v>
      </c>
      <c r="N31" s="678">
        <f>SUM(L31:M31)</f>
        <v>7730</v>
      </c>
      <c r="O31" s="679">
        <v>0</v>
      </c>
      <c r="P31" s="677">
        <v>7696.25</v>
      </c>
      <c r="Q31" s="680">
        <f>SUM(O31:P31)</f>
        <v>7696.25</v>
      </c>
      <c r="R31" s="1005" t="s">
        <v>345</v>
      </c>
      <c r="S31" s="667">
        <f>L31-O31</f>
        <v>0</v>
      </c>
      <c r="T31" s="668">
        <f>M31-P31</f>
        <v>33.75</v>
      </c>
      <c r="U31" s="1755">
        <f>S31+T31</f>
        <v>33.75</v>
      </c>
      <c r="V31" s="640">
        <v>0</v>
      </c>
      <c r="W31" s="1024">
        <f>7730+34-7764</f>
        <v>0</v>
      </c>
      <c r="X31" s="642">
        <f>SUM(V31:W31)</f>
        <v>0</v>
      </c>
      <c r="Y31" s="643">
        <v>0</v>
      </c>
      <c r="Z31" s="641">
        <v>0</v>
      </c>
      <c r="AA31" s="642">
        <f>SUM(Y31:Z31)</f>
        <v>0</v>
      </c>
      <c r="AB31" s="670">
        <f>V31+Y31</f>
        <v>0</v>
      </c>
      <c r="AC31" s="874">
        <f>W31+Z31</f>
        <v>0</v>
      </c>
      <c r="AD31" s="1022">
        <f>SUM(AB31:AC31)</f>
        <v>0</v>
      </c>
      <c r="AE31" s="725"/>
      <c r="AF31" s="725"/>
      <c r="AG31" s="725"/>
      <c r="AH31" s="725"/>
      <c r="AI31" s="725"/>
      <c r="AJ31" s="725"/>
      <c r="AK31" s="725"/>
      <c r="AL31" s="725"/>
      <c r="AM31" s="725"/>
      <c r="AN31" s="725"/>
      <c r="AO31" s="725"/>
      <c r="AP31" s="725"/>
      <c r="AQ31" s="725"/>
      <c r="AR31" s="725"/>
    </row>
    <row r="32" spans="1:44" s="616" customFormat="1" ht="37.5" customHeight="1">
      <c r="A32" s="1025"/>
      <c r="B32" s="719" t="s">
        <v>526</v>
      </c>
      <c r="C32" s="1202"/>
      <c r="D32" s="1202"/>
      <c r="E32" s="1202"/>
      <c r="F32" s="1202"/>
      <c r="G32" s="1202"/>
      <c r="H32" s="1203"/>
      <c r="I32" s="1204"/>
      <c r="J32" s="1204"/>
      <c r="K32" s="1746"/>
      <c r="L32" s="1205">
        <f>SUM(L30:L31)</f>
        <v>0</v>
      </c>
      <c r="M32" s="1678">
        <f aca="true" t="shared" si="10" ref="M32:AD32">SUM(M30:M31)</f>
        <v>7730</v>
      </c>
      <c r="N32" s="1749">
        <f t="shared" si="10"/>
        <v>7730</v>
      </c>
      <c r="O32" s="1748">
        <f t="shared" si="10"/>
        <v>0</v>
      </c>
      <c r="P32" s="1678">
        <f t="shared" si="10"/>
        <v>7696.25</v>
      </c>
      <c r="Q32" s="1750">
        <f t="shared" si="10"/>
        <v>7696.25</v>
      </c>
      <c r="R32" s="1752">
        <f t="shared" si="10"/>
        <v>0</v>
      </c>
      <c r="S32" s="1748">
        <f t="shared" si="10"/>
        <v>0</v>
      </c>
      <c r="T32" s="1678">
        <f t="shared" si="10"/>
        <v>33.75</v>
      </c>
      <c r="U32" s="1750">
        <f t="shared" si="10"/>
        <v>33.75</v>
      </c>
      <c r="V32" s="1206">
        <f t="shared" si="10"/>
        <v>0</v>
      </c>
      <c r="W32" s="1678">
        <f t="shared" si="10"/>
        <v>0</v>
      </c>
      <c r="X32" s="1749">
        <f t="shared" si="10"/>
        <v>0</v>
      </c>
      <c r="Y32" s="1748">
        <f t="shared" si="10"/>
        <v>0</v>
      </c>
      <c r="Z32" s="1678">
        <f t="shared" si="10"/>
        <v>0</v>
      </c>
      <c r="AA32" s="1749">
        <f t="shared" si="10"/>
        <v>0</v>
      </c>
      <c r="AB32" s="1206">
        <f t="shared" si="10"/>
        <v>0</v>
      </c>
      <c r="AC32" s="1678">
        <f t="shared" si="10"/>
        <v>0</v>
      </c>
      <c r="AD32" s="1679">
        <f t="shared" si="10"/>
        <v>0</v>
      </c>
      <c r="AE32" s="725"/>
      <c r="AF32" s="725"/>
      <c r="AG32" s="725"/>
      <c r="AH32" s="725"/>
      <c r="AI32" s="725"/>
      <c r="AJ32" s="725"/>
      <c r="AK32" s="725"/>
      <c r="AL32" s="725"/>
      <c r="AM32" s="725"/>
      <c r="AN32" s="725"/>
      <c r="AO32" s="725"/>
      <c r="AP32" s="725"/>
      <c r="AQ32" s="725"/>
      <c r="AR32" s="725"/>
    </row>
    <row r="33" spans="1:44" s="825" customFormat="1" ht="30.75" customHeight="1">
      <c r="A33" s="737"/>
      <c r="B33" s="648" t="s">
        <v>103</v>
      </c>
      <c r="C33" s="730"/>
      <c r="D33" s="730"/>
      <c r="E33" s="742"/>
      <c r="F33" s="730"/>
      <c r="G33" s="730"/>
      <c r="H33" s="697"/>
      <c r="I33" s="649"/>
      <c r="J33" s="649"/>
      <c r="K33" s="1653"/>
      <c r="L33" s="743">
        <f>SUM(L34+L35+L42+L43+L44)</f>
        <v>28239</v>
      </c>
      <c r="M33" s="744">
        <f>M34+M35+M42+M43+M44</f>
        <v>33000</v>
      </c>
      <c r="N33" s="745">
        <f>N34+N35+N42+N43+N44</f>
        <v>61239</v>
      </c>
      <c r="O33" s="746">
        <f>O34+O35+O42+O43+O44</f>
        <v>25576</v>
      </c>
      <c r="P33" s="744">
        <f>P34+P35+P42+P43+P44</f>
        <v>28476.78</v>
      </c>
      <c r="Q33" s="747">
        <f>Q34+Q35+Q42+Q43+Q44</f>
        <v>54052.77999999999</v>
      </c>
      <c r="R33" s="748"/>
      <c r="S33" s="746">
        <f aca="true" t="shared" si="11" ref="S33:AD33">S34+S35+S42+S43+S44</f>
        <v>2663</v>
      </c>
      <c r="T33" s="744">
        <f t="shared" si="11"/>
        <v>4523.220000000001</v>
      </c>
      <c r="U33" s="747">
        <f t="shared" si="11"/>
        <v>7186.220000000001</v>
      </c>
      <c r="V33" s="743">
        <f t="shared" si="11"/>
        <v>26324</v>
      </c>
      <c r="W33" s="744">
        <f t="shared" si="11"/>
        <v>32127</v>
      </c>
      <c r="X33" s="745">
        <f t="shared" si="11"/>
        <v>58451</v>
      </c>
      <c r="Y33" s="746">
        <f t="shared" si="11"/>
        <v>6594</v>
      </c>
      <c r="Z33" s="744">
        <f t="shared" si="11"/>
        <v>18565</v>
      </c>
      <c r="AA33" s="745">
        <f t="shared" si="11"/>
        <v>25159</v>
      </c>
      <c r="AB33" s="743">
        <f t="shared" si="11"/>
        <v>32918</v>
      </c>
      <c r="AC33" s="744">
        <f t="shared" si="11"/>
        <v>50692</v>
      </c>
      <c r="AD33" s="749">
        <f t="shared" si="11"/>
        <v>83610</v>
      </c>
      <c r="AE33" s="769"/>
      <c r="AF33" s="769"/>
      <c r="AG33" s="769"/>
      <c r="AH33" s="769"/>
      <c r="AI33" s="769"/>
      <c r="AJ33" s="769"/>
      <c r="AK33" s="769"/>
      <c r="AL33" s="769"/>
      <c r="AM33" s="769"/>
      <c r="AN33" s="769"/>
      <c r="AO33" s="769"/>
      <c r="AP33" s="769"/>
      <c r="AQ33" s="769"/>
      <c r="AR33" s="769"/>
    </row>
    <row r="34" spans="1:33" s="953" customFormat="1" ht="85.5" customHeight="1">
      <c r="A34" s="948"/>
      <c r="B34" s="838" t="s">
        <v>143</v>
      </c>
      <c r="C34" s="868"/>
      <c r="D34" s="868"/>
      <c r="E34" s="964"/>
      <c r="F34" s="868"/>
      <c r="G34" s="868"/>
      <c r="H34" s="836"/>
      <c r="I34" s="838"/>
      <c r="J34" s="838"/>
      <c r="K34" s="1655" t="s">
        <v>154</v>
      </c>
      <c r="L34" s="689">
        <f>1855</f>
        <v>1855</v>
      </c>
      <c r="M34" s="690">
        <v>4000</v>
      </c>
      <c r="N34" s="691">
        <f>SUM(L34:M34)</f>
        <v>5855</v>
      </c>
      <c r="O34" s="757">
        <v>0</v>
      </c>
      <c r="P34" s="690">
        <v>0</v>
      </c>
      <c r="Q34" s="758">
        <f>SUM(O34:P34)</f>
        <v>0</v>
      </c>
      <c r="R34" s="899" t="s">
        <v>121</v>
      </c>
      <c r="S34" s="906">
        <f>L34-O34</f>
        <v>1855</v>
      </c>
      <c r="T34" s="885">
        <v>4000</v>
      </c>
      <c r="U34" s="1757">
        <f>S34+T34</f>
        <v>5855</v>
      </c>
      <c r="V34" s="695">
        <v>0</v>
      </c>
      <c r="W34" s="874">
        <v>0</v>
      </c>
      <c r="X34" s="952">
        <f>SUM(V34:W34)</f>
        <v>0</v>
      </c>
      <c r="Y34" s="692">
        <v>0</v>
      </c>
      <c r="Z34" s="1004">
        <f>7130-3000-3887+1059-1017</f>
        <v>285</v>
      </c>
      <c r="AA34" s="952">
        <f>SUM(Y34:Z34)</f>
        <v>285</v>
      </c>
      <c r="AB34" s="695">
        <f>V34+Y34</f>
        <v>0</v>
      </c>
      <c r="AC34" s="885">
        <f>W34+Z34</f>
        <v>285</v>
      </c>
      <c r="AD34" s="727">
        <f>SUM(AB34:AC34)</f>
        <v>285</v>
      </c>
      <c r="AE34" s="769"/>
      <c r="AF34" s="769"/>
      <c r="AG34" s="769"/>
    </row>
    <row r="35" spans="1:44" s="825" customFormat="1" ht="48" customHeight="1">
      <c r="A35" s="954"/>
      <c r="B35" s="835" t="s">
        <v>509</v>
      </c>
      <c r="C35" s="868"/>
      <c r="D35" s="868"/>
      <c r="E35" s="964"/>
      <c r="F35" s="868"/>
      <c r="G35" s="868"/>
      <c r="H35" s="836"/>
      <c r="I35" s="838"/>
      <c r="J35" s="838"/>
      <c r="K35" s="1655"/>
      <c r="L35" s="632">
        <f aca="true" t="shared" si="12" ref="L35:Q35">SUM(L36:L41)</f>
        <v>24384</v>
      </c>
      <c r="M35" s="633">
        <f t="shared" si="12"/>
        <v>27000</v>
      </c>
      <c r="N35" s="634">
        <f t="shared" si="12"/>
        <v>51384</v>
      </c>
      <c r="O35" s="752">
        <f t="shared" si="12"/>
        <v>20460</v>
      </c>
      <c r="P35" s="633">
        <f t="shared" si="12"/>
        <v>24332.51</v>
      </c>
      <c r="Q35" s="753">
        <f t="shared" si="12"/>
        <v>44792.509999999995</v>
      </c>
      <c r="R35" s="870" t="s">
        <v>357</v>
      </c>
      <c r="S35" s="752">
        <f>SUM(S36:S41)</f>
        <v>3924</v>
      </c>
      <c r="T35" s="633">
        <f>SUM(T36:T41)</f>
        <v>2667.4900000000016</v>
      </c>
      <c r="U35" s="1020">
        <f>SUM(S35:T35)</f>
        <v>6591.490000000002</v>
      </c>
      <c r="V35" s="632">
        <f aca="true" t="shared" si="13" ref="V35:AD35">SUM(V36:V41)</f>
        <v>25824</v>
      </c>
      <c r="W35" s="633">
        <f t="shared" si="13"/>
        <v>31127</v>
      </c>
      <c r="X35" s="683">
        <f t="shared" si="13"/>
        <v>56951</v>
      </c>
      <c r="Y35" s="752">
        <f t="shared" si="13"/>
        <v>6456</v>
      </c>
      <c r="Z35" s="633">
        <f t="shared" si="13"/>
        <v>18280</v>
      </c>
      <c r="AA35" s="683">
        <f t="shared" si="13"/>
        <v>24736</v>
      </c>
      <c r="AB35" s="632">
        <f t="shared" si="13"/>
        <v>32280</v>
      </c>
      <c r="AC35" s="633">
        <f t="shared" si="13"/>
        <v>49407</v>
      </c>
      <c r="AD35" s="1027">
        <f t="shared" si="13"/>
        <v>81687</v>
      </c>
      <c r="AE35" s="769"/>
      <c r="AF35" s="769"/>
      <c r="AG35" s="769"/>
      <c r="AH35" s="769"/>
      <c r="AI35" s="769"/>
      <c r="AJ35" s="769"/>
      <c r="AK35" s="769"/>
      <c r="AL35" s="769"/>
      <c r="AM35" s="769"/>
      <c r="AN35" s="769"/>
      <c r="AO35" s="769"/>
      <c r="AP35" s="769"/>
      <c r="AQ35" s="769"/>
      <c r="AR35" s="769"/>
    </row>
    <row r="36" spans="1:44" s="616" customFormat="1" ht="79.5" customHeight="1">
      <c r="A36" s="954"/>
      <c r="B36" s="711" t="s">
        <v>68</v>
      </c>
      <c r="C36" s="956"/>
      <c r="D36" s="1028" t="s">
        <v>176</v>
      </c>
      <c r="E36" s="1028" t="s">
        <v>176</v>
      </c>
      <c r="F36" s="1028" t="s">
        <v>176</v>
      </c>
      <c r="G36" s="1028"/>
      <c r="H36" s="849"/>
      <c r="I36" s="904" t="s">
        <v>157</v>
      </c>
      <c r="J36" s="851" t="s">
        <v>183</v>
      </c>
      <c r="K36" s="1656" t="s">
        <v>165</v>
      </c>
      <c r="L36" s="636">
        <v>24384</v>
      </c>
      <c r="M36" s="637">
        <v>0</v>
      </c>
      <c r="N36" s="638">
        <f>SUM(L36:M36)</f>
        <v>24384</v>
      </c>
      <c r="O36" s="1029">
        <v>20460</v>
      </c>
      <c r="P36" s="958">
        <v>0</v>
      </c>
      <c r="Q36" s="1030">
        <f>SUM(O36:P36)</f>
        <v>20460</v>
      </c>
      <c r="R36" s="1031"/>
      <c r="S36" s="906">
        <f>L36-O36</f>
        <v>3924</v>
      </c>
      <c r="T36" s="852">
        <f>M36-P36</f>
        <v>0</v>
      </c>
      <c r="U36" s="1758">
        <f>S36+T36</f>
        <v>3924</v>
      </c>
      <c r="V36" s="684">
        <v>0</v>
      </c>
      <c r="W36" s="852">
        <v>0</v>
      </c>
      <c r="X36" s="907">
        <f aca="true" t="shared" si="14" ref="X36:X47">SUM(V36:W36)</f>
        <v>0</v>
      </c>
      <c r="Y36" s="906">
        <v>0</v>
      </c>
      <c r="Z36" s="852">
        <v>0</v>
      </c>
      <c r="AA36" s="907">
        <f aca="true" t="shared" si="15" ref="AA36:AA47">SUM(Y36:Z36)</f>
        <v>0</v>
      </c>
      <c r="AB36" s="684">
        <f aca="true" t="shared" si="16" ref="AB36:AB41">V36+Y36</f>
        <v>0</v>
      </c>
      <c r="AC36" s="852">
        <f aca="true" t="shared" si="17" ref="AC36:AC41">W36+Z36</f>
        <v>0</v>
      </c>
      <c r="AD36" s="1032">
        <f>SUM(AB36:AC36)</f>
        <v>0</v>
      </c>
      <c r="AE36" s="725"/>
      <c r="AF36" s="725"/>
      <c r="AG36" s="725"/>
      <c r="AH36" s="725"/>
      <c r="AI36" s="725"/>
      <c r="AJ36" s="725"/>
      <c r="AK36" s="725"/>
      <c r="AL36" s="725"/>
      <c r="AM36" s="725"/>
      <c r="AN36" s="725"/>
      <c r="AO36" s="725"/>
      <c r="AP36" s="725"/>
      <c r="AQ36" s="725"/>
      <c r="AR36" s="725"/>
    </row>
    <row r="37" spans="1:44" s="616" customFormat="1" ht="34.5" customHeight="1">
      <c r="A37" s="954"/>
      <c r="B37" s="711"/>
      <c r="C37" s="956"/>
      <c r="D37" s="1028"/>
      <c r="E37" s="1028"/>
      <c r="F37" s="1028"/>
      <c r="G37" s="1028"/>
      <c r="H37" s="849"/>
      <c r="I37" s="904"/>
      <c r="J37" s="851" t="s">
        <v>63</v>
      </c>
      <c r="K37" s="1656"/>
      <c r="L37" s="636"/>
      <c r="M37" s="637"/>
      <c r="N37" s="638">
        <f>SUM(L37:M37)</f>
        <v>0</v>
      </c>
      <c r="O37" s="957"/>
      <c r="P37" s="958"/>
      <c r="Q37" s="959">
        <f>SUM(O37:P37)</f>
        <v>0</v>
      </c>
      <c r="R37" s="905"/>
      <c r="S37" s="906"/>
      <c r="T37" s="852"/>
      <c r="U37" s="1759"/>
      <c r="V37" s="1033">
        <f>1254*12</f>
        <v>15048</v>
      </c>
      <c r="W37" s="852"/>
      <c r="X37" s="907">
        <f t="shared" si="14"/>
        <v>15048</v>
      </c>
      <c r="Y37" s="1034">
        <f>1254*3</f>
        <v>3762</v>
      </c>
      <c r="Z37" s="852">
        <v>0</v>
      </c>
      <c r="AA37" s="907">
        <f t="shared" si="15"/>
        <v>3762</v>
      </c>
      <c r="AB37" s="684">
        <f t="shared" si="16"/>
        <v>18810</v>
      </c>
      <c r="AC37" s="852">
        <f t="shared" si="17"/>
        <v>0</v>
      </c>
      <c r="AD37" s="686">
        <f>SUM(AB37:AC37)</f>
        <v>18810</v>
      </c>
      <c r="AE37" s="725"/>
      <c r="AF37" s="725"/>
      <c r="AG37" s="725"/>
      <c r="AH37" s="725"/>
      <c r="AI37" s="725"/>
      <c r="AJ37" s="725"/>
      <c r="AK37" s="725"/>
      <c r="AL37" s="725"/>
      <c r="AM37" s="725"/>
      <c r="AN37" s="725"/>
      <c r="AO37" s="725"/>
      <c r="AP37" s="725"/>
      <c r="AQ37" s="725"/>
      <c r="AR37" s="725"/>
    </row>
    <row r="38" spans="1:44" s="616" customFormat="1" ht="32.25" customHeight="1">
      <c r="A38" s="954"/>
      <c r="B38" s="711"/>
      <c r="C38" s="956"/>
      <c r="D38" s="1028"/>
      <c r="E38" s="1028"/>
      <c r="F38" s="1028"/>
      <c r="G38" s="1028"/>
      <c r="H38" s="849"/>
      <c r="I38" s="1680"/>
      <c r="J38" s="851" t="s">
        <v>69</v>
      </c>
      <c r="K38" s="1656"/>
      <c r="L38" s="636"/>
      <c r="M38" s="637"/>
      <c r="N38" s="638">
        <f>SUM(L38:M38)</f>
        <v>0</v>
      </c>
      <c r="O38" s="957"/>
      <c r="P38" s="958"/>
      <c r="Q38" s="959">
        <f>SUM(O38:P38)</f>
        <v>0</v>
      </c>
      <c r="R38" s="905"/>
      <c r="S38" s="906"/>
      <c r="T38" s="852"/>
      <c r="U38" s="1759"/>
      <c r="V38" s="1033">
        <f>898*12</f>
        <v>10776</v>
      </c>
      <c r="W38" s="852"/>
      <c r="X38" s="907">
        <f t="shared" si="14"/>
        <v>10776</v>
      </c>
      <c r="Y38" s="1034">
        <f>898*3</f>
        <v>2694</v>
      </c>
      <c r="Z38" s="852">
        <v>0</v>
      </c>
      <c r="AA38" s="907">
        <f t="shared" si="15"/>
        <v>2694</v>
      </c>
      <c r="AB38" s="684">
        <f t="shared" si="16"/>
        <v>13470</v>
      </c>
      <c r="AC38" s="852">
        <f t="shared" si="17"/>
        <v>0</v>
      </c>
      <c r="AD38" s="686">
        <f>SUM(AB38:AC38)</f>
        <v>13470</v>
      </c>
      <c r="AE38" s="725"/>
      <c r="AF38" s="725"/>
      <c r="AG38" s="725"/>
      <c r="AH38" s="725"/>
      <c r="AI38" s="725"/>
      <c r="AJ38" s="725"/>
      <c r="AK38" s="725"/>
      <c r="AL38" s="725"/>
      <c r="AM38" s="725"/>
      <c r="AN38" s="725"/>
      <c r="AO38" s="725"/>
      <c r="AP38" s="725"/>
      <c r="AQ38" s="725"/>
      <c r="AR38" s="725"/>
    </row>
    <row r="39" spans="1:44" s="616" customFormat="1" ht="24.75" customHeight="1">
      <c r="A39" s="954"/>
      <c r="B39" s="711"/>
      <c r="C39" s="956"/>
      <c r="D39" s="1028"/>
      <c r="E39" s="1028"/>
      <c r="F39" s="1028"/>
      <c r="G39" s="1028"/>
      <c r="H39" s="849"/>
      <c r="I39" s="904"/>
      <c r="J39" s="851"/>
      <c r="K39" s="1656"/>
      <c r="L39" s="636"/>
      <c r="M39" s="637"/>
      <c r="N39" s="638">
        <f>SUM(L39:M39)</f>
        <v>0</v>
      </c>
      <c r="O39" s="957"/>
      <c r="P39" s="958"/>
      <c r="Q39" s="959"/>
      <c r="R39" s="905"/>
      <c r="S39" s="906"/>
      <c r="T39" s="852"/>
      <c r="U39" s="1759"/>
      <c r="V39" s="684"/>
      <c r="W39" s="852"/>
      <c r="X39" s="907">
        <f t="shared" si="14"/>
        <v>0</v>
      </c>
      <c r="Y39" s="906"/>
      <c r="Z39" s="852"/>
      <c r="AA39" s="907">
        <f t="shared" si="15"/>
        <v>0</v>
      </c>
      <c r="AB39" s="684">
        <f t="shared" si="16"/>
        <v>0</v>
      </c>
      <c r="AC39" s="852">
        <f t="shared" si="17"/>
        <v>0</v>
      </c>
      <c r="AD39" s="1035"/>
      <c r="AE39" s="725"/>
      <c r="AF39" s="725"/>
      <c r="AG39" s="725"/>
      <c r="AH39" s="725"/>
      <c r="AI39" s="725"/>
      <c r="AJ39" s="725"/>
      <c r="AK39" s="725"/>
      <c r="AL39" s="725"/>
      <c r="AM39" s="725"/>
      <c r="AN39" s="725"/>
      <c r="AO39" s="725"/>
      <c r="AP39" s="725"/>
      <c r="AQ39" s="725"/>
      <c r="AR39" s="725"/>
    </row>
    <row r="40" spans="1:44" s="616" customFormat="1" ht="48.75" customHeight="1">
      <c r="A40" s="954"/>
      <c r="B40" s="711" t="s">
        <v>471</v>
      </c>
      <c r="C40" s="1028" t="s">
        <v>176</v>
      </c>
      <c r="D40" s="1028" t="s">
        <v>176</v>
      </c>
      <c r="E40" s="1028" t="s">
        <v>176</v>
      </c>
      <c r="F40" s="1028" t="s">
        <v>176</v>
      </c>
      <c r="G40" s="1028" t="s">
        <v>176</v>
      </c>
      <c r="H40" s="711"/>
      <c r="I40" s="904"/>
      <c r="J40" s="851" t="s">
        <v>183</v>
      </c>
      <c r="K40" s="1656" t="s">
        <v>166</v>
      </c>
      <c r="L40" s="636">
        <v>0</v>
      </c>
      <c r="M40" s="637">
        <v>27000</v>
      </c>
      <c r="N40" s="638">
        <f>SUM(L40:M40)</f>
        <v>27000</v>
      </c>
      <c r="O40" s="957">
        <v>0</v>
      </c>
      <c r="P40" s="958">
        <v>24332.51</v>
      </c>
      <c r="Q40" s="959">
        <f>O40+P40</f>
        <v>24332.51</v>
      </c>
      <c r="R40" s="905"/>
      <c r="S40" s="906">
        <f>L40-O40</f>
        <v>0</v>
      </c>
      <c r="T40" s="852">
        <f>M40-P40</f>
        <v>2667.4900000000016</v>
      </c>
      <c r="U40" s="1759">
        <f>S40+T40</f>
        <v>2667.4900000000016</v>
      </c>
      <c r="V40" s="684">
        <v>0</v>
      </c>
      <c r="W40" s="852">
        <f>16838+10524</f>
        <v>27362</v>
      </c>
      <c r="X40" s="907">
        <f t="shared" si="14"/>
        <v>27362</v>
      </c>
      <c r="Y40" s="906">
        <v>0</v>
      </c>
      <c r="Z40" s="961">
        <f>5613+3508+3000+3887+1017</f>
        <v>17025</v>
      </c>
      <c r="AA40" s="907">
        <f t="shared" si="15"/>
        <v>17025</v>
      </c>
      <c r="AB40" s="684">
        <f t="shared" si="16"/>
        <v>0</v>
      </c>
      <c r="AC40" s="852">
        <f t="shared" si="17"/>
        <v>44387</v>
      </c>
      <c r="AD40" s="686">
        <f>SUM(AB40:AC40)</f>
        <v>44387</v>
      </c>
      <c r="AE40" s="725"/>
      <c r="AF40" s="725"/>
      <c r="AG40" s="725"/>
      <c r="AH40" s="725"/>
      <c r="AI40" s="725"/>
      <c r="AJ40" s="725"/>
      <c r="AK40" s="725"/>
      <c r="AL40" s="725"/>
      <c r="AM40" s="725"/>
      <c r="AN40" s="725"/>
      <c r="AO40" s="725"/>
      <c r="AP40" s="725"/>
      <c r="AQ40" s="725"/>
      <c r="AR40" s="725"/>
    </row>
    <row r="41" spans="1:44" s="616" customFormat="1" ht="29.25" customHeight="1">
      <c r="A41" s="954"/>
      <c r="B41" s="711"/>
      <c r="C41" s="1028" t="s">
        <v>176</v>
      </c>
      <c r="D41" s="1028" t="s">
        <v>176</v>
      </c>
      <c r="E41" s="1028" t="s">
        <v>176</v>
      </c>
      <c r="F41" s="1028" t="s">
        <v>176</v>
      </c>
      <c r="G41" s="1028" t="s">
        <v>176</v>
      </c>
      <c r="H41" s="711"/>
      <c r="I41" s="904"/>
      <c r="J41" s="851"/>
      <c r="K41" s="1656"/>
      <c r="L41" s="636"/>
      <c r="M41" s="637"/>
      <c r="N41" s="638"/>
      <c r="O41" s="957"/>
      <c r="P41" s="958"/>
      <c r="Q41" s="959"/>
      <c r="R41" s="905"/>
      <c r="S41" s="906"/>
      <c r="T41" s="852"/>
      <c r="U41" s="1759"/>
      <c r="V41" s="684"/>
      <c r="W41" s="852">
        <v>3765</v>
      </c>
      <c r="X41" s="907">
        <f t="shared" si="14"/>
        <v>3765</v>
      </c>
      <c r="Y41" s="906">
        <v>0</v>
      </c>
      <c r="Z41" s="852">
        <v>1255</v>
      </c>
      <c r="AA41" s="907">
        <f t="shared" si="15"/>
        <v>1255</v>
      </c>
      <c r="AB41" s="684">
        <f t="shared" si="16"/>
        <v>0</v>
      </c>
      <c r="AC41" s="852">
        <f t="shared" si="17"/>
        <v>5020</v>
      </c>
      <c r="AD41" s="686">
        <f>SUM(AB41:AC41)</f>
        <v>5020</v>
      </c>
      <c r="AE41" s="725"/>
      <c r="AF41" s="725"/>
      <c r="AG41" s="725"/>
      <c r="AH41" s="725"/>
      <c r="AI41" s="725"/>
      <c r="AJ41" s="725"/>
      <c r="AK41" s="725"/>
      <c r="AL41" s="725"/>
      <c r="AM41" s="725"/>
      <c r="AN41" s="725"/>
      <c r="AO41" s="725"/>
      <c r="AP41" s="725"/>
      <c r="AQ41" s="725"/>
      <c r="AR41" s="725"/>
    </row>
    <row r="42" spans="1:44" s="825" customFormat="1" ht="51" customHeight="1">
      <c r="A42" s="1868"/>
      <c r="B42" s="884" t="s">
        <v>472</v>
      </c>
      <c r="C42" s="949"/>
      <c r="D42" s="804" t="s">
        <v>176</v>
      </c>
      <c r="E42" s="804" t="s">
        <v>176</v>
      </c>
      <c r="F42" s="804" t="s">
        <v>176</v>
      </c>
      <c r="G42" s="804"/>
      <c r="H42" s="724"/>
      <c r="I42" s="1800" t="s">
        <v>157</v>
      </c>
      <c r="J42" s="1800" t="s">
        <v>183</v>
      </c>
      <c r="K42" s="1654" t="s">
        <v>308</v>
      </c>
      <c r="L42" s="689">
        <v>1000</v>
      </c>
      <c r="M42" s="690">
        <v>1000</v>
      </c>
      <c r="N42" s="691">
        <f>SUM(L42:M42)</f>
        <v>2000</v>
      </c>
      <c r="O42" s="1076">
        <v>0</v>
      </c>
      <c r="P42" s="1077">
        <v>3485.27</v>
      </c>
      <c r="Q42" s="694">
        <f>O42+P42</f>
        <v>3485.27</v>
      </c>
      <c r="R42" s="951" t="s">
        <v>423</v>
      </c>
      <c r="S42" s="692">
        <f aca="true" t="shared" si="18" ref="S42:T44">L42-O42</f>
        <v>1000</v>
      </c>
      <c r="T42" s="693">
        <f t="shared" si="18"/>
        <v>-2485.27</v>
      </c>
      <c r="U42" s="1757">
        <f>S42+T42</f>
        <v>-1485.27</v>
      </c>
      <c r="V42" s="695">
        <v>0</v>
      </c>
      <c r="W42" s="885">
        <f>3000-2000</f>
        <v>1000</v>
      </c>
      <c r="X42" s="952">
        <f t="shared" si="14"/>
        <v>1000</v>
      </c>
      <c r="Y42" s="692">
        <v>0</v>
      </c>
      <c r="Z42" s="885">
        <v>0</v>
      </c>
      <c r="AA42" s="952">
        <f t="shared" si="15"/>
        <v>0</v>
      </c>
      <c r="AB42" s="695">
        <f aca="true" t="shared" si="19" ref="AB42:AC44">V42+Y42</f>
        <v>0</v>
      </c>
      <c r="AC42" s="885">
        <f t="shared" si="19"/>
        <v>1000</v>
      </c>
      <c r="AD42" s="727">
        <f>SUM(AB42:AC42)</f>
        <v>1000</v>
      </c>
      <c r="AE42" s="769"/>
      <c r="AF42" s="769"/>
      <c r="AG42" s="769"/>
      <c r="AH42" s="769"/>
      <c r="AI42" s="769"/>
      <c r="AJ42" s="769"/>
      <c r="AK42" s="769"/>
      <c r="AL42" s="769"/>
      <c r="AM42" s="769"/>
      <c r="AN42" s="769"/>
      <c r="AO42" s="769"/>
      <c r="AP42" s="769"/>
      <c r="AQ42" s="769"/>
      <c r="AR42" s="769"/>
    </row>
    <row r="43" spans="1:44" s="825" customFormat="1" ht="70.5" customHeight="1">
      <c r="A43" s="954"/>
      <c r="B43" s="888" t="s">
        <v>159</v>
      </c>
      <c r="C43" s="1869"/>
      <c r="D43" s="1870" t="s">
        <v>176</v>
      </c>
      <c r="E43" s="1870" t="s">
        <v>176</v>
      </c>
      <c r="F43" s="1870" t="s">
        <v>176</v>
      </c>
      <c r="G43" s="1870"/>
      <c r="H43" s="890"/>
      <c r="I43" s="891" t="s">
        <v>157</v>
      </c>
      <c r="J43" s="891" t="s">
        <v>160</v>
      </c>
      <c r="K43" s="1871" t="s">
        <v>309</v>
      </c>
      <c r="L43" s="703">
        <v>500</v>
      </c>
      <c r="M43" s="704">
        <v>500</v>
      </c>
      <c r="N43" s="705">
        <f>SUM(L43:M43)</f>
        <v>1000</v>
      </c>
      <c r="O43" s="1872">
        <v>3774</v>
      </c>
      <c r="P43" s="704">
        <v>659</v>
      </c>
      <c r="Q43" s="1873">
        <f>SUM(O43:P43)</f>
        <v>4433</v>
      </c>
      <c r="R43" s="1068" t="s">
        <v>358</v>
      </c>
      <c r="S43" s="710">
        <f t="shared" si="18"/>
        <v>-3274</v>
      </c>
      <c r="T43" s="708">
        <f t="shared" si="18"/>
        <v>-159</v>
      </c>
      <c r="U43" s="1843">
        <f>SUM(S43:T43)</f>
        <v>-3433</v>
      </c>
      <c r="V43" s="703">
        <v>0</v>
      </c>
      <c r="W43" s="704">
        <v>0</v>
      </c>
      <c r="X43" s="892">
        <f>SUM(V43:W43)</f>
        <v>0</v>
      </c>
      <c r="Y43" s="1872">
        <v>0</v>
      </c>
      <c r="Z43" s="704">
        <v>0</v>
      </c>
      <c r="AA43" s="892">
        <f>SUM(Y43:Z43)</f>
        <v>0</v>
      </c>
      <c r="AB43" s="707">
        <f t="shared" si="19"/>
        <v>0</v>
      </c>
      <c r="AC43" s="894">
        <f t="shared" si="19"/>
        <v>0</v>
      </c>
      <c r="AD43" s="1874">
        <f>SUM(AB43:AC43)</f>
        <v>0</v>
      </c>
      <c r="AE43" s="769"/>
      <c r="AF43" s="769"/>
      <c r="AG43" s="769"/>
      <c r="AH43" s="769"/>
      <c r="AI43" s="769"/>
      <c r="AJ43" s="769"/>
      <c r="AK43" s="769"/>
      <c r="AL43" s="769"/>
      <c r="AM43" s="769"/>
      <c r="AN43" s="769"/>
      <c r="AO43" s="769"/>
      <c r="AP43" s="769"/>
      <c r="AQ43" s="769"/>
      <c r="AR43" s="769"/>
    </row>
    <row r="44" spans="1:33" s="983" customFormat="1" ht="32.25" customHeight="1">
      <c r="A44" s="954"/>
      <c r="B44" s="835" t="s">
        <v>161</v>
      </c>
      <c r="C44" s="964"/>
      <c r="D44" s="964"/>
      <c r="E44" s="964"/>
      <c r="F44" s="964"/>
      <c r="G44" s="964"/>
      <c r="H44" s="836"/>
      <c r="I44" s="838" t="s">
        <v>157</v>
      </c>
      <c r="J44" s="838" t="s">
        <v>183</v>
      </c>
      <c r="K44" s="1660" t="s">
        <v>162</v>
      </c>
      <c r="L44" s="632">
        <v>500</v>
      </c>
      <c r="M44" s="633">
        <v>500</v>
      </c>
      <c r="N44" s="634">
        <f>SUM(L44:M44)</f>
        <v>1000</v>
      </c>
      <c r="O44" s="752">
        <v>1342</v>
      </c>
      <c r="P44" s="633">
        <v>0</v>
      </c>
      <c r="Q44" s="753">
        <f>SUM(O44:P44)</f>
        <v>1342</v>
      </c>
      <c r="R44" s="870" t="s">
        <v>359</v>
      </c>
      <c r="S44" s="869">
        <f t="shared" si="18"/>
        <v>-842</v>
      </c>
      <c r="T44" s="839">
        <f t="shared" si="18"/>
        <v>500</v>
      </c>
      <c r="U44" s="1756">
        <f>SUM(S44:T44)</f>
        <v>-342</v>
      </c>
      <c r="V44" s="841">
        <v>500</v>
      </c>
      <c r="W44" s="842">
        <v>0</v>
      </c>
      <c r="X44" s="844">
        <f t="shared" si="14"/>
        <v>500</v>
      </c>
      <c r="Y44" s="843">
        <f>270-132</f>
        <v>138</v>
      </c>
      <c r="Z44" s="842">
        <v>0</v>
      </c>
      <c r="AA44" s="844">
        <f t="shared" si="15"/>
        <v>138</v>
      </c>
      <c r="AB44" s="841">
        <f t="shared" si="19"/>
        <v>638</v>
      </c>
      <c r="AC44" s="842">
        <f t="shared" si="19"/>
        <v>0</v>
      </c>
      <c r="AD44" s="846">
        <f>SUM(AB44:AC44)</f>
        <v>638</v>
      </c>
      <c r="AE44" s="769"/>
      <c r="AF44" s="769"/>
      <c r="AG44" s="769"/>
    </row>
    <row r="45" spans="1:30" s="769" customFormat="1" ht="30" customHeight="1">
      <c r="A45" s="1598"/>
      <c r="B45" s="1599" t="s">
        <v>193</v>
      </c>
      <c r="C45" s="1600"/>
      <c r="D45" s="1600"/>
      <c r="E45" s="1600"/>
      <c r="F45" s="1600"/>
      <c r="G45" s="1600"/>
      <c r="H45" s="1599"/>
      <c r="I45" s="1599"/>
      <c r="J45" s="1599"/>
      <c r="K45" s="1661"/>
      <c r="L45" s="1225">
        <f>SUM(L14+L25+L29+L32+L33)</f>
        <v>161827</v>
      </c>
      <c r="M45" s="1037">
        <f aca="true" t="shared" si="20" ref="M45:AD45">SUM(M14+M25+M29+M32+M33)</f>
        <v>144368</v>
      </c>
      <c r="N45" s="1602">
        <f t="shared" si="20"/>
        <v>306195</v>
      </c>
      <c r="O45" s="1224">
        <f t="shared" si="20"/>
        <v>161519</v>
      </c>
      <c r="P45" s="1037">
        <f t="shared" si="20"/>
        <v>130773</v>
      </c>
      <c r="Q45" s="1692">
        <f t="shared" si="20"/>
        <v>292292</v>
      </c>
      <c r="R45" s="1603" t="e">
        <f t="shared" si="20"/>
        <v>#VALUE!</v>
      </c>
      <c r="S45" s="1224">
        <f t="shared" si="20"/>
        <v>308</v>
      </c>
      <c r="T45" s="1037">
        <f t="shared" si="20"/>
        <v>13595</v>
      </c>
      <c r="U45" s="1692">
        <f t="shared" si="20"/>
        <v>13903.000000000002</v>
      </c>
      <c r="V45" s="1225">
        <f t="shared" si="20"/>
        <v>68242</v>
      </c>
      <c r="W45" s="1037">
        <f t="shared" si="20"/>
        <v>68431</v>
      </c>
      <c r="X45" s="1602">
        <f t="shared" si="20"/>
        <v>136673</v>
      </c>
      <c r="Y45" s="1224">
        <f t="shared" si="20"/>
        <v>11594</v>
      </c>
      <c r="Z45" s="1037">
        <f t="shared" si="20"/>
        <v>18565</v>
      </c>
      <c r="AA45" s="1602">
        <f t="shared" si="20"/>
        <v>30159</v>
      </c>
      <c r="AB45" s="1225">
        <f t="shared" si="20"/>
        <v>79836</v>
      </c>
      <c r="AC45" s="1037">
        <f t="shared" si="20"/>
        <v>86996</v>
      </c>
      <c r="AD45" s="1604">
        <f t="shared" si="20"/>
        <v>166832</v>
      </c>
    </row>
    <row r="46" spans="1:30" s="769" customFormat="1" ht="33.75" customHeight="1">
      <c r="A46" s="1598"/>
      <c r="B46" s="1599" t="s">
        <v>194</v>
      </c>
      <c r="C46" s="1600"/>
      <c r="D46" s="1600"/>
      <c r="E46" s="1600"/>
      <c r="F46" s="1600"/>
      <c r="G46" s="1600"/>
      <c r="H46" s="1599"/>
      <c r="I46" s="1605"/>
      <c r="J46" s="1599"/>
      <c r="K46" s="1661"/>
      <c r="L46" s="1225">
        <f>L45*7%</f>
        <v>11327.890000000001</v>
      </c>
      <c r="M46" s="1037">
        <f>M45*7%</f>
        <v>10105.76</v>
      </c>
      <c r="N46" s="1602">
        <f>L46+M46</f>
        <v>21433.65</v>
      </c>
      <c r="O46" s="1663">
        <f>O45*7%</f>
        <v>11306.330000000002</v>
      </c>
      <c r="P46" s="1036">
        <f>P45*7%-1428</f>
        <v>7726.110000000001</v>
      </c>
      <c r="Q46" s="1692">
        <f>SUM(O46:P46)</f>
        <v>19032.440000000002</v>
      </c>
      <c r="R46" s="1753" t="s">
        <v>87</v>
      </c>
      <c r="S46" s="1224">
        <f>S45*7%</f>
        <v>21.560000000000002</v>
      </c>
      <c r="T46" s="1037">
        <f>T45*7%+1428</f>
        <v>2379.65</v>
      </c>
      <c r="U46" s="1692">
        <f>SUM(S46:T46)</f>
        <v>2401.21</v>
      </c>
      <c r="V46" s="1761">
        <f>V45*7%</f>
        <v>4776.9400000000005</v>
      </c>
      <c r="W46" s="1605">
        <f>W45*7%</f>
        <v>4790.17</v>
      </c>
      <c r="X46" s="1762">
        <f t="shared" si="14"/>
        <v>9567.11</v>
      </c>
      <c r="Y46" s="1760">
        <f>Y45*7%</f>
        <v>811.58</v>
      </c>
      <c r="Z46" s="1605">
        <f>Z45*7%</f>
        <v>1299.5500000000002</v>
      </c>
      <c r="AA46" s="1762">
        <f t="shared" si="15"/>
        <v>2111.13</v>
      </c>
      <c r="AB46" s="1761">
        <f>AB45*7%</f>
        <v>5588.52</v>
      </c>
      <c r="AC46" s="1605">
        <f>AC45*7%</f>
        <v>6089.72</v>
      </c>
      <c r="AD46" s="1681">
        <f>SUM(AB46:AC46)</f>
        <v>11678.240000000002</v>
      </c>
    </row>
    <row r="47" spans="1:32" s="769" customFormat="1" ht="44.25" customHeight="1" thickBot="1">
      <c r="A47" s="1609"/>
      <c r="B47" s="1610" t="s">
        <v>195</v>
      </c>
      <c r="C47" s="1611"/>
      <c r="D47" s="1611"/>
      <c r="E47" s="1611"/>
      <c r="F47" s="1611"/>
      <c r="G47" s="1611"/>
      <c r="H47" s="1610"/>
      <c r="I47" s="1610"/>
      <c r="J47" s="1610"/>
      <c r="K47" s="1662"/>
      <c r="L47" s="1614">
        <f>SUM(L45:L46)</f>
        <v>173154.89</v>
      </c>
      <c r="M47" s="1615">
        <f>SUM(M45:M46)</f>
        <v>154473.76</v>
      </c>
      <c r="N47" s="1207">
        <f>L47+M47</f>
        <v>327628.65</v>
      </c>
      <c r="O47" s="1666">
        <f>SUM(O45:O46)</f>
        <v>172825.33000000002</v>
      </c>
      <c r="P47" s="1613">
        <f>SUM(P45:P46)</f>
        <v>138499.11</v>
      </c>
      <c r="Q47" s="1662">
        <f>SUM(Q45:Q46)</f>
        <v>311324.44</v>
      </c>
      <c r="R47" s="1754"/>
      <c r="S47" s="1695">
        <f>SUM(S45:S46)</f>
        <v>329.56</v>
      </c>
      <c r="T47" s="1683">
        <f>T45+T46</f>
        <v>15974.65</v>
      </c>
      <c r="U47" s="1696">
        <f>S47+T47</f>
        <v>16304.21</v>
      </c>
      <c r="V47" s="1763">
        <f>SUM(V45:V46)</f>
        <v>73018.94</v>
      </c>
      <c r="W47" s="1682">
        <f>SUM(W45:W46)</f>
        <v>73221.17</v>
      </c>
      <c r="X47" s="1764">
        <f t="shared" si="14"/>
        <v>146240.11</v>
      </c>
      <c r="Y47" s="1695">
        <f>SUM(Y45:Y46)</f>
        <v>12405.58</v>
      </c>
      <c r="Z47" s="1682">
        <f>SUM(Z45:Z46)</f>
        <v>19864.55</v>
      </c>
      <c r="AA47" s="1764">
        <f t="shared" si="15"/>
        <v>32270.129999999997</v>
      </c>
      <c r="AB47" s="1763">
        <f>SUM(AB45:AB46)</f>
        <v>85424.52</v>
      </c>
      <c r="AC47" s="1682">
        <f>SUM(AC45:AC46)</f>
        <v>93085.72</v>
      </c>
      <c r="AD47" s="1684">
        <f>SUM(AD45:AD46)</f>
        <v>178510.24</v>
      </c>
      <c r="AE47" s="781"/>
      <c r="AF47" s="781"/>
    </row>
    <row r="48" spans="2:32" s="776" customFormat="1" ht="44.25" customHeight="1" thickTop="1">
      <c r="B48" s="1116"/>
      <c r="C48" s="1117"/>
      <c r="D48" s="1117"/>
      <c r="E48" s="1117"/>
      <c r="F48" s="1117"/>
      <c r="G48" s="1117"/>
      <c r="H48" s="1116"/>
      <c r="I48" s="1116"/>
      <c r="J48" s="1116"/>
      <c r="K48" s="786"/>
      <c r="L48" s="1118"/>
      <c r="M48" s="1118"/>
      <c r="N48" s="1118"/>
      <c r="O48" s="786"/>
      <c r="P48" s="786"/>
      <c r="Q48" s="786"/>
      <c r="S48" s="1119"/>
      <c r="T48" s="1120"/>
      <c r="U48" s="1122"/>
      <c r="V48" s="1119"/>
      <c r="W48" s="1119"/>
      <c r="X48" s="1119"/>
      <c r="Y48" s="1119"/>
      <c r="Z48" s="1119"/>
      <c r="AA48" s="1119"/>
      <c r="AB48" s="1119"/>
      <c r="AC48" s="1119"/>
      <c r="AD48" s="1114">
        <f>X47+AA47</f>
        <v>178510.24</v>
      </c>
      <c r="AE48" s="1121"/>
      <c r="AF48" s="1121"/>
    </row>
    <row r="49" spans="1:44" s="645" customFormat="1" ht="51.75" customHeight="1" hidden="1" outlineLevel="2" thickTop="1">
      <c r="A49" s="2154"/>
      <c r="B49" s="2155"/>
      <c r="C49" s="2155"/>
      <c r="D49" s="2155"/>
      <c r="E49" s="2155"/>
      <c r="F49" s="2156"/>
      <c r="G49" s="2164" t="s">
        <v>134</v>
      </c>
      <c r="H49" s="2164"/>
      <c r="I49" s="2164"/>
      <c r="J49" s="2164"/>
      <c r="K49" s="2130" t="s">
        <v>89</v>
      </c>
      <c r="L49" s="2130"/>
      <c r="M49" s="2130"/>
      <c r="N49" s="2131"/>
      <c r="O49" s="2126" t="s">
        <v>81</v>
      </c>
      <c r="P49" s="2127"/>
      <c r="Q49" s="2127"/>
      <c r="R49" s="2128"/>
      <c r="S49" s="2126" t="s">
        <v>92</v>
      </c>
      <c r="T49" s="2127"/>
      <c r="U49" s="2127"/>
      <c r="V49" s="2128"/>
      <c r="W49" s="2183" t="s">
        <v>90</v>
      </c>
      <c r="X49" s="2184"/>
      <c r="Y49" s="2184"/>
      <c r="Z49" s="2185"/>
      <c r="AA49" s="2126" t="s">
        <v>85</v>
      </c>
      <c r="AB49" s="2127"/>
      <c r="AC49" s="2127"/>
      <c r="AD49" s="2128"/>
      <c r="AE49" s="2183" t="s">
        <v>84</v>
      </c>
      <c r="AF49" s="2184"/>
      <c r="AG49" s="2184"/>
      <c r="AH49" s="2186"/>
      <c r="AI49" s="644"/>
      <c r="AJ49" s="644"/>
      <c r="AK49" s="644"/>
      <c r="AL49" s="644"/>
      <c r="AM49" s="644"/>
      <c r="AN49" s="644"/>
      <c r="AO49" s="644"/>
      <c r="AP49" s="644"/>
      <c r="AQ49" s="644"/>
      <c r="AR49" s="644"/>
    </row>
    <row r="50" spans="1:44" s="645" customFormat="1" ht="57.75" customHeight="1" hidden="1" outlineLevel="2">
      <c r="A50" s="2157"/>
      <c r="B50" s="2158"/>
      <c r="C50" s="2158"/>
      <c r="D50" s="2158"/>
      <c r="E50" s="2158"/>
      <c r="F50" s="2159"/>
      <c r="G50" s="1222" t="s">
        <v>144</v>
      </c>
      <c r="H50" s="1222" t="s">
        <v>184</v>
      </c>
      <c r="I50" s="1221" t="s">
        <v>135</v>
      </c>
      <c r="J50" s="1685" t="s">
        <v>136</v>
      </c>
      <c r="K50" s="1686" t="s">
        <v>144</v>
      </c>
      <c r="L50" s="1222" t="s">
        <v>184</v>
      </c>
      <c r="M50" s="1221" t="s">
        <v>38</v>
      </c>
      <c r="N50" s="1687" t="s">
        <v>39</v>
      </c>
      <c r="O50" s="1688" t="s">
        <v>36</v>
      </c>
      <c r="P50" s="1222" t="s">
        <v>37</v>
      </c>
      <c r="Q50" s="1221" t="s">
        <v>38</v>
      </c>
      <c r="R50" s="1687" t="s">
        <v>39</v>
      </c>
      <c r="S50" s="1688" t="s">
        <v>36</v>
      </c>
      <c r="T50" s="1222" t="s">
        <v>37</v>
      </c>
      <c r="U50" s="1221" t="s">
        <v>38</v>
      </c>
      <c r="V50" s="1687" t="s">
        <v>39</v>
      </c>
      <c r="W50" s="1686" t="s">
        <v>36</v>
      </c>
      <c r="X50" s="1222" t="s">
        <v>344</v>
      </c>
      <c r="Y50" s="1221" t="s">
        <v>38</v>
      </c>
      <c r="Z50" s="1687" t="s">
        <v>39</v>
      </c>
      <c r="AA50" s="1686" t="s">
        <v>36</v>
      </c>
      <c r="AB50" s="1222" t="s">
        <v>344</v>
      </c>
      <c r="AC50" s="1221" t="s">
        <v>38</v>
      </c>
      <c r="AD50" s="1685" t="s">
        <v>39</v>
      </c>
      <c r="AE50" s="1686" t="s">
        <v>36</v>
      </c>
      <c r="AF50" s="1222" t="s">
        <v>344</v>
      </c>
      <c r="AG50" s="1221" t="s">
        <v>38</v>
      </c>
      <c r="AH50" s="1223" t="s">
        <v>39</v>
      </c>
      <c r="AI50" s="644"/>
      <c r="AJ50" s="644"/>
      <c r="AK50" s="644"/>
      <c r="AL50" s="644"/>
      <c r="AM50" s="644"/>
      <c r="AN50" s="644"/>
      <c r="AO50" s="644"/>
      <c r="AP50" s="644"/>
      <c r="AQ50" s="644"/>
      <c r="AR50" s="644"/>
    </row>
    <row r="51" spans="1:44" s="751" customFormat="1" ht="33.75" customHeight="1" hidden="1" outlineLevel="2">
      <c r="A51" s="2115" t="s">
        <v>197</v>
      </c>
      <c r="B51" s="2116"/>
      <c r="C51" s="2116"/>
      <c r="D51" s="2116"/>
      <c r="E51" s="2116"/>
      <c r="F51" s="2116"/>
      <c r="G51" s="1185">
        <v>0</v>
      </c>
      <c r="H51" s="1185">
        <v>0</v>
      </c>
      <c r="I51" s="1185">
        <f>H51*7%</f>
        <v>0</v>
      </c>
      <c r="J51" s="1569">
        <f>SUM(H51:I51)</f>
        <v>0</v>
      </c>
      <c r="K51" s="1186">
        <v>0</v>
      </c>
      <c r="L51" s="1185">
        <v>0</v>
      </c>
      <c r="M51" s="1185">
        <f>L51*7%</f>
        <v>0</v>
      </c>
      <c r="N51" s="1220">
        <f>SUM(L51:M51)</f>
        <v>0</v>
      </c>
      <c r="O51" s="1186">
        <v>0</v>
      </c>
      <c r="P51" s="1186">
        <v>0</v>
      </c>
      <c r="Q51" s="771"/>
      <c r="R51" s="1458"/>
      <c r="S51" s="1186">
        <v>0</v>
      </c>
      <c r="T51" s="1186">
        <v>0</v>
      </c>
      <c r="U51" s="770">
        <f>T51*7%</f>
        <v>0</v>
      </c>
      <c r="V51" s="1226">
        <f>SUM(T51:U51)</f>
        <v>0</v>
      </c>
      <c r="W51" s="1186">
        <v>0</v>
      </c>
      <c r="X51" s="1185">
        <v>0</v>
      </c>
      <c r="Y51" s="770">
        <f>X51*7%</f>
        <v>0</v>
      </c>
      <c r="Z51" s="1458">
        <f aca="true" t="shared" si="21" ref="Z51:Z60">SUM(X51:Y51)</f>
        <v>0</v>
      </c>
      <c r="AA51" s="772"/>
      <c r="AB51" s="771">
        <f>Z13</f>
        <v>0</v>
      </c>
      <c r="AC51" s="771">
        <f>AB51*7%</f>
        <v>0</v>
      </c>
      <c r="AD51" s="1458">
        <f>SUM(AB51:AC51)</f>
        <v>0</v>
      </c>
      <c r="AE51" s="772">
        <f>W51+AA51</f>
        <v>0</v>
      </c>
      <c r="AF51" s="771">
        <f>X51+AB51</f>
        <v>0</v>
      </c>
      <c r="AG51" s="770">
        <f>AF51*7%</f>
        <v>0</v>
      </c>
      <c r="AH51" s="1568">
        <f>SUM(AF51:AG51)</f>
        <v>0</v>
      </c>
      <c r="AI51" s="750"/>
      <c r="AJ51" s="750"/>
      <c r="AK51" s="750"/>
      <c r="AL51" s="750"/>
      <c r="AM51" s="750"/>
      <c r="AN51" s="750"/>
      <c r="AO51" s="750"/>
      <c r="AP51" s="750"/>
      <c r="AQ51" s="750"/>
      <c r="AR51" s="750"/>
    </row>
    <row r="52" spans="1:44" s="751" customFormat="1" ht="33.75" customHeight="1" hidden="1" outlineLevel="2">
      <c r="A52" s="2174" t="s">
        <v>198</v>
      </c>
      <c r="B52" s="2175"/>
      <c r="C52" s="2175"/>
      <c r="D52" s="2175"/>
      <c r="E52" s="2175"/>
      <c r="F52" s="2176"/>
      <c r="G52" s="1184">
        <v>108846</v>
      </c>
      <c r="H52" s="771">
        <v>50000</v>
      </c>
      <c r="I52" s="771">
        <f aca="true" t="shared" si="22" ref="I52:I60">H52*7%</f>
        <v>3500.0000000000005</v>
      </c>
      <c r="J52" s="1194">
        <f aca="true" t="shared" si="23" ref="J52:J60">SUM(H52:I52)</f>
        <v>53500</v>
      </c>
      <c r="K52" s="772">
        <f>SUM(L$13)</f>
        <v>50000</v>
      </c>
      <c r="L52" s="771">
        <f>SUM(M13)</f>
        <v>14000</v>
      </c>
      <c r="M52" s="771">
        <f>L52*7%</f>
        <v>980.0000000000001</v>
      </c>
      <c r="N52" s="1226">
        <f>SUM(L52:M52)</f>
        <v>14980</v>
      </c>
      <c r="O52" s="772">
        <f>SUM(O$13)</f>
        <v>62022</v>
      </c>
      <c r="P52" s="771">
        <f>SUM(P$13)</f>
        <v>10397</v>
      </c>
      <c r="Q52" s="771">
        <f>P52*7%</f>
        <v>727.7900000000001</v>
      </c>
      <c r="R52" s="1458">
        <f aca="true" t="shared" si="24" ref="R52:R57">SUM(P52:Q52)</f>
        <v>11124.79</v>
      </c>
      <c r="S52" s="772">
        <f>K52-O52</f>
        <v>-12022</v>
      </c>
      <c r="T52" s="771">
        <f>L52-P52</f>
        <v>3603</v>
      </c>
      <c r="U52" s="771">
        <f>T52*7%</f>
        <v>252.21000000000004</v>
      </c>
      <c r="V52" s="1226">
        <f>SUM(T52:U52)</f>
        <v>3855.21</v>
      </c>
      <c r="W52" s="772">
        <f>SUM(V$13)</f>
        <v>20000</v>
      </c>
      <c r="X52" s="771">
        <f>SUM(W$13)</f>
        <v>3603</v>
      </c>
      <c r="Y52" s="771">
        <f>X52*7%</f>
        <v>252.21000000000004</v>
      </c>
      <c r="Z52" s="1458">
        <f t="shared" si="21"/>
        <v>3855.21</v>
      </c>
      <c r="AA52" s="772">
        <f>Y13</f>
        <v>5000</v>
      </c>
      <c r="AB52" s="771">
        <f>Z13</f>
        <v>0</v>
      </c>
      <c r="AC52" s="771">
        <f aca="true" t="shared" si="25" ref="AC52:AC59">AB52*7%</f>
        <v>0</v>
      </c>
      <c r="AD52" s="1458">
        <f>SUM(AB52:AC52)</f>
        <v>0</v>
      </c>
      <c r="AE52" s="772">
        <f>SUM(W52,AA52)</f>
        <v>25000</v>
      </c>
      <c r="AF52" s="771">
        <f>SUM(X52,AB52)</f>
        <v>3603</v>
      </c>
      <c r="AG52" s="771">
        <f>SUM(Y52,AC52)</f>
        <v>252.21000000000004</v>
      </c>
      <c r="AH52" s="1568">
        <f>SUM(AF52:AG52)</f>
        <v>3855.21</v>
      </c>
      <c r="AI52" s="750"/>
      <c r="AJ52" s="750"/>
      <c r="AK52" s="750"/>
      <c r="AL52" s="750"/>
      <c r="AM52" s="750"/>
      <c r="AN52" s="750"/>
      <c r="AO52" s="750"/>
      <c r="AP52" s="750"/>
      <c r="AQ52" s="750"/>
      <c r="AR52" s="750"/>
    </row>
    <row r="53" spans="1:44" s="751" customFormat="1" ht="33.75" customHeight="1" hidden="1" outlineLevel="2">
      <c r="A53" s="2174" t="s">
        <v>199</v>
      </c>
      <c r="B53" s="2175"/>
      <c r="C53" s="2175"/>
      <c r="D53" s="2175"/>
      <c r="E53" s="2175"/>
      <c r="F53" s="2176"/>
      <c r="G53" s="1184">
        <v>0</v>
      </c>
      <c r="H53" s="693">
        <v>0</v>
      </c>
      <c r="I53" s="771">
        <f t="shared" si="22"/>
        <v>0</v>
      </c>
      <c r="J53" s="1194">
        <f t="shared" si="23"/>
        <v>0</v>
      </c>
      <c r="K53" s="772">
        <v>0</v>
      </c>
      <c r="L53" s="771">
        <v>0</v>
      </c>
      <c r="M53" s="771">
        <f aca="true" t="shared" si="26" ref="M53:M58">L53*7%</f>
        <v>0</v>
      </c>
      <c r="N53" s="1226">
        <f aca="true" t="shared" si="27" ref="N53:N59">SUM(L53:M53)</f>
        <v>0</v>
      </c>
      <c r="O53" s="772">
        <v>0</v>
      </c>
      <c r="P53" s="771">
        <v>0</v>
      </c>
      <c r="Q53" s="771">
        <f>P53*7%</f>
        <v>0</v>
      </c>
      <c r="R53" s="1458">
        <f t="shared" si="24"/>
        <v>0</v>
      </c>
      <c r="S53" s="772">
        <f aca="true" t="shared" si="28" ref="S53:S60">K53-O53</f>
        <v>0</v>
      </c>
      <c r="T53" s="771">
        <f aca="true" t="shared" si="29" ref="T53:T60">L53-P53</f>
        <v>0</v>
      </c>
      <c r="U53" s="770">
        <f>T53*7%</f>
        <v>0</v>
      </c>
      <c r="V53" s="1226">
        <f>SUM(T53:U53)</f>
        <v>0</v>
      </c>
      <c r="W53" s="772">
        <v>0</v>
      </c>
      <c r="X53" s="771">
        <v>0</v>
      </c>
      <c r="Y53" s="771">
        <f>X53*7%</f>
        <v>0</v>
      </c>
      <c r="Z53" s="1458">
        <f t="shared" si="21"/>
        <v>0</v>
      </c>
      <c r="AA53" s="772">
        <v>0</v>
      </c>
      <c r="AB53" s="771">
        <v>0</v>
      </c>
      <c r="AC53" s="771">
        <f t="shared" si="25"/>
        <v>0</v>
      </c>
      <c r="AD53" s="1458">
        <f>SUM(AA53:AC53)</f>
        <v>0</v>
      </c>
      <c r="AE53" s="772">
        <f aca="true" t="shared" si="30" ref="AE53:AE60">SUM(W53,AA53)</f>
        <v>0</v>
      </c>
      <c r="AF53" s="771">
        <f aca="true" t="shared" si="31" ref="AF53:AF60">SUM(X53,AB53)</f>
        <v>0</v>
      </c>
      <c r="AG53" s="770">
        <f>AF53*7%</f>
        <v>0</v>
      </c>
      <c r="AH53" s="1570">
        <f aca="true" t="shared" si="32" ref="AH53:AH59">SUM(AF53:AG53)</f>
        <v>0</v>
      </c>
      <c r="AI53" s="750"/>
      <c r="AJ53" s="750"/>
      <c r="AK53" s="750"/>
      <c r="AL53" s="750"/>
      <c r="AM53" s="750"/>
      <c r="AN53" s="750"/>
      <c r="AO53" s="750"/>
      <c r="AP53" s="750"/>
      <c r="AQ53" s="750"/>
      <c r="AR53" s="750"/>
    </row>
    <row r="54" spans="1:44" s="751" customFormat="1" ht="33.75" customHeight="1" hidden="1" outlineLevel="2">
      <c r="A54" s="2174" t="s">
        <v>201</v>
      </c>
      <c r="B54" s="2175"/>
      <c r="C54" s="2175"/>
      <c r="D54" s="2175"/>
      <c r="E54" s="2175"/>
      <c r="F54" s="2176"/>
      <c r="G54" s="1184">
        <v>0</v>
      </c>
      <c r="H54" s="693">
        <v>0</v>
      </c>
      <c r="I54" s="771">
        <f t="shared" si="22"/>
        <v>0</v>
      </c>
      <c r="J54" s="1194">
        <f t="shared" si="23"/>
        <v>0</v>
      </c>
      <c r="K54" s="772">
        <v>0</v>
      </c>
      <c r="L54" s="771">
        <v>0</v>
      </c>
      <c r="M54" s="771">
        <f t="shared" si="26"/>
        <v>0</v>
      </c>
      <c r="N54" s="1226">
        <f t="shared" si="27"/>
        <v>0</v>
      </c>
      <c r="O54" s="772">
        <v>0</v>
      </c>
      <c r="P54" s="771">
        <v>0</v>
      </c>
      <c r="Q54" s="771">
        <f>P54*7%</f>
        <v>0</v>
      </c>
      <c r="R54" s="1226">
        <f t="shared" si="24"/>
        <v>0</v>
      </c>
      <c r="S54" s="772">
        <f t="shared" si="28"/>
        <v>0</v>
      </c>
      <c r="T54" s="771">
        <f t="shared" si="29"/>
        <v>0</v>
      </c>
      <c r="U54" s="770">
        <f aca="true" t="shared" si="33" ref="U54:U60">T54*7%</f>
        <v>0</v>
      </c>
      <c r="V54" s="1226">
        <f aca="true" t="shared" si="34" ref="V54:V59">SUM(T54:U54)</f>
        <v>0</v>
      </c>
      <c r="W54" s="772">
        <f>SUM(V$28)</f>
        <v>0</v>
      </c>
      <c r="X54" s="771">
        <f>SUM(W$28)</f>
        <v>0</v>
      </c>
      <c r="Y54" s="771">
        <f>X54*7%</f>
        <v>0</v>
      </c>
      <c r="Z54" s="1458">
        <f t="shared" si="21"/>
        <v>0</v>
      </c>
      <c r="AA54" s="772">
        <f>SUM(Y$28)</f>
        <v>0</v>
      </c>
      <c r="AB54" s="771">
        <f>SUM(Z$28)</f>
        <v>0</v>
      </c>
      <c r="AC54" s="771">
        <f t="shared" si="25"/>
        <v>0</v>
      </c>
      <c r="AD54" s="1458">
        <v>0</v>
      </c>
      <c r="AE54" s="772">
        <f t="shared" si="30"/>
        <v>0</v>
      </c>
      <c r="AF54" s="771">
        <f t="shared" si="31"/>
        <v>0</v>
      </c>
      <c r="AG54" s="770">
        <v>0</v>
      </c>
      <c r="AH54" s="1570">
        <f t="shared" si="32"/>
        <v>0</v>
      </c>
      <c r="AI54" s="750"/>
      <c r="AJ54" s="750"/>
      <c r="AK54" s="750"/>
      <c r="AL54" s="750"/>
      <c r="AM54" s="750"/>
      <c r="AN54" s="750"/>
      <c r="AO54" s="750"/>
      <c r="AP54" s="750"/>
      <c r="AQ54" s="750"/>
      <c r="AR54" s="750"/>
    </row>
    <row r="55" spans="1:44" s="751" customFormat="1" ht="33.75" customHeight="1" hidden="1" outlineLevel="2">
      <c r="A55" s="2174" t="s">
        <v>208</v>
      </c>
      <c r="B55" s="2175"/>
      <c r="C55" s="2175"/>
      <c r="D55" s="2175"/>
      <c r="E55" s="2175"/>
      <c r="F55" s="2176"/>
      <c r="G55" s="1184">
        <v>0</v>
      </c>
      <c r="H55" s="693">
        <v>0</v>
      </c>
      <c r="I55" s="771">
        <f t="shared" si="22"/>
        <v>0</v>
      </c>
      <c r="J55" s="1194">
        <f t="shared" si="23"/>
        <v>0</v>
      </c>
      <c r="K55" s="772">
        <v>0</v>
      </c>
      <c r="L55" s="771">
        <v>0</v>
      </c>
      <c r="M55" s="771">
        <f t="shared" si="26"/>
        <v>0</v>
      </c>
      <c r="N55" s="1226">
        <f t="shared" si="27"/>
        <v>0</v>
      </c>
      <c r="O55" s="772">
        <v>0</v>
      </c>
      <c r="P55" s="771">
        <v>0</v>
      </c>
      <c r="Q55" s="771"/>
      <c r="R55" s="1226">
        <f t="shared" si="24"/>
        <v>0</v>
      </c>
      <c r="S55" s="772">
        <f t="shared" si="28"/>
        <v>0</v>
      </c>
      <c r="T55" s="771">
        <f t="shared" si="29"/>
        <v>0</v>
      </c>
      <c r="U55" s="770">
        <f t="shared" si="33"/>
        <v>0</v>
      </c>
      <c r="V55" s="1226">
        <f t="shared" si="34"/>
        <v>0</v>
      </c>
      <c r="W55" s="772">
        <v>0</v>
      </c>
      <c r="X55" s="771">
        <v>0</v>
      </c>
      <c r="Y55" s="771">
        <v>0</v>
      </c>
      <c r="Z55" s="1458">
        <f t="shared" si="21"/>
        <v>0</v>
      </c>
      <c r="AA55" s="772">
        <v>0</v>
      </c>
      <c r="AB55" s="771">
        <v>0</v>
      </c>
      <c r="AC55" s="771">
        <f t="shared" si="25"/>
        <v>0</v>
      </c>
      <c r="AD55" s="1458">
        <v>0</v>
      </c>
      <c r="AE55" s="772">
        <f t="shared" si="30"/>
        <v>0</v>
      </c>
      <c r="AF55" s="771">
        <f t="shared" si="31"/>
        <v>0</v>
      </c>
      <c r="AG55" s="770"/>
      <c r="AH55" s="1570">
        <f t="shared" si="32"/>
        <v>0</v>
      </c>
      <c r="AI55" s="750"/>
      <c r="AJ55" s="750"/>
      <c r="AK55" s="750"/>
      <c r="AL55" s="750"/>
      <c r="AM55" s="750"/>
      <c r="AN55" s="750"/>
      <c r="AO55" s="750"/>
      <c r="AP55" s="750"/>
      <c r="AQ55" s="750"/>
      <c r="AR55" s="750"/>
    </row>
    <row r="56" spans="1:44" s="751" customFormat="1" ht="33.75" customHeight="1" hidden="1" outlineLevel="2">
      <c r="A56" s="2174" t="s">
        <v>200</v>
      </c>
      <c r="B56" s="2175"/>
      <c r="C56" s="2175"/>
      <c r="D56" s="2175"/>
      <c r="E56" s="2175"/>
      <c r="F56" s="2176"/>
      <c r="G56" s="1184">
        <v>0</v>
      </c>
      <c r="H56" s="693">
        <v>0</v>
      </c>
      <c r="I56" s="771">
        <f t="shared" si="22"/>
        <v>0</v>
      </c>
      <c r="J56" s="1194">
        <f t="shared" si="23"/>
        <v>0</v>
      </c>
      <c r="K56" s="772">
        <v>0</v>
      </c>
      <c r="L56" s="771">
        <v>0</v>
      </c>
      <c r="M56" s="771">
        <f t="shared" si="26"/>
        <v>0</v>
      </c>
      <c r="N56" s="1226">
        <f t="shared" si="27"/>
        <v>0</v>
      </c>
      <c r="O56" s="772">
        <v>0</v>
      </c>
      <c r="P56" s="771">
        <v>0</v>
      </c>
      <c r="Q56" s="771"/>
      <c r="R56" s="1226">
        <f t="shared" si="24"/>
        <v>0</v>
      </c>
      <c r="S56" s="772">
        <f t="shared" si="28"/>
        <v>0</v>
      </c>
      <c r="T56" s="771">
        <f t="shared" si="29"/>
        <v>0</v>
      </c>
      <c r="U56" s="770">
        <f t="shared" si="33"/>
        <v>0</v>
      </c>
      <c r="V56" s="1226">
        <f t="shared" si="34"/>
        <v>0</v>
      </c>
      <c r="W56" s="772">
        <v>0</v>
      </c>
      <c r="X56" s="771">
        <v>0</v>
      </c>
      <c r="Y56" s="771"/>
      <c r="Z56" s="1458">
        <f t="shared" si="21"/>
        <v>0</v>
      </c>
      <c r="AA56" s="772">
        <v>0</v>
      </c>
      <c r="AB56" s="771">
        <v>0</v>
      </c>
      <c r="AC56" s="771">
        <f t="shared" si="25"/>
        <v>0</v>
      </c>
      <c r="AD56" s="1458">
        <v>0</v>
      </c>
      <c r="AE56" s="772">
        <f t="shared" si="30"/>
        <v>0</v>
      </c>
      <c r="AF56" s="771">
        <f t="shared" si="31"/>
        <v>0</v>
      </c>
      <c r="AG56" s="770"/>
      <c r="AH56" s="1570">
        <f t="shared" si="32"/>
        <v>0</v>
      </c>
      <c r="AI56" s="750"/>
      <c r="AJ56" s="750"/>
      <c r="AK56" s="750"/>
      <c r="AL56" s="750"/>
      <c r="AM56" s="750"/>
      <c r="AN56" s="750"/>
      <c r="AO56" s="750"/>
      <c r="AP56" s="750"/>
      <c r="AQ56" s="750"/>
      <c r="AR56" s="750"/>
    </row>
    <row r="57" spans="1:44" s="825" customFormat="1" ht="33.75" customHeight="1" hidden="1" outlineLevel="2">
      <c r="A57" s="2174" t="s">
        <v>196</v>
      </c>
      <c r="B57" s="2175"/>
      <c r="C57" s="2175"/>
      <c r="D57" s="2175"/>
      <c r="E57" s="2175"/>
      <c r="F57" s="2176"/>
      <c r="G57" s="1184">
        <v>13999</v>
      </c>
      <c r="H57" s="693">
        <v>3000</v>
      </c>
      <c r="I57" s="771">
        <f t="shared" si="22"/>
        <v>210.00000000000003</v>
      </c>
      <c r="J57" s="1194">
        <f t="shared" si="23"/>
        <v>3210</v>
      </c>
      <c r="K57" s="772">
        <f>L28</f>
        <v>5588</v>
      </c>
      <c r="L57" s="771">
        <f>M28</f>
        <v>2065</v>
      </c>
      <c r="M57" s="771">
        <f t="shared" si="26"/>
        <v>144.55</v>
      </c>
      <c r="N57" s="1226">
        <f>SUM(L57:M57)</f>
        <v>2209.55</v>
      </c>
      <c r="O57" s="772">
        <f>O28</f>
        <v>5588</v>
      </c>
      <c r="P57" s="771">
        <f>SUM(P28)</f>
        <v>2065</v>
      </c>
      <c r="Q57" s="771">
        <f>P57*7%</f>
        <v>144.55</v>
      </c>
      <c r="R57" s="1226">
        <f t="shared" si="24"/>
        <v>2209.55</v>
      </c>
      <c r="S57" s="772">
        <f t="shared" si="28"/>
        <v>0</v>
      </c>
      <c r="T57" s="771">
        <f t="shared" si="29"/>
        <v>0</v>
      </c>
      <c r="U57" s="770">
        <f t="shared" si="33"/>
        <v>0</v>
      </c>
      <c r="V57" s="1226">
        <f t="shared" si="34"/>
        <v>0</v>
      </c>
      <c r="W57" s="772"/>
      <c r="X57" s="771"/>
      <c r="Y57" s="771"/>
      <c r="Z57" s="1458"/>
      <c r="AA57" s="772">
        <f>Y28</f>
        <v>0</v>
      </c>
      <c r="AB57" s="771">
        <f>Z28</f>
        <v>0</v>
      </c>
      <c r="AC57" s="771">
        <f t="shared" si="25"/>
        <v>0</v>
      </c>
      <c r="AD57" s="1458">
        <v>0</v>
      </c>
      <c r="AE57" s="772">
        <f t="shared" si="30"/>
        <v>0</v>
      </c>
      <c r="AF57" s="771">
        <f t="shared" si="31"/>
        <v>0</v>
      </c>
      <c r="AG57" s="770"/>
      <c r="AH57" s="1570">
        <f t="shared" si="32"/>
        <v>0</v>
      </c>
      <c r="AI57" s="769"/>
      <c r="AJ57" s="769"/>
      <c r="AK57" s="769"/>
      <c r="AL57" s="769"/>
      <c r="AM57" s="769"/>
      <c r="AN57" s="769"/>
      <c r="AO57" s="769"/>
      <c r="AP57" s="769"/>
      <c r="AQ57" s="769"/>
      <c r="AR57" s="769"/>
    </row>
    <row r="58" spans="1:44" s="825" customFormat="1" ht="33.75" customHeight="1" hidden="1" outlineLevel="2">
      <c r="A58" s="2174" t="s">
        <v>421</v>
      </c>
      <c r="B58" s="2175"/>
      <c r="C58" s="2175"/>
      <c r="D58" s="2175"/>
      <c r="E58" s="2175"/>
      <c r="F58" s="2176"/>
      <c r="G58" s="1184">
        <v>0</v>
      </c>
      <c r="H58" s="693">
        <v>0</v>
      </c>
      <c r="I58" s="771">
        <f t="shared" si="22"/>
        <v>0</v>
      </c>
      <c r="J58" s="1194">
        <f t="shared" si="23"/>
        <v>0</v>
      </c>
      <c r="K58" s="772">
        <v>0</v>
      </c>
      <c r="L58" s="771">
        <v>0</v>
      </c>
      <c r="M58" s="771">
        <f t="shared" si="26"/>
        <v>0</v>
      </c>
      <c r="N58" s="1226">
        <f t="shared" si="27"/>
        <v>0</v>
      </c>
      <c r="O58" s="772">
        <v>0</v>
      </c>
      <c r="P58" s="771">
        <v>0</v>
      </c>
      <c r="Q58" s="771"/>
      <c r="R58" s="1226"/>
      <c r="S58" s="772">
        <f t="shared" si="28"/>
        <v>0</v>
      </c>
      <c r="T58" s="771">
        <f t="shared" si="29"/>
        <v>0</v>
      </c>
      <c r="U58" s="770">
        <f t="shared" si="33"/>
        <v>0</v>
      </c>
      <c r="V58" s="1226">
        <f t="shared" si="34"/>
        <v>0</v>
      </c>
      <c r="W58" s="772">
        <v>0</v>
      </c>
      <c r="X58" s="771">
        <v>0</v>
      </c>
      <c r="Y58" s="771"/>
      <c r="Z58" s="1458">
        <f t="shared" si="21"/>
        <v>0</v>
      </c>
      <c r="AA58" s="772"/>
      <c r="AB58" s="771">
        <v>0</v>
      </c>
      <c r="AC58" s="771">
        <f t="shared" si="25"/>
        <v>0</v>
      </c>
      <c r="AD58" s="1458">
        <v>0</v>
      </c>
      <c r="AE58" s="772">
        <f t="shared" si="30"/>
        <v>0</v>
      </c>
      <c r="AF58" s="771">
        <f t="shared" si="31"/>
        <v>0</v>
      </c>
      <c r="AG58" s="770"/>
      <c r="AH58" s="1570">
        <f t="shared" si="32"/>
        <v>0</v>
      </c>
      <c r="AI58" s="769"/>
      <c r="AJ58" s="769"/>
      <c r="AK58" s="769"/>
      <c r="AL58" s="769"/>
      <c r="AM58" s="769"/>
      <c r="AN58" s="769"/>
      <c r="AO58" s="769"/>
      <c r="AP58" s="769"/>
      <c r="AQ58" s="769"/>
      <c r="AR58" s="769"/>
    </row>
    <row r="59" spans="1:44" s="825" customFormat="1" ht="33.75" customHeight="1" hidden="1" outlineLevel="2">
      <c r="A59" s="2174" t="s">
        <v>360</v>
      </c>
      <c r="B59" s="2175"/>
      <c r="C59" s="2175"/>
      <c r="D59" s="2175"/>
      <c r="E59" s="2175"/>
      <c r="F59" s="2176"/>
      <c r="G59" s="1184">
        <v>0</v>
      </c>
      <c r="H59" s="1184">
        <v>50000</v>
      </c>
      <c r="I59" s="771">
        <f t="shared" si="22"/>
        <v>3500.0000000000005</v>
      </c>
      <c r="J59" s="1194">
        <f t="shared" si="23"/>
        <v>53500</v>
      </c>
      <c r="K59" s="772">
        <f>SUM(L$21)</f>
        <v>0</v>
      </c>
      <c r="L59" s="771">
        <f>SUM(M21)</f>
        <v>22252</v>
      </c>
      <c r="M59" s="771">
        <f>L59*7%</f>
        <v>1557.64</v>
      </c>
      <c r="N59" s="1226">
        <f t="shared" si="27"/>
        <v>23809.64</v>
      </c>
      <c r="O59" s="772">
        <f>SUM(O21)</f>
        <v>0</v>
      </c>
      <c r="P59" s="771">
        <f>SUM(P21)</f>
        <v>50000</v>
      </c>
      <c r="Q59" s="771">
        <f>P59*7%</f>
        <v>3500.0000000000005</v>
      </c>
      <c r="R59" s="1226">
        <f>SUM(P59:Q59)</f>
        <v>53500</v>
      </c>
      <c r="S59" s="772">
        <f t="shared" si="28"/>
        <v>0</v>
      </c>
      <c r="T59" s="771">
        <f t="shared" si="29"/>
        <v>-27748</v>
      </c>
      <c r="U59" s="770">
        <f t="shared" si="33"/>
        <v>-1942.3600000000001</v>
      </c>
      <c r="V59" s="1226">
        <f t="shared" si="34"/>
        <v>-29690.36</v>
      </c>
      <c r="W59" s="772">
        <f>SUM(V$21)</f>
        <v>0</v>
      </c>
      <c r="X59" s="771">
        <f>SUM(W$21)</f>
        <v>0</v>
      </c>
      <c r="Y59" s="771"/>
      <c r="Z59" s="1458">
        <f t="shared" si="21"/>
        <v>0</v>
      </c>
      <c r="AA59" s="772">
        <f>Y21</f>
        <v>0</v>
      </c>
      <c r="AB59" s="771">
        <f>SUM(Z$21)</f>
        <v>0</v>
      </c>
      <c r="AC59" s="771">
        <f t="shared" si="25"/>
        <v>0</v>
      </c>
      <c r="AD59" s="1458">
        <v>0</v>
      </c>
      <c r="AE59" s="772">
        <f t="shared" si="30"/>
        <v>0</v>
      </c>
      <c r="AF59" s="771">
        <f t="shared" si="31"/>
        <v>0</v>
      </c>
      <c r="AG59" s="770"/>
      <c r="AH59" s="1570">
        <f t="shared" si="32"/>
        <v>0</v>
      </c>
      <c r="AI59" s="769"/>
      <c r="AJ59" s="769"/>
      <c r="AK59" s="769"/>
      <c r="AL59" s="769"/>
      <c r="AM59" s="769"/>
      <c r="AN59" s="769"/>
      <c r="AO59" s="769"/>
      <c r="AP59" s="769"/>
      <c r="AQ59" s="769"/>
      <c r="AR59" s="769"/>
    </row>
    <row r="60" spans="1:44" s="825" customFormat="1" ht="36.75" customHeight="1" hidden="1" outlineLevel="2">
      <c r="A60" s="2174" t="s">
        <v>361</v>
      </c>
      <c r="B60" s="2175"/>
      <c r="C60" s="2175"/>
      <c r="D60" s="2175"/>
      <c r="E60" s="2175"/>
      <c r="F60" s="2176"/>
      <c r="G60" s="1184">
        <v>0</v>
      </c>
      <c r="H60" s="1184">
        <v>195405</v>
      </c>
      <c r="I60" s="771">
        <f t="shared" si="22"/>
        <v>13678.350000000002</v>
      </c>
      <c r="J60" s="1194">
        <f t="shared" si="23"/>
        <v>209083.35</v>
      </c>
      <c r="K60" s="772">
        <f>SUM(L23+L24)</f>
        <v>0</v>
      </c>
      <c r="L60" s="771">
        <f>SUM(M23+M24)</f>
        <v>47368</v>
      </c>
      <c r="M60" s="771">
        <f>L60*7%</f>
        <v>3315.76</v>
      </c>
      <c r="N60" s="1226">
        <f>SUM(L60:M60)</f>
        <v>50683.76</v>
      </c>
      <c r="O60" s="772">
        <f>SUM(O$23,O24)</f>
        <v>0</v>
      </c>
      <c r="P60" s="771">
        <f>SUM(P$23,P24)</f>
        <v>19336</v>
      </c>
      <c r="Q60" s="771">
        <f>P60*7%</f>
        <v>1353.5200000000002</v>
      </c>
      <c r="R60" s="1226">
        <f>SUM(P60:Q60)</f>
        <v>20689.52</v>
      </c>
      <c r="S60" s="772">
        <f t="shared" si="28"/>
        <v>0</v>
      </c>
      <c r="T60" s="771">
        <f t="shared" si="29"/>
        <v>28032</v>
      </c>
      <c r="U60" s="770">
        <f t="shared" si="33"/>
        <v>1962.2400000000002</v>
      </c>
      <c r="V60" s="1226">
        <f>SUM(T60:U60)</f>
        <v>29994.24</v>
      </c>
      <c r="W60" s="772">
        <f>SUM(V23+V24)</f>
        <v>0</v>
      </c>
      <c r="X60" s="771">
        <f>SUM(W23+W24)</f>
        <v>28032</v>
      </c>
      <c r="Y60" s="771">
        <f>X60*7%</f>
        <v>1962.2400000000002</v>
      </c>
      <c r="Z60" s="1226">
        <f t="shared" si="21"/>
        <v>29994.24</v>
      </c>
      <c r="AA60" s="772">
        <f>Y23+Y24</f>
        <v>0</v>
      </c>
      <c r="AB60" s="771">
        <f>Z23+Z24</f>
        <v>0</v>
      </c>
      <c r="AC60" s="771">
        <f>AB60*7%</f>
        <v>0</v>
      </c>
      <c r="AD60" s="1456">
        <f>SUM(AB60:AC60)</f>
        <v>0</v>
      </c>
      <c r="AE60" s="772">
        <f t="shared" si="30"/>
        <v>0</v>
      </c>
      <c r="AF60" s="771">
        <f t="shared" si="31"/>
        <v>28032</v>
      </c>
      <c r="AG60" s="771">
        <f>SUM(Y60,AC60)</f>
        <v>1962.2400000000002</v>
      </c>
      <c r="AH60" s="1570">
        <f>SUM(AF60:AG60)</f>
        <v>29994.24</v>
      </c>
      <c r="AI60" s="769"/>
      <c r="AJ60" s="1722"/>
      <c r="AK60" s="769"/>
      <c r="AL60" s="769"/>
      <c r="AM60" s="769"/>
      <c r="AN60" s="769"/>
      <c r="AO60" s="769"/>
      <c r="AP60" s="769"/>
      <c r="AQ60" s="769"/>
      <c r="AR60" s="769"/>
    </row>
    <row r="61" spans="1:46" s="1146" customFormat="1" ht="24" customHeight="1" hidden="1" outlineLevel="2">
      <c r="A61" s="2187" t="s">
        <v>101</v>
      </c>
      <c r="B61" s="2188"/>
      <c r="C61" s="2188"/>
      <c r="D61" s="2188"/>
      <c r="E61" s="2188"/>
      <c r="F61" s="2189"/>
      <c r="G61" s="1181">
        <f>SUM(G52:G60)</f>
        <v>122845</v>
      </c>
      <c r="H61" s="1208">
        <f aca="true" t="shared" si="35" ref="H61:Q61">SUM(H51:H60)</f>
        <v>298405</v>
      </c>
      <c r="I61" s="1208">
        <f t="shared" si="35"/>
        <v>20888.350000000002</v>
      </c>
      <c r="J61" s="1215">
        <f t="shared" si="35"/>
        <v>319293.35</v>
      </c>
      <c r="K61" s="1211">
        <f t="shared" si="35"/>
        <v>55588</v>
      </c>
      <c r="L61" s="1209">
        <f t="shared" si="35"/>
        <v>85685</v>
      </c>
      <c r="M61" s="1209">
        <f t="shared" si="35"/>
        <v>5997.950000000001</v>
      </c>
      <c r="N61" s="1210">
        <f t="shared" si="35"/>
        <v>91682.95000000001</v>
      </c>
      <c r="O61" s="1211">
        <f t="shared" si="35"/>
        <v>67610</v>
      </c>
      <c r="P61" s="1209">
        <f t="shared" si="35"/>
        <v>81798</v>
      </c>
      <c r="Q61" s="1209">
        <f t="shared" si="35"/>
        <v>5725.860000000001</v>
      </c>
      <c r="R61" s="1210">
        <f>SUM(P61:Q61)</f>
        <v>87523.86</v>
      </c>
      <c r="S61" s="1211">
        <f aca="true" t="shared" si="36" ref="S61:AH61">SUM(S51:S60)</f>
        <v>-12022</v>
      </c>
      <c r="T61" s="1209">
        <f t="shared" si="36"/>
        <v>3887</v>
      </c>
      <c r="U61" s="1209">
        <f t="shared" si="36"/>
        <v>272.09000000000015</v>
      </c>
      <c r="V61" s="1210">
        <f t="shared" si="36"/>
        <v>4159.09</v>
      </c>
      <c r="W61" s="1211">
        <f t="shared" si="36"/>
        <v>20000</v>
      </c>
      <c r="X61" s="1209">
        <f t="shared" si="36"/>
        <v>31635</v>
      </c>
      <c r="Y61" s="1209">
        <f t="shared" si="36"/>
        <v>2214.4500000000003</v>
      </c>
      <c r="Z61" s="1210">
        <f t="shared" si="36"/>
        <v>33849.450000000004</v>
      </c>
      <c r="AA61" s="1211">
        <f t="shared" si="36"/>
        <v>5000</v>
      </c>
      <c r="AB61" s="1209">
        <f t="shared" si="36"/>
        <v>0</v>
      </c>
      <c r="AC61" s="1209">
        <f t="shared" si="36"/>
        <v>0</v>
      </c>
      <c r="AD61" s="1113">
        <f t="shared" si="36"/>
        <v>0</v>
      </c>
      <c r="AE61" s="1211">
        <f t="shared" si="36"/>
        <v>25000</v>
      </c>
      <c r="AF61" s="1209">
        <f t="shared" si="36"/>
        <v>31635</v>
      </c>
      <c r="AG61" s="1209">
        <f t="shared" si="36"/>
        <v>2214.4500000000003</v>
      </c>
      <c r="AH61" s="1214">
        <f t="shared" si="36"/>
        <v>33849.450000000004</v>
      </c>
      <c r="AI61" s="1732"/>
      <c r="AJ61" s="1732"/>
      <c r="AK61" s="1145"/>
      <c r="AL61" s="776"/>
      <c r="AM61" s="776"/>
      <c r="AN61" s="776"/>
      <c r="AO61" s="776"/>
      <c r="AP61" s="776"/>
      <c r="AQ61" s="776"/>
      <c r="AR61" s="776"/>
      <c r="AS61" s="776"/>
      <c r="AT61" s="776"/>
    </row>
    <row r="62" spans="1:44" s="616" customFormat="1" ht="48.75" customHeight="1" hidden="1" outlineLevel="2">
      <c r="A62" s="2168" t="s">
        <v>529</v>
      </c>
      <c r="B62" s="2169"/>
      <c r="C62" s="2169"/>
      <c r="D62" s="2169"/>
      <c r="E62" s="2169"/>
      <c r="F62" s="2170"/>
      <c r="G62" s="944">
        <v>152071</v>
      </c>
      <c r="H62" s="839">
        <f>143848-1693</f>
        <v>142155</v>
      </c>
      <c r="I62" s="1182">
        <f>H62*7%-1</f>
        <v>9949.85</v>
      </c>
      <c r="J62" s="1723">
        <f>SUM(H62:I62)</f>
        <v>152104.85</v>
      </c>
      <c r="K62" s="943">
        <f>SUM(L$11,L$16,L$18,L$20,L$22,L$31,L$33)</f>
        <v>106239</v>
      </c>
      <c r="L62" s="1182">
        <f>SUM(M$11,M$16,M$18,M$20,M$22,M$31,M$33)</f>
        <v>58683</v>
      </c>
      <c r="M62" s="1182">
        <f>L62*7%</f>
        <v>4107.81</v>
      </c>
      <c r="N62" s="1577">
        <f>SUM(L62:M62)</f>
        <v>62790.81</v>
      </c>
      <c r="O62" s="943">
        <f>SUM(O$11,O$16,O$18,O$20,O$22,O$31,O$33)</f>
        <v>93909</v>
      </c>
      <c r="P62" s="1182">
        <f>SUM(P$11,P$16,P$18,P$20,P$22,P$31,P$33)</f>
        <v>48975</v>
      </c>
      <c r="Q62" s="1182">
        <f>P62*7%-1428</f>
        <v>2000.2500000000005</v>
      </c>
      <c r="R62" s="1580">
        <f>SUM(P62:Q62)</f>
        <v>50975.25</v>
      </c>
      <c r="S62" s="943">
        <f>K62-O62</f>
        <v>12330</v>
      </c>
      <c r="T62" s="1182">
        <f>L62-P62</f>
        <v>9708</v>
      </c>
      <c r="U62" s="1182">
        <f>T62*7%+1428</f>
        <v>2107.56</v>
      </c>
      <c r="V62" s="1577">
        <f>SUM(T62:U62)</f>
        <v>11815.56</v>
      </c>
      <c r="W62" s="943">
        <f>SUM(V$11,V$16,V$18,V$20,V$22,V$31,V$33)</f>
        <v>48242</v>
      </c>
      <c r="X62" s="943">
        <f>SUM(W$11,W$16,W$18,W$20,W$22,W$31,W$33)</f>
        <v>36796</v>
      </c>
      <c r="Y62" s="1182">
        <f>X62*7%</f>
        <v>2575.7200000000003</v>
      </c>
      <c r="Z62" s="1580">
        <f>SUM(X62:Y62)</f>
        <v>39371.72</v>
      </c>
      <c r="AA62" s="943">
        <f>SUM(Y$11,Y$16,Y$18,Y$20,Y$22,Y$31,Y$33)</f>
        <v>6594</v>
      </c>
      <c r="AB62" s="1182">
        <f>SUM(Z$11,Z$16,Z$18,Z$20,Z$22,Z$31,Z$33)</f>
        <v>18565</v>
      </c>
      <c r="AC62" s="1182">
        <f>AB62*7%</f>
        <v>1299.5500000000002</v>
      </c>
      <c r="AD62" s="1580">
        <f>SUM(AB62:AC62)</f>
        <v>19864.55</v>
      </c>
      <c r="AE62" s="943">
        <f>W62+AA62</f>
        <v>54836</v>
      </c>
      <c r="AF62" s="1182">
        <f>X62+AB62</f>
        <v>55361</v>
      </c>
      <c r="AG62" s="1182">
        <f>AF62*7%</f>
        <v>3875.2700000000004</v>
      </c>
      <c r="AH62" s="1581">
        <f>SUM(AF62:AG62)</f>
        <v>59236.270000000004</v>
      </c>
      <c r="AI62" s="1733">
        <f>AA83</f>
        <v>59235.9533</v>
      </c>
      <c r="AJ62" s="1734"/>
      <c r="AK62" s="847"/>
      <c r="AL62" s="725"/>
      <c r="AM62" s="725"/>
      <c r="AN62" s="725"/>
      <c r="AO62" s="725"/>
      <c r="AP62" s="725"/>
      <c r="AQ62" s="725"/>
      <c r="AR62" s="725"/>
    </row>
    <row r="63" spans="1:44" s="616" customFormat="1" ht="33" customHeight="1" hidden="1" outlineLevel="2">
      <c r="A63" s="2171" t="s">
        <v>427</v>
      </c>
      <c r="B63" s="2172"/>
      <c r="C63" s="2172"/>
      <c r="D63" s="2172"/>
      <c r="E63" s="2172"/>
      <c r="F63" s="2173"/>
      <c r="G63" s="1571">
        <f>SUM(G61:G62)</f>
        <v>274916</v>
      </c>
      <c r="H63" s="685">
        <v>0</v>
      </c>
      <c r="I63" s="958">
        <f>ROUND(G63*7%,1)</f>
        <v>19244.1</v>
      </c>
      <c r="J63" s="959">
        <f>SUM(G63:I63)</f>
        <v>294160.1</v>
      </c>
      <c r="K63" s="1573">
        <f>SUM(K$61,K$62)</f>
        <v>161827</v>
      </c>
      <c r="L63" s="1572">
        <v>0</v>
      </c>
      <c r="M63" s="1572">
        <f>K63*7%</f>
        <v>11327.890000000001</v>
      </c>
      <c r="N63" s="1583">
        <f>SUM(K63:M63)</f>
        <v>173154.89</v>
      </c>
      <c r="O63" s="1573">
        <f>SUM(O$61,O$62)</f>
        <v>161519</v>
      </c>
      <c r="P63" s="1572">
        <v>0</v>
      </c>
      <c r="Q63" s="1572">
        <f>O63*7%</f>
        <v>11306.330000000002</v>
      </c>
      <c r="R63" s="1576">
        <f>SUM(O63:Q63)</f>
        <v>172825.33000000002</v>
      </c>
      <c r="S63" s="1573">
        <f>K63-O63</f>
        <v>308</v>
      </c>
      <c r="T63" s="1572">
        <f>L63-P63</f>
        <v>0</v>
      </c>
      <c r="U63" s="1572">
        <f>S63*7%</f>
        <v>21.560000000000002</v>
      </c>
      <c r="V63" s="1583">
        <f>SUM(S63:U63)</f>
        <v>329.56</v>
      </c>
      <c r="W63" s="1573">
        <f>SUM(W$61,W$62)</f>
        <v>68242</v>
      </c>
      <c r="X63" s="1572">
        <v>0</v>
      </c>
      <c r="Y63" s="1572">
        <f>W63*7%</f>
        <v>4776.9400000000005</v>
      </c>
      <c r="Z63" s="1576">
        <f>SUM(W63:Y63)</f>
        <v>73018.94</v>
      </c>
      <c r="AA63" s="1573">
        <f>SUM(AA$61,AA$62)</f>
        <v>11594</v>
      </c>
      <c r="AB63" s="1572">
        <v>0</v>
      </c>
      <c r="AC63" s="1571">
        <f>AA63*7%</f>
        <v>811.58</v>
      </c>
      <c r="AD63" s="1583">
        <f>SUM(AA63:AC63)</f>
        <v>12405.58</v>
      </c>
      <c r="AE63" s="1573">
        <f>AE61+AE62</f>
        <v>79836</v>
      </c>
      <c r="AF63" s="1571"/>
      <c r="AG63" s="1572">
        <f>AE63*7%</f>
        <v>5588.52</v>
      </c>
      <c r="AH63" s="1724">
        <f>SUM(AE63:AG63)</f>
        <v>85424.52</v>
      </c>
      <c r="AI63" s="1734">
        <f>S83</f>
        <v>85424.70999999999</v>
      </c>
      <c r="AJ63" s="1734">
        <f>AH63-AI63</f>
        <v>-0.1899999999877764</v>
      </c>
      <c r="AK63" s="718"/>
      <c r="AL63" s="725"/>
      <c r="AM63" s="725"/>
      <c r="AN63" s="725"/>
      <c r="AO63" s="725"/>
      <c r="AP63" s="725"/>
      <c r="AQ63" s="725"/>
      <c r="AR63" s="725"/>
    </row>
    <row r="64" spans="1:44" s="825" customFormat="1" ht="57.75" customHeight="1" hidden="1" outlineLevel="2" thickBot="1">
      <c r="A64" s="2177" t="s">
        <v>362</v>
      </c>
      <c r="B64" s="2178"/>
      <c r="C64" s="2178"/>
      <c r="D64" s="2178"/>
      <c r="E64" s="2178"/>
      <c r="F64" s="2179"/>
      <c r="G64" s="780">
        <f>SUM(G63)</f>
        <v>274916</v>
      </c>
      <c r="H64" s="780">
        <f>SUM(H62:H63)</f>
        <v>142155</v>
      </c>
      <c r="I64" s="1584">
        <f>SUM(I62:I63)</f>
        <v>29193.949999999997</v>
      </c>
      <c r="J64" s="1725">
        <f>SUM(J62:J63)</f>
        <v>446264.94999999995</v>
      </c>
      <c r="K64" s="1726">
        <f>SUM(K63)</f>
        <v>161827</v>
      </c>
      <c r="L64" s="1584">
        <f>SUM(L62:L63)</f>
        <v>58683</v>
      </c>
      <c r="M64" s="1584">
        <f>SUM(M62:M63)</f>
        <v>15435.7</v>
      </c>
      <c r="N64" s="1585">
        <f>SUM(N62:N63)</f>
        <v>235945.7</v>
      </c>
      <c r="O64" s="1726">
        <f>SUM(O63)</f>
        <v>161519</v>
      </c>
      <c r="P64" s="1584">
        <f>P62</f>
        <v>48975</v>
      </c>
      <c r="Q64" s="1584">
        <f>SUM(Q62:Q63)</f>
        <v>13306.580000000002</v>
      </c>
      <c r="R64" s="1591">
        <f>SUM(O64+P64+Q64)</f>
        <v>223800.58000000002</v>
      </c>
      <c r="S64" s="1726">
        <f>S63</f>
        <v>308</v>
      </c>
      <c r="T64" s="1584">
        <f>SUM(T62:T63)</f>
        <v>9708</v>
      </c>
      <c r="U64" s="1584">
        <f>SUM(U62:U63)</f>
        <v>2129.12</v>
      </c>
      <c r="V64" s="1591">
        <f>SUM(S64:U64)</f>
        <v>12145.119999999999</v>
      </c>
      <c r="W64" s="1726">
        <f>SUM(W63)</f>
        <v>68242</v>
      </c>
      <c r="X64" s="1584">
        <f>X62</f>
        <v>36796</v>
      </c>
      <c r="Y64" s="1967">
        <f>SUM(Y62:Y63)</f>
        <v>7352.660000000001</v>
      </c>
      <c r="Z64" s="1591">
        <f>SUM(W64:Y64)</f>
        <v>112390.66</v>
      </c>
      <c r="AA64" s="1726">
        <f>AA63</f>
        <v>11594</v>
      </c>
      <c r="AB64" s="1584">
        <f>AB62</f>
        <v>18565</v>
      </c>
      <c r="AC64" s="1727">
        <f>SUM(AC62:AC63)</f>
        <v>2111.13</v>
      </c>
      <c r="AD64" s="1585">
        <f>SUM(AD62:AD63)</f>
        <v>32270.129999999997</v>
      </c>
      <c r="AE64" s="1726">
        <f>AE63</f>
        <v>79836</v>
      </c>
      <c r="AF64" s="1727">
        <f>AF62</f>
        <v>55361</v>
      </c>
      <c r="AG64" s="1584">
        <f>SUM(AG62:AG63)</f>
        <v>9463.79</v>
      </c>
      <c r="AH64" s="1728">
        <f>SUM(AE64:AG64)</f>
        <v>144660.79</v>
      </c>
      <c r="AI64" s="1735">
        <f>AB83</f>
        <v>144660.6633</v>
      </c>
      <c r="AJ64" s="1440"/>
      <c r="AK64" s="776"/>
      <c r="AL64" s="776"/>
      <c r="AM64" s="776"/>
      <c r="AN64" s="769"/>
      <c r="AO64" s="769"/>
      <c r="AP64" s="769"/>
      <c r="AQ64" s="769"/>
      <c r="AR64" s="769"/>
    </row>
    <row r="65" spans="1:44" s="825" customFormat="1" ht="41.25" customHeight="1" hidden="1" outlineLevel="2" thickBot="1" thickTop="1">
      <c r="A65" s="2180" t="s">
        <v>146</v>
      </c>
      <c r="B65" s="2181"/>
      <c r="C65" s="2181"/>
      <c r="D65" s="2181"/>
      <c r="E65" s="2181"/>
      <c r="F65" s="2182"/>
      <c r="G65" s="1712">
        <f>SUM(G64)</f>
        <v>274916</v>
      </c>
      <c r="H65" s="1712">
        <f>SUM(H64+H61)</f>
        <v>440560</v>
      </c>
      <c r="I65" s="1713">
        <f>SUM(I64+I61)</f>
        <v>50082.3</v>
      </c>
      <c r="J65" s="1717">
        <f>SUM(J64+J61)</f>
        <v>765558.2999999999</v>
      </c>
      <c r="K65" s="1720">
        <f>K64</f>
        <v>161827</v>
      </c>
      <c r="L65" s="1713">
        <f>SUM(L61+L64)</f>
        <v>144368</v>
      </c>
      <c r="M65" s="1713">
        <f>SUM(M64,M61)</f>
        <v>21433.65</v>
      </c>
      <c r="N65" s="1714">
        <f>SUM(N61+N64)</f>
        <v>327628.65</v>
      </c>
      <c r="O65" s="1720">
        <f>O63</f>
        <v>161519</v>
      </c>
      <c r="P65" s="1713">
        <f>SUM(P61:P62)</f>
        <v>130773</v>
      </c>
      <c r="Q65" s="1713">
        <f>SUM(Q61:Q63)</f>
        <v>19032.440000000002</v>
      </c>
      <c r="R65" s="1714">
        <f>R61+R64</f>
        <v>311324.44</v>
      </c>
      <c r="S65" s="1720">
        <f>S63</f>
        <v>308</v>
      </c>
      <c r="T65" s="1713">
        <f>SUM(T61:T62)</f>
        <v>13595</v>
      </c>
      <c r="U65" s="1713">
        <f>SUM(U61:U63)</f>
        <v>2401.21</v>
      </c>
      <c r="V65" s="1714">
        <f>V61+V64</f>
        <v>16304.21</v>
      </c>
      <c r="W65" s="1720">
        <f>SUM(W64)</f>
        <v>68242</v>
      </c>
      <c r="X65" s="1713">
        <f>SUM(X61:X62)</f>
        <v>68431</v>
      </c>
      <c r="Y65" s="1713">
        <f>SUM(Y61:Y63)</f>
        <v>9567.11</v>
      </c>
      <c r="Z65" s="1718">
        <f>SUM(Z61:Z63)</f>
        <v>146240.11000000002</v>
      </c>
      <c r="AA65" s="1729">
        <f>SUM(AA64+AA60)</f>
        <v>11594</v>
      </c>
      <c r="AB65" s="1730">
        <f>SUM(AB64+AB60)</f>
        <v>18565</v>
      </c>
      <c r="AC65" s="1730">
        <f>SUM(AC64+AC60)</f>
        <v>2111.13</v>
      </c>
      <c r="AD65" s="1718">
        <f>SUM(AD64+AD60)</f>
        <v>32270.129999999997</v>
      </c>
      <c r="AE65" s="1720">
        <f>SUM(AE64)</f>
        <v>79836</v>
      </c>
      <c r="AF65" s="1713">
        <f>SUM(AF61:AF62)</f>
        <v>86996</v>
      </c>
      <c r="AG65" s="1713">
        <f>SUM(AG61:AG63)</f>
        <v>11678.240000000002</v>
      </c>
      <c r="AH65" s="1731">
        <f>SUM(AE65:AG65)</f>
        <v>178510.24</v>
      </c>
      <c r="AI65" s="776"/>
      <c r="AJ65" s="776"/>
      <c r="AK65" s="776"/>
      <c r="AL65" s="776"/>
      <c r="AM65" s="776"/>
      <c r="AN65" s="769"/>
      <c r="AO65" s="769"/>
      <c r="AP65" s="769"/>
      <c r="AQ65" s="769"/>
      <c r="AR65" s="769"/>
    </row>
    <row r="66" spans="1:33" ht="15" customHeight="1" hidden="1" outlineLevel="1" collapsed="1">
      <c r="A66" s="626"/>
      <c r="B66" s="626"/>
      <c r="C66" s="789"/>
      <c r="D66" s="789"/>
      <c r="E66" s="789"/>
      <c r="F66" s="789"/>
      <c r="G66" s="789"/>
      <c r="H66" s="791"/>
      <c r="I66" s="790"/>
      <c r="J66" s="792"/>
      <c r="K66" s="626"/>
      <c r="L66" s="626"/>
      <c r="M66" s="626"/>
      <c r="N66" s="794"/>
      <c r="O66" s="818"/>
      <c r="P66" s="818"/>
      <c r="Q66" s="1041"/>
      <c r="R66" s="990"/>
      <c r="S66" s="793"/>
      <c r="T66" s="626"/>
      <c r="U66" s="796"/>
      <c r="V66" s="1141">
        <f>N65-R65</f>
        <v>16304.210000000021</v>
      </c>
      <c r="W66" s="794"/>
      <c r="X66" s="989"/>
      <c r="Y66" s="989"/>
      <c r="AF66" s="794"/>
      <c r="AG66" s="794"/>
    </row>
    <row r="67" spans="1:34" ht="15" customHeight="1" hidden="1" outlineLevel="1">
      <c r="A67" s="626"/>
      <c r="B67" s="626"/>
      <c r="C67" s="789"/>
      <c r="D67" s="789"/>
      <c r="E67" s="789"/>
      <c r="F67" s="789"/>
      <c r="G67" s="789"/>
      <c r="H67" s="791"/>
      <c r="I67" s="790"/>
      <c r="J67" s="792"/>
      <c r="K67" s="794"/>
      <c r="L67" s="626"/>
      <c r="M67" s="626"/>
      <c r="N67" s="794"/>
      <c r="O67" s="818"/>
      <c r="P67" s="818"/>
      <c r="Q67" s="818"/>
      <c r="R67" s="990"/>
      <c r="S67" s="793"/>
      <c r="T67" s="626"/>
      <c r="U67" s="796"/>
      <c r="W67" s="794"/>
      <c r="X67" s="989"/>
      <c r="Y67" s="989"/>
      <c r="AD67" s="794"/>
      <c r="AF67" s="794"/>
      <c r="AG67" s="794"/>
      <c r="AH67" s="794"/>
    </row>
    <row r="68" spans="1:29" ht="30" customHeight="1" hidden="1" outlineLevel="1">
      <c r="A68" s="626"/>
      <c r="B68" s="626"/>
      <c r="C68" s="789"/>
      <c r="D68" s="789"/>
      <c r="E68" s="789"/>
      <c r="F68" s="789"/>
      <c r="G68" s="789"/>
      <c r="J68" s="790" t="s">
        <v>530</v>
      </c>
      <c r="M68" s="790"/>
      <c r="N68" s="792"/>
      <c r="O68" s="1042"/>
      <c r="P68" s="1042"/>
      <c r="Q68" s="1042"/>
      <c r="R68" s="626"/>
      <c r="S68" s="626"/>
      <c r="T68" s="626"/>
      <c r="U68" s="989" t="s">
        <v>132</v>
      </c>
      <c r="X68" s="790"/>
      <c r="Y68" s="792"/>
      <c r="Z68" s="1043"/>
      <c r="AA68" s="1144"/>
      <c r="AB68" s="1042"/>
      <c r="AC68" s="626"/>
    </row>
    <row r="69" spans="10:44" ht="45.75" customHeight="1" hidden="1" outlineLevel="1">
      <c r="J69" s="2135"/>
      <c r="K69" s="1736" t="s">
        <v>106</v>
      </c>
      <c r="L69" s="1736" t="s">
        <v>107</v>
      </c>
      <c r="M69" s="1222" t="s">
        <v>116</v>
      </c>
      <c r="N69" s="1222" t="s">
        <v>131</v>
      </c>
      <c r="O69" s="1222" t="s">
        <v>111</v>
      </c>
      <c r="P69" s="1222" t="s">
        <v>110</v>
      </c>
      <c r="Q69" s="1222" t="s">
        <v>108</v>
      </c>
      <c r="R69" s="1222" t="s">
        <v>109</v>
      </c>
      <c r="S69" s="1221" t="s">
        <v>118</v>
      </c>
      <c r="U69" s="1737"/>
      <c r="V69" s="1736" t="s">
        <v>106</v>
      </c>
      <c r="W69" s="1628" t="s">
        <v>107</v>
      </c>
      <c r="X69" s="1222" t="s">
        <v>116</v>
      </c>
      <c r="Y69" s="1222" t="s">
        <v>458</v>
      </c>
      <c r="Z69" s="1222" t="s">
        <v>109</v>
      </c>
      <c r="AA69" s="1221" t="s">
        <v>118</v>
      </c>
      <c r="AB69" s="1737" t="s">
        <v>484</v>
      </c>
      <c r="AP69" s="625"/>
      <c r="AQ69" s="625"/>
      <c r="AR69" s="625"/>
    </row>
    <row r="70" spans="10:44" ht="24.75" customHeight="1" hidden="1" outlineLevel="1">
      <c r="J70" s="2136"/>
      <c r="K70" s="1736" t="s">
        <v>112</v>
      </c>
      <c r="L70" s="1736" t="s">
        <v>113</v>
      </c>
      <c r="M70" s="1628" t="s">
        <v>114</v>
      </c>
      <c r="N70" s="1628" t="s">
        <v>115</v>
      </c>
      <c r="O70" s="1628" t="s">
        <v>117</v>
      </c>
      <c r="P70" s="1628" t="s">
        <v>125</v>
      </c>
      <c r="Q70" s="1628" t="s">
        <v>126</v>
      </c>
      <c r="R70" s="1628" t="s">
        <v>127</v>
      </c>
      <c r="S70" s="1629" t="s">
        <v>128</v>
      </c>
      <c r="U70" s="1738"/>
      <c r="V70" s="1628" t="s">
        <v>112</v>
      </c>
      <c r="W70" s="1628" t="s">
        <v>113</v>
      </c>
      <c r="X70" s="1628" t="s">
        <v>114</v>
      </c>
      <c r="Y70" s="1628" t="s">
        <v>115</v>
      </c>
      <c r="Z70" s="1628" t="s">
        <v>129</v>
      </c>
      <c r="AA70" s="1739" t="s">
        <v>130</v>
      </c>
      <c r="AB70" s="1740"/>
      <c r="AP70" s="625"/>
      <c r="AQ70" s="625"/>
      <c r="AR70" s="625"/>
    </row>
    <row r="71" spans="10:44" ht="30" customHeight="1" hidden="1" outlineLevel="1">
      <c r="J71" s="688" t="s">
        <v>358</v>
      </c>
      <c r="K71" s="1159">
        <v>2160</v>
      </c>
      <c r="L71" s="693">
        <v>3773.59</v>
      </c>
      <c r="M71" s="693">
        <v>500</v>
      </c>
      <c r="N71" s="693">
        <v>0</v>
      </c>
      <c r="O71" s="701">
        <f>O43</f>
        <v>3774</v>
      </c>
      <c r="P71" s="701">
        <f>O71-N71</f>
        <v>3774</v>
      </c>
      <c r="Q71" s="701">
        <f>N71+P71</f>
        <v>3774</v>
      </c>
      <c r="R71" s="701">
        <f>M71-Q71</f>
        <v>-3274</v>
      </c>
      <c r="S71" s="806">
        <f aca="true" t="shared" si="37" ref="S71:S82">K71-L71-Q71</f>
        <v>-5387.59</v>
      </c>
      <c r="U71" s="687" t="s">
        <v>358</v>
      </c>
      <c r="V71" s="693">
        <v>1080</v>
      </c>
      <c r="W71" s="693">
        <v>708</v>
      </c>
      <c r="X71" s="1159">
        <v>500</v>
      </c>
      <c r="Y71" s="701">
        <v>658.81</v>
      </c>
      <c r="Z71" s="701">
        <f>X71-Y71</f>
        <v>-158.80999999999995</v>
      </c>
      <c r="AA71" s="1047">
        <f>V71-W71-Y71</f>
        <v>-286.80999999999995</v>
      </c>
      <c r="AB71" s="807">
        <f aca="true" t="shared" si="38" ref="AB71:AB83">S71+AA71</f>
        <v>-5674.4</v>
      </c>
      <c r="AP71" s="625"/>
      <c r="AQ71" s="625"/>
      <c r="AR71" s="625"/>
    </row>
    <row r="72" spans="3:44" ht="30" customHeight="1" hidden="1" outlineLevel="1">
      <c r="C72" s="625"/>
      <c r="D72" s="625"/>
      <c r="E72" s="625"/>
      <c r="F72" s="625"/>
      <c r="G72" s="625"/>
      <c r="J72" s="688" t="s">
        <v>357</v>
      </c>
      <c r="K72" s="1159">
        <v>39585</v>
      </c>
      <c r="L72" s="701">
        <v>7081.88</v>
      </c>
      <c r="M72" s="701">
        <v>25384</v>
      </c>
      <c r="N72" s="701">
        <v>15187.32</v>
      </c>
      <c r="O72" s="701">
        <f>O35</f>
        <v>20460</v>
      </c>
      <c r="P72" s="701">
        <f aca="true" t="shared" si="39" ref="P72:P82">O72-N72</f>
        <v>5272.68</v>
      </c>
      <c r="Q72" s="701">
        <f aca="true" t="shared" si="40" ref="Q72:Q82">N72+P72</f>
        <v>20460</v>
      </c>
      <c r="R72" s="701">
        <f aca="true" t="shared" si="41" ref="R72:R82">M72-Q72</f>
        <v>4924</v>
      </c>
      <c r="S72" s="806">
        <f t="shared" si="37"/>
        <v>12043.119999999999</v>
      </c>
      <c r="U72" s="687" t="s">
        <v>357</v>
      </c>
      <c r="V72" s="701">
        <v>50196</v>
      </c>
      <c r="W72" s="701">
        <f>20602+2014</f>
        <v>22616</v>
      </c>
      <c r="X72" s="1159">
        <v>27000</v>
      </c>
      <c r="Y72" s="701">
        <v>24332.51</v>
      </c>
      <c r="Z72" s="701">
        <f>X72-Y72</f>
        <v>2667.4900000000016</v>
      </c>
      <c r="AA72" s="1047">
        <f>V72-W72-Y72</f>
        <v>3247.4900000000016</v>
      </c>
      <c r="AB72" s="807">
        <f t="shared" si="38"/>
        <v>15290.61</v>
      </c>
      <c r="AP72" s="625"/>
      <c r="AQ72" s="625"/>
      <c r="AR72" s="625"/>
    </row>
    <row r="73" spans="3:44" ht="30" customHeight="1" hidden="1" outlineLevel="1">
      <c r="C73" s="625"/>
      <c r="D73" s="625"/>
      <c r="E73" s="625"/>
      <c r="F73" s="625"/>
      <c r="G73" s="625"/>
      <c r="J73" s="996" t="s">
        <v>423</v>
      </c>
      <c r="K73" s="1159">
        <v>0</v>
      </c>
      <c r="L73" s="701">
        <v>0</v>
      </c>
      <c r="M73" s="701">
        <v>0</v>
      </c>
      <c r="N73" s="701">
        <v>0</v>
      </c>
      <c r="O73" s="701">
        <f>O42</f>
        <v>0</v>
      </c>
      <c r="P73" s="701">
        <f t="shared" si="39"/>
        <v>0</v>
      </c>
      <c r="Q73" s="701">
        <f t="shared" si="40"/>
        <v>0</v>
      </c>
      <c r="R73" s="701">
        <f t="shared" si="41"/>
        <v>0</v>
      </c>
      <c r="S73" s="806">
        <f t="shared" si="37"/>
        <v>0</v>
      </c>
      <c r="U73" s="756" t="s">
        <v>423</v>
      </c>
      <c r="V73" s="701">
        <v>5000</v>
      </c>
      <c r="W73" s="701">
        <v>0</v>
      </c>
      <c r="X73" s="1159">
        <v>1000</v>
      </c>
      <c r="Y73" s="701">
        <f>P42</f>
        <v>3485.27</v>
      </c>
      <c r="Z73" s="701">
        <f aca="true" t="shared" si="42" ref="Z73:Z82">X73-Y73</f>
        <v>-2485.27</v>
      </c>
      <c r="AA73" s="1047">
        <f aca="true" t="shared" si="43" ref="AA73:AA82">V73-W73-Y73</f>
        <v>1514.73</v>
      </c>
      <c r="AB73" s="807">
        <f t="shared" si="38"/>
        <v>1514.73</v>
      </c>
      <c r="AP73" s="625"/>
      <c r="AQ73" s="625"/>
      <c r="AR73" s="625"/>
    </row>
    <row r="74" spans="3:44" ht="30" customHeight="1" hidden="1" outlineLevel="1">
      <c r="C74" s="625"/>
      <c r="D74" s="625"/>
      <c r="E74" s="625"/>
      <c r="F74" s="625"/>
      <c r="G74" s="625"/>
      <c r="J74" s="688" t="s">
        <v>334</v>
      </c>
      <c r="K74" s="1159">
        <f>5610-5610</f>
        <v>0</v>
      </c>
      <c r="L74" s="701">
        <v>8.64</v>
      </c>
      <c r="M74" s="701">
        <v>0</v>
      </c>
      <c r="N74" s="701">
        <v>0</v>
      </c>
      <c r="O74" s="701">
        <f>0</f>
        <v>0</v>
      </c>
      <c r="P74" s="701">
        <f t="shared" si="39"/>
        <v>0</v>
      </c>
      <c r="Q74" s="701">
        <f t="shared" si="40"/>
        <v>0</v>
      </c>
      <c r="R74" s="701">
        <f t="shared" si="41"/>
        <v>0</v>
      </c>
      <c r="S74" s="806">
        <f t="shared" si="37"/>
        <v>-8.64</v>
      </c>
      <c r="U74" s="687" t="s">
        <v>334</v>
      </c>
      <c r="V74" s="701">
        <f>3485-3485</f>
        <v>0</v>
      </c>
      <c r="W74" s="701">
        <v>0</v>
      </c>
      <c r="X74" s="1159">
        <v>0</v>
      </c>
      <c r="Y74" s="701"/>
      <c r="Z74" s="701">
        <f t="shared" si="42"/>
        <v>0</v>
      </c>
      <c r="AA74" s="1047">
        <f t="shared" si="43"/>
        <v>0</v>
      </c>
      <c r="AB74" s="807">
        <f t="shared" si="38"/>
        <v>-8.64</v>
      </c>
      <c r="AP74" s="625"/>
      <c r="AQ74" s="625"/>
      <c r="AR74" s="625"/>
    </row>
    <row r="75" spans="3:44" ht="30" customHeight="1" hidden="1" outlineLevel="1">
      <c r="C75" s="625"/>
      <c r="D75" s="625"/>
      <c r="E75" s="625"/>
      <c r="F75" s="625"/>
      <c r="G75" s="625"/>
      <c r="J75" s="996" t="s">
        <v>347</v>
      </c>
      <c r="K75" s="1159">
        <f>60329+5610</f>
        <v>65939</v>
      </c>
      <c r="L75" s="701">
        <v>8679.08</v>
      </c>
      <c r="M75" s="701">
        <v>55888</v>
      </c>
      <c r="N75" s="701">
        <v>25185.06</v>
      </c>
      <c r="O75" s="701">
        <f>O20+O28</f>
        <v>44529</v>
      </c>
      <c r="P75" s="701">
        <f t="shared" si="39"/>
        <v>19343.94</v>
      </c>
      <c r="Q75" s="701">
        <f t="shared" si="40"/>
        <v>44529</v>
      </c>
      <c r="R75" s="701">
        <f t="shared" si="41"/>
        <v>11359</v>
      </c>
      <c r="S75" s="806">
        <f t="shared" si="37"/>
        <v>12730.919999999998</v>
      </c>
      <c r="U75" s="756" t="s">
        <v>347</v>
      </c>
      <c r="V75" s="701">
        <f>4774+3485</f>
        <v>8259</v>
      </c>
      <c r="W75" s="701">
        <v>5909</v>
      </c>
      <c r="X75" s="1159">
        <v>2000</v>
      </c>
      <c r="Y75" s="701"/>
      <c r="Z75" s="701">
        <f t="shared" si="42"/>
        <v>2000</v>
      </c>
      <c r="AA75" s="1047">
        <f t="shared" si="43"/>
        <v>2350</v>
      </c>
      <c r="AB75" s="807">
        <f t="shared" si="38"/>
        <v>15080.919999999998</v>
      </c>
      <c r="AP75" s="625"/>
      <c r="AQ75" s="625"/>
      <c r="AR75" s="625"/>
    </row>
    <row r="76" spans="3:44" ht="30" customHeight="1" hidden="1" outlineLevel="1">
      <c r="C76" s="625"/>
      <c r="D76" s="625"/>
      <c r="E76" s="625"/>
      <c r="F76" s="625"/>
      <c r="G76" s="625"/>
      <c r="J76" s="688" t="s">
        <v>413</v>
      </c>
      <c r="K76" s="1159">
        <v>0</v>
      </c>
      <c r="L76" s="701">
        <v>0</v>
      </c>
      <c r="M76" s="701">
        <v>0</v>
      </c>
      <c r="N76" s="701">
        <v>0</v>
      </c>
      <c r="O76" s="701">
        <f>SUMIF($R$9:$R$47,$J76,$O$9:$O$47)</f>
        <v>0</v>
      </c>
      <c r="P76" s="701">
        <f t="shared" si="39"/>
        <v>0</v>
      </c>
      <c r="Q76" s="701">
        <f t="shared" si="40"/>
        <v>0</v>
      </c>
      <c r="R76" s="701">
        <f t="shared" si="41"/>
        <v>0</v>
      </c>
      <c r="S76" s="806">
        <f t="shared" si="37"/>
        <v>0</v>
      </c>
      <c r="U76" s="687" t="s">
        <v>413</v>
      </c>
      <c r="V76" s="701">
        <v>0</v>
      </c>
      <c r="W76" s="701">
        <v>0</v>
      </c>
      <c r="X76" s="1159">
        <v>0</v>
      </c>
      <c r="Y76" s="701"/>
      <c r="Z76" s="701">
        <f t="shared" si="42"/>
        <v>0</v>
      </c>
      <c r="AA76" s="1047">
        <f t="shared" si="43"/>
        <v>0</v>
      </c>
      <c r="AB76" s="807">
        <f t="shared" si="38"/>
        <v>0</v>
      </c>
      <c r="AP76" s="625"/>
      <c r="AQ76" s="625"/>
      <c r="AR76" s="625"/>
    </row>
    <row r="77" spans="3:44" ht="30" customHeight="1" hidden="1" outlineLevel="1">
      <c r="C77" s="625"/>
      <c r="D77" s="625"/>
      <c r="E77" s="625"/>
      <c r="F77" s="625"/>
      <c r="G77" s="625"/>
      <c r="J77" s="688" t="s">
        <v>335</v>
      </c>
      <c r="K77" s="1159">
        <v>0</v>
      </c>
      <c r="L77" s="701">
        <v>0</v>
      </c>
      <c r="M77" s="701">
        <v>0</v>
      </c>
      <c r="N77" s="701">
        <v>0</v>
      </c>
      <c r="O77" s="701">
        <f>SUMIF($R$9:$R$47,$J77,$O$9:$O$47)</f>
        <v>0</v>
      </c>
      <c r="P77" s="701">
        <f t="shared" si="39"/>
        <v>0</v>
      </c>
      <c r="Q77" s="701">
        <f t="shared" si="40"/>
        <v>0</v>
      </c>
      <c r="R77" s="701">
        <f t="shared" si="41"/>
        <v>0</v>
      </c>
      <c r="S77" s="806">
        <f t="shared" si="37"/>
        <v>0</v>
      </c>
      <c r="U77" s="687" t="s">
        <v>335</v>
      </c>
      <c r="V77" s="701">
        <v>0</v>
      </c>
      <c r="W77" s="701">
        <v>0</v>
      </c>
      <c r="X77" s="1159">
        <v>0</v>
      </c>
      <c r="Y77" s="701"/>
      <c r="Z77" s="701">
        <f t="shared" si="42"/>
        <v>0</v>
      </c>
      <c r="AA77" s="1047">
        <f t="shared" si="43"/>
        <v>0</v>
      </c>
      <c r="AB77" s="807">
        <f t="shared" si="38"/>
        <v>0</v>
      </c>
      <c r="AP77" s="625"/>
      <c r="AQ77" s="625"/>
      <c r="AR77" s="625"/>
    </row>
    <row r="78" spans="3:44" ht="30" customHeight="1" hidden="1" outlineLevel="1">
      <c r="C78" s="625"/>
      <c r="D78" s="625"/>
      <c r="E78" s="625"/>
      <c r="F78" s="625"/>
      <c r="G78" s="625"/>
      <c r="J78" s="1044" t="s">
        <v>345</v>
      </c>
      <c r="K78" s="1159">
        <v>159986</v>
      </c>
      <c r="L78" s="701">
        <v>12253.28</v>
      </c>
      <c r="M78" s="701">
        <v>77700</v>
      </c>
      <c r="N78" s="701">
        <v>46089.06</v>
      </c>
      <c r="O78" s="701">
        <f>O14+O16+O18+O22+O22+O31</f>
        <v>91414</v>
      </c>
      <c r="P78" s="701">
        <f t="shared" si="39"/>
        <v>45324.94</v>
      </c>
      <c r="Q78" s="701">
        <f t="shared" si="40"/>
        <v>91414</v>
      </c>
      <c r="R78" s="701">
        <f t="shared" si="41"/>
        <v>-13714</v>
      </c>
      <c r="S78" s="806">
        <f t="shared" si="37"/>
        <v>56318.72</v>
      </c>
      <c r="U78" s="1137" t="s">
        <v>345</v>
      </c>
      <c r="V78" s="701">
        <v>63455</v>
      </c>
      <c r="W78" s="701">
        <v>8830</v>
      </c>
      <c r="X78" s="1159">
        <v>23683</v>
      </c>
      <c r="Y78" s="701">
        <f>P11+P22+P31</f>
        <v>20498.22</v>
      </c>
      <c r="Z78" s="701">
        <f t="shared" si="42"/>
        <v>3184.779999999999</v>
      </c>
      <c r="AA78" s="1047">
        <f t="shared" si="43"/>
        <v>34126.78</v>
      </c>
      <c r="AB78" s="807">
        <f t="shared" si="38"/>
        <v>90445.5</v>
      </c>
      <c r="AP78" s="625"/>
      <c r="AQ78" s="625"/>
      <c r="AR78" s="625"/>
    </row>
    <row r="79" spans="3:44" ht="30" customHeight="1" hidden="1" outlineLevel="1">
      <c r="C79" s="625"/>
      <c r="D79" s="625"/>
      <c r="E79" s="625"/>
      <c r="F79" s="625"/>
      <c r="G79" s="625"/>
      <c r="J79" s="688" t="s">
        <v>78</v>
      </c>
      <c r="K79" s="1159">
        <v>0</v>
      </c>
      <c r="L79" s="701">
        <v>0</v>
      </c>
      <c r="M79" s="701">
        <v>0</v>
      </c>
      <c r="N79" s="701">
        <v>0</v>
      </c>
      <c r="O79" s="701">
        <f>SUMIF($R$9:$R$47,$J79,$O$9:$O$47)</f>
        <v>0</v>
      </c>
      <c r="P79" s="701">
        <f t="shared" si="39"/>
        <v>0</v>
      </c>
      <c r="Q79" s="701">
        <f t="shared" si="40"/>
        <v>0</v>
      </c>
      <c r="R79" s="701">
        <f t="shared" si="41"/>
        <v>0</v>
      </c>
      <c r="S79" s="806">
        <f t="shared" si="37"/>
        <v>0</v>
      </c>
      <c r="U79" s="687" t="s">
        <v>78</v>
      </c>
      <c r="V79" s="701">
        <v>0</v>
      </c>
      <c r="W79" s="701">
        <v>0</v>
      </c>
      <c r="X79" s="1159">
        <v>0</v>
      </c>
      <c r="Y79" s="701"/>
      <c r="Z79" s="701">
        <f t="shared" si="42"/>
        <v>0</v>
      </c>
      <c r="AA79" s="1047">
        <f t="shared" si="43"/>
        <v>0</v>
      </c>
      <c r="AB79" s="807">
        <f t="shared" si="38"/>
        <v>0</v>
      </c>
      <c r="AP79" s="625"/>
      <c r="AQ79" s="625"/>
      <c r="AR79" s="625"/>
    </row>
    <row r="80" spans="3:44" ht="30" customHeight="1" hidden="1" outlineLevel="1">
      <c r="C80" s="625"/>
      <c r="D80" s="625"/>
      <c r="E80" s="625"/>
      <c r="F80" s="625"/>
      <c r="G80" s="625"/>
      <c r="J80" s="688" t="s">
        <v>359</v>
      </c>
      <c r="K80" s="1159">
        <v>1741</v>
      </c>
      <c r="L80" s="701">
        <v>1632.48</v>
      </c>
      <c r="M80" s="701">
        <v>500</v>
      </c>
      <c r="N80" s="701">
        <v>1065.23</v>
      </c>
      <c r="O80" s="701">
        <f>O44</f>
        <v>1342</v>
      </c>
      <c r="P80" s="701">
        <f t="shared" si="39"/>
        <v>276.77</v>
      </c>
      <c r="Q80" s="701">
        <f t="shared" si="40"/>
        <v>1342</v>
      </c>
      <c r="R80" s="701">
        <f t="shared" si="41"/>
        <v>-842</v>
      </c>
      <c r="S80" s="806">
        <f t="shared" si="37"/>
        <v>-1233.48</v>
      </c>
      <c r="U80" s="687" t="s">
        <v>359</v>
      </c>
      <c r="V80" s="701">
        <v>3034</v>
      </c>
      <c r="W80" s="701">
        <v>1129</v>
      </c>
      <c r="X80" s="1159">
        <v>500</v>
      </c>
      <c r="Y80" s="701"/>
      <c r="Z80" s="701">
        <f t="shared" si="42"/>
        <v>500</v>
      </c>
      <c r="AA80" s="1047">
        <f t="shared" si="43"/>
        <v>1905</v>
      </c>
      <c r="AB80" s="807">
        <f t="shared" si="38"/>
        <v>671.52</v>
      </c>
      <c r="AP80" s="625"/>
      <c r="AQ80" s="625"/>
      <c r="AR80" s="625"/>
    </row>
    <row r="81" spans="3:44" ht="30" customHeight="1" hidden="1" outlineLevel="1">
      <c r="C81" s="625"/>
      <c r="D81" s="625"/>
      <c r="E81" s="625"/>
      <c r="F81" s="625"/>
      <c r="G81" s="625"/>
      <c r="J81" s="996" t="s">
        <v>86</v>
      </c>
      <c r="K81" s="1159">
        <v>5505</v>
      </c>
      <c r="L81" s="701">
        <v>0</v>
      </c>
      <c r="M81" s="701">
        <v>1855</v>
      </c>
      <c r="N81" s="701">
        <v>0</v>
      </c>
      <c r="O81" s="701">
        <v>0</v>
      </c>
      <c r="P81" s="701">
        <f t="shared" si="39"/>
        <v>0</v>
      </c>
      <c r="Q81" s="701">
        <f t="shared" si="40"/>
        <v>0</v>
      </c>
      <c r="R81" s="701">
        <f t="shared" si="41"/>
        <v>1855</v>
      </c>
      <c r="S81" s="806">
        <f t="shared" si="37"/>
        <v>5505</v>
      </c>
      <c r="U81" s="756" t="s">
        <v>86</v>
      </c>
      <c r="V81" s="701">
        <v>11130</v>
      </c>
      <c r="W81" s="701">
        <v>0</v>
      </c>
      <c r="X81" s="1159">
        <v>4000</v>
      </c>
      <c r="Y81" s="701"/>
      <c r="Z81" s="701">
        <f t="shared" si="42"/>
        <v>4000</v>
      </c>
      <c r="AA81" s="1047">
        <f t="shared" si="43"/>
        <v>11130</v>
      </c>
      <c r="AB81" s="807">
        <f t="shared" si="38"/>
        <v>16635</v>
      </c>
      <c r="AP81" s="625"/>
      <c r="AQ81" s="625"/>
      <c r="AR81" s="625"/>
    </row>
    <row r="82" spans="3:44" ht="30" customHeight="1" hidden="1" outlineLevel="1">
      <c r="C82" s="625"/>
      <c r="D82" s="625"/>
      <c r="E82" s="625"/>
      <c r="F82" s="625"/>
      <c r="G82" s="625"/>
      <c r="J82" s="996" t="s">
        <v>87</v>
      </c>
      <c r="K82" s="1159">
        <v>19244</v>
      </c>
      <c r="L82" s="701">
        <v>2481.01</v>
      </c>
      <c r="M82" s="701">
        <v>11328</v>
      </c>
      <c r="N82" s="701">
        <v>6126.87</v>
      </c>
      <c r="O82" s="701">
        <f>O46</f>
        <v>11306.330000000002</v>
      </c>
      <c r="P82" s="701">
        <f t="shared" si="39"/>
        <v>5179.460000000002</v>
      </c>
      <c r="Q82" s="701">
        <f t="shared" si="40"/>
        <v>11306.330000000002</v>
      </c>
      <c r="R82" s="701">
        <f t="shared" si="41"/>
        <v>21.669999999998254</v>
      </c>
      <c r="S82" s="806">
        <f t="shared" si="37"/>
        <v>5456.659999999996</v>
      </c>
      <c r="U82" s="756" t="s">
        <v>87</v>
      </c>
      <c r="V82" s="701">
        <v>9951</v>
      </c>
      <c r="W82" s="701">
        <v>2702</v>
      </c>
      <c r="X82" s="1159">
        <v>4108</v>
      </c>
      <c r="Y82" s="1191">
        <f>SUM(Y71:Y81)*7%-1428</f>
        <v>2000.2367000000004</v>
      </c>
      <c r="Z82" s="701">
        <f t="shared" si="42"/>
        <v>2107.7632999999996</v>
      </c>
      <c r="AA82" s="1047">
        <f t="shared" si="43"/>
        <v>5248.7633</v>
      </c>
      <c r="AB82" s="807">
        <f t="shared" si="38"/>
        <v>10705.423299999995</v>
      </c>
      <c r="AP82" s="625"/>
      <c r="AQ82" s="625"/>
      <c r="AR82" s="625"/>
    </row>
    <row r="83" spans="3:44" ht="29.25" customHeight="1" hidden="1" outlineLevel="1">
      <c r="C83" s="625"/>
      <c r="D83" s="625"/>
      <c r="E83" s="625"/>
      <c r="F83" s="625"/>
      <c r="G83" s="625"/>
      <c r="J83" s="756" t="s">
        <v>88</v>
      </c>
      <c r="K83" s="1158">
        <f aca="true" t="shared" si="44" ref="K83:S83">SUM(K71:K82)</f>
        <v>294160</v>
      </c>
      <c r="L83" s="1159">
        <f t="shared" si="44"/>
        <v>35909.96000000001</v>
      </c>
      <c r="M83" s="1159">
        <f t="shared" si="44"/>
        <v>173155</v>
      </c>
      <c r="N83" s="1046">
        <f t="shared" si="44"/>
        <v>93653.54</v>
      </c>
      <c r="O83" s="1046">
        <f t="shared" si="44"/>
        <v>172825.33000000002</v>
      </c>
      <c r="P83" s="1046">
        <f t="shared" si="44"/>
        <v>79171.79000000001</v>
      </c>
      <c r="Q83" s="1046">
        <f t="shared" si="44"/>
        <v>172825.33000000002</v>
      </c>
      <c r="R83" s="1046">
        <f t="shared" si="44"/>
        <v>329.66999999999825</v>
      </c>
      <c r="S83" s="1047">
        <f t="shared" si="44"/>
        <v>85424.70999999999</v>
      </c>
      <c r="U83" s="756" t="s">
        <v>88</v>
      </c>
      <c r="V83" s="760">
        <f aca="true" t="shared" si="45" ref="V83:AA83">SUM(V71:V82)</f>
        <v>152105</v>
      </c>
      <c r="W83" s="1159">
        <f t="shared" si="45"/>
        <v>41894</v>
      </c>
      <c r="X83" s="1159">
        <f t="shared" si="45"/>
        <v>62791</v>
      </c>
      <c r="Y83" s="1046">
        <f t="shared" si="45"/>
        <v>50975.0467</v>
      </c>
      <c r="Z83" s="1046">
        <f t="shared" si="45"/>
        <v>11815.953300000001</v>
      </c>
      <c r="AA83" s="1047">
        <f t="shared" si="45"/>
        <v>59235.9533</v>
      </c>
      <c r="AB83" s="1097">
        <f t="shared" si="38"/>
        <v>144660.6633</v>
      </c>
      <c r="AP83" s="625"/>
      <c r="AQ83" s="625"/>
      <c r="AR83" s="625"/>
    </row>
    <row r="84" spans="8:41" s="623" customFormat="1" ht="40.5" customHeight="1" hidden="1" outlineLevel="1">
      <c r="H84" s="998"/>
      <c r="I84" s="998"/>
      <c r="J84" s="725" t="s">
        <v>133</v>
      </c>
      <c r="K84" s="1064">
        <f>SUM(K71:K81)</f>
        <v>274916</v>
      </c>
      <c r="L84" s="1064">
        <f aca="true" t="shared" si="46" ref="L84:S84">SUM(L71:L81)</f>
        <v>33428.950000000004</v>
      </c>
      <c r="M84" s="1064">
        <f t="shared" si="46"/>
        <v>161827</v>
      </c>
      <c r="N84" s="1064">
        <f t="shared" si="46"/>
        <v>87526.67</v>
      </c>
      <c r="O84" s="1064">
        <f t="shared" si="46"/>
        <v>161519</v>
      </c>
      <c r="P84" s="1064">
        <f t="shared" si="46"/>
        <v>73992.33</v>
      </c>
      <c r="Q84" s="1064">
        <f t="shared" si="46"/>
        <v>161519</v>
      </c>
      <c r="R84" s="1064">
        <f t="shared" si="46"/>
        <v>308</v>
      </c>
      <c r="S84" s="1064">
        <f t="shared" si="46"/>
        <v>79968.05</v>
      </c>
      <c r="U84" s="725"/>
      <c r="V84" s="1064">
        <f aca="true" t="shared" si="47" ref="V84:AA84">SUM(V71:V81)</f>
        <v>142154</v>
      </c>
      <c r="W84" s="1064">
        <f t="shared" si="47"/>
        <v>39192</v>
      </c>
      <c r="X84" s="1064">
        <f t="shared" si="47"/>
        <v>58683</v>
      </c>
      <c r="Y84" s="1064">
        <f t="shared" si="47"/>
        <v>48974.81</v>
      </c>
      <c r="Z84" s="1064">
        <f t="shared" si="47"/>
        <v>9708.19</v>
      </c>
      <c r="AA84" s="1064">
        <f t="shared" si="47"/>
        <v>53987.19</v>
      </c>
      <c r="AB84" s="793"/>
      <c r="AC84" s="793"/>
      <c r="AD84" s="793"/>
      <c r="AE84" s="793"/>
      <c r="AF84" s="793"/>
      <c r="AG84" s="793"/>
      <c r="AH84" s="793"/>
      <c r="AI84" s="793"/>
      <c r="AJ84" s="793"/>
      <c r="AK84" s="793"/>
      <c r="AL84" s="793"/>
      <c r="AM84" s="793"/>
      <c r="AN84" s="793"/>
      <c r="AO84" s="793"/>
    </row>
    <row r="85" spans="3:44" ht="29.25" customHeight="1" collapsed="1">
      <c r="C85" s="625"/>
      <c r="D85" s="625"/>
      <c r="E85" s="625"/>
      <c r="F85" s="625"/>
      <c r="G85" s="625"/>
      <c r="H85" s="644"/>
      <c r="I85" s="813"/>
      <c r="J85" s="813"/>
      <c r="K85" s="1049"/>
      <c r="L85" s="1050" t="s">
        <v>444</v>
      </c>
      <c r="M85" s="1051">
        <f>K83+V83</f>
        <v>446265</v>
      </c>
      <c r="N85" s="1052"/>
      <c r="O85" s="644"/>
      <c r="P85" s="813"/>
      <c r="Q85" s="813"/>
      <c r="R85" s="813"/>
      <c r="S85" s="1049"/>
      <c r="T85" s="1049"/>
      <c r="U85" s="1049"/>
      <c r="V85" s="796"/>
      <c r="W85" s="796"/>
      <c r="AB85" s="794"/>
      <c r="AC85" s="626"/>
      <c r="AP85" s="625"/>
      <c r="AQ85" s="625"/>
      <c r="AR85" s="625"/>
    </row>
    <row r="86" spans="8:44" s="623" customFormat="1" ht="29.25" customHeight="1">
      <c r="H86" s="998"/>
      <c r="I86" s="819"/>
      <c r="J86" s="819"/>
      <c r="L86" s="1106"/>
      <c r="M86" s="1106"/>
      <c r="N86" s="1106"/>
      <c r="R86" s="999"/>
      <c r="U86" s="823"/>
      <c r="V86" s="818"/>
      <c r="W86" s="818"/>
      <c r="X86" s="990"/>
      <c r="Y86" s="990"/>
      <c r="Z86" s="990"/>
      <c r="AA86" s="795"/>
      <c r="AB86" s="795"/>
      <c r="AC86" s="795"/>
      <c r="AD86" s="793"/>
      <c r="AE86" s="793"/>
      <c r="AF86" s="793"/>
      <c r="AG86" s="793"/>
      <c r="AH86" s="793"/>
      <c r="AI86" s="793"/>
      <c r="AJ86" s="793"/>
      <c r="AK86" s="793"/>
      <c r="AL86" s="793"/>
      <c r="AM86" s="793"/>
      <c r="AN86" s="793"/>
      <c r="AO86" s="793"/>
      <c r="AP86" s="793"/>
      <c r="AQ86" s="793"/>
      <c r="AR86" s="793"/>
    </row>
    <row r="87" spans="3:17" ht="25.5" customHeight="1">
      <c r="C87" s="625"/>
      <c r="D87" s="625"/>
      <c r="E87" s="625"/>
      <c r="F87" s="625"/>
      <c r="G87" s="625"/>
      <c r="J87" s="1053"/>
      <c r="L87" s="1052"/>
      <c r="M87" s="1052"/>
      <c r="N87" s="1052"/>
      <c r="Q87" s="821"/>
    </row>
    <row r="88" spans="3:7" ht="27.75" customHeight="1">
      <c r="C88" s="625"/>
      <c r="D88" s="625"/>
      <c r="E88" s="625"/>
      <c r="F88" s="625"/>
      <c r="G88" s="625"/>
    </row>
    <row r="89" spans="1:44" ht="30" customHeight="1">
      <c r="A89" s="824" t="s">
        <v>202</v>
      </c>
      <c r="C89" s="625"/>
      <c r="D89" s="625"/>
      <c r="E89" s="625"/>
      <c r="F89" s="625"/>
      <c r="G89" s="625"/>
      <c r="H89" s="626"/>
      <c r="I89" s="796"/>
      <c r="J89" s="626"/>
      <c r="O89" s="625"/>
      <c r="P89" s="626"/>
      <c r="Q89" s="626"/>
      <c r="R89" s="796"/>
      <c r="S89" s="796"/>
      <c r="T89" s="796"/>
      <c r="U89" s="796"/>
      <c r="V89" s="796"/>
      <c r="W89" s="796"/>
      <c r="Y89" s="626"/>
      <c r="Z89" s="626"/>
      <c r="AB89" s="626"/>
      <c r="AC89" s="626"/>
      <c r="AM89" s="625"/>
      <c r="AN89" s="625"/>
      <c r="AO89" s="625"/>
      <c r="AP89" s="625"/>
      <c r="AQ89" s="625"/>
      <c r="AR89" s="625"/>
    </row>
    <row r="90" spans="1:47" ht="30" customHeight="1">
      <c r="A90" s="824" t="s">
        <v>532</v>
      </c>
      <c r="C90" s="625"/>
      <c r="D90" s="625"/>
      <c r="E90" s="625"/>
      <c r="F90" s="625"/>
      <c r="G90" s="625"/>
      <c r="H90" s="625"/>
      <c r="AB90" s="824" t="s">
        <v>541</v>
      </c>
      <c r="AC90" s="625"/>
      <c r="AD90" s="625"/>
      <c r="AE90" s="625"/>
      <c r="AF90" s="625"/>
      <c r="AG90" s="625"/>
      <c r="AH90" s="625"/>
      <c r="AK90" s="796"/>
      <c r="AL90" s="796"/>
      <c r="AM90" s="796"/>
      <c r="AN90" s="796"/>
      <c r="AO90" s="796"/>
      <c r="AP90" s="796"/>
      <c r="AQ90" s="796"/>
      <c r="AS90" s="626"/>
      <c r="AT90" s="795"/>
      <c r="AU90" s="626"/>
    </row>
    <row r="91" spans="3:47" ht="30" customHeight="1">
      <c r="C91" s="625"/>
      <c r="D91" s="625"/>
      <c r="E91" s="625"/>
      <c r="F91" s="625"/>
      <c r="G91" s="625"/>
      <c r="H91" s="625"/>
      <c r="AB91" s="824"/>
      <c r="AC91" s="625"/>
      <c r="AD91" s="625"/>
      <c r="AE91" s="625"/>
      <c r="AF91" s="625"/>
      <c r="AG91" s="625"/>
      <c r="AH91" s="625"/>
      <c r="AK91" s="796"/>
      <c r="AL91" s="796"/>
      <c r="AM91" s="796"/>
      <c r="AN91" s="796"/>
      <c r="AO91" s="796"/>
      <c r="AP91" s="796"/>
      <c r="AQ91" s="796"/>
      <c r="AS91" s="626"/>
      <c r="AT91" s="795"/>
      <c r="AU91" s="626"/>
    </row>
    <row r="92" spans="3:47" ht="30" customHeight="1">
      <c r="C92" s="625"/>
      <c r="D92" s="625"/>
      <c r="E92" s="625"/>
      <c r="F92" s="625"/>
      <c r="G92" s="625"/>
      <c r="H92" s="625"/>
      <c r="AB92" s="625"/>
      <c r="AC92" s="625"/>
      <c r="AD92" s="625"/>
      <c r="AE92" s="625"/>
      <c r="AF92" s="625"/>
      <c r="AG92" s="625"/>
      <c r="AH92" s="625"/>
      <c r="AK92" s="796"/>
      <c r="AL92" s="796"/>
      <c r="AM92" s="796"/>
      <c r="AN92" s="796"/>
      <c r="AO92" s="796"/>
      <c r="AP92" s="796"/>
      <c r="AQ92" s="796"/>
      <c r="AS92" s="626"/>
      <c r="AT92" s="795"/>
      <c r="AU92" s="626"/>
    </row>
    <row r="93" spans="3:47" ht="30" customHeight="1">
      <c r="C93" s="625"/>
      <c r="D93" s="625"/>
      <c r="E93" s="625"/>
      <c r="F93" s="625"/>
      <c r="G93" s="625"/>
      <c r="H93" s="625"/>
      <c r="AB93" s="625"/>
      <c r="AC93" s="625"/>
      <c r="AD93" s="625"/>
      <c r="AE93" s="625"/>
      <c r="AF93" s="625"/>
      <c r="AG93" s="625"/>
      <c r="AH93" s="625"/>
      <c r="AK93" s="796"/>
      <c r="AL93" s="796"/>
      <c r="AM93" s="796"/>
      <c r="AN93" s="796"/>
      <c r="AO93" s="796"/>
      <c r="AP93" s="796"/>
      <c r="AQ93" s="796"/>
      <c r="AS93" s="626"/>
      <c r="AT93" s="795"/>
      <c r="AU93" s="626"/>
    </row>
    <row r="94" spans="3:47" ht="30" customHeight="1">
      <c r="C94" s="625"/>
      <c r="D94" s="625"/>
      <c r="E94" s="625"/>
      <c r="F94" s="625"/>
      <c r="G94" s="625"/>
      <c r="H94" s="625"/>
      <c r="AB94" s="625"/>
      <c r="AC94" s="625"/>
      <c r="AD94" s="625"/>
      <c r="AE94" s="625"/>
      <c r="AF94" s="625"/>
      <c r="AG94" s="625"/>
      <c r="AH94" s="625"/>
      <c r="AK94" s="796"/>
      <c r="AL94" s="796"/>
      <c r="AM94" s="796"/>
      <c r="AN94" s="796"/>
      <c r="AO94" s="796"/>
      <c r="AP94" s="796"/>
      <c r="AQ94" s="796"/>
      <c r="AS94" s="626"/>
      <c r="AT94" s="795"/>
      <c r="AU94" s="626"/>
    </row>
    <row r="95" spans="1:47" ht="30" customHeight="1">
      <c r="A95" s="824" t="s">
        <v>533</v>
      </c>
      <c r="AB95" s="824" t="s">
        <v>542</v>
      </c>
      <c r="AC95" s="817"/>
      <c r="AD95" s="625"/>
      <c r="AE95" s="625"/>
      <c r="AF95" s="625"/>
      <c r="AG95" s="625"/>
      <c r="AH95" s="624"/>
      <c r="AI95" s="625"/>
      <c r="AJ95" s="625"/>
      <c r="AK95" s="824"/>
      <c r="AL95" s="625"/>
      <c r="AM95" s="625"/>
      <c r="AN95" s="824"/>
      <c r="AQ95" s="796"/>
      <c r="AR95" s="796"/>
      <c r="AS95" s="796"/>
      <c r="AT95" s="795"/>
      <c r="AU95" s="796"/>
    </row>
    <row r="96" spans="1:47" ht="30" customHeight="1">
      <c r="A96" s="824" t="s">
        <v>534</v>
      </c>
      <c r="AB96" s="824" t="s">
        <v>543</v>
      </c>
      <c r="AC96" s="817"/>
      <c r="AD96" s="625"/>
      <c r="AE96" s="625"/>
      <c r="AF96" s="625"/>
      <c r="AG96" s="625"/>
      <c r="AH96" s="624"/>
      <c r="AI96" s="625"/>
      <c r="AJ96" s="625"/>
      <c r="AK96" s="824"/>
      <c r="AL96" s="625"/>
      <c r="AM96" s="625"/>
      <c r="AN96" s="824"/>
      <c r="AQ96" s="796"/>
      <c r="AR96" s="796"/>
      <c r="AS96" s="796"/>
      <c r="AT96" s="795"/>
      <c r="AU96" s="796"/>
    </row>
    <row r="97" spans="1:47" ht="30" customHeight="1">
      <c r="A97" s="625" t="s">
        <v>535</v>
      </c>
      <c r="AB97" s="625" t="s">
        <v>535</v>
      </c>
      <c r="AC97" s="817"/>
      <c r="AD97" s="625"/>
      <c r="AE97" s="625"/>
      <c r="AF97" s="625"/>
      <c r="AG97" s="625"/>
      <c r="AH97" s="624"/>
      <c r="AI97" s="625"/>
      <c r="AJ97" s="625"/>
      <c r="AK97" s="824"/>
      <c r="AL97" s="625"/>
      <c r="AM97" s="625"/>
      <c r="AN97" s="824"/>
      <c r="AQ97" s="796"/>
      <c r="AR97" s="796"/>
      <c r="AS97" s="796"/>
      <c r="AT97" s="795"/>
      <c r="AU97" s="796"/>
    </row>
  </sheetData>
  <sheetProtection/>
  <mergeCells count="50">
    <mergeCell ref="A64:F64"/>
    <mergeCell ref="A65:F65"/>
    <mergeCell ref="S49:V49"/>
    <mergeCell ref="W49:Z49"/>
    <mergeCell ref="AE49:AH49"/>
    <mergeCell ref="AA49:AD49"/>
    <mergeCell ref="A58:F58"/>
    <mergeCell ref="A59:F59"/>
    <mergeCell ref="A60:F60"/>
    <mergeCell ref="A61:F61"/>
    <mergeCell ref="A62:F62"/>
    <mergeCell ref="A63:F63"/>
    <mergeCell ref="A52:F52"/>
    <mergeCell ref="A53:F53"/>
    <mergeCell ref="A54:F54"/>
    <mergeCell ref="A55:F55"/>
    <mergeCell ref="A56:F56"/>
    <mergeCell ref="A57:F57"/>
    <mergeCell ref="J69:J70"/>
    <mergeCell ref="G49:J49"/>
    <mergeCell ref="O49:R49"/>
    <mergeCell ref="K49:N49"/>
    <mergeCell ref="H6:J7"/>
    <mergeCell ref="O7:Q7"/>
    <mergeCell ref="L6:AD6"/>
    <mergeCell ref="K6:K8"/>
    <mergeCell ref="S7:U7"/>
    <mergeCell ref="V7:X7"/>
    <mergeCell ref="Y7:AA7"/>
    <mergeCell ref="A49:F50"/>
    <mergeCell ref="A26:K26"/>
    <mergeCell ref="L26:W26"/>
    <mergeCell ref="X26:AD26"/>
    <mergeCell ref="L7:N7"/>
    <mergeCell ref="AB7:AD7"/>
    <mergeCell ref="R7:R8"/>
    <mergeCell ref="A51:F51"/>
    <mergeCell ref="A10:A12"/>
    <mergeCell ref="C6:G7"/>
    <mergeCell ref="A6:A8"/>
    <mergeCell ref="B6:B8"/>
    <mergeCell ref="A9:G9"/>
    <mergeCell ref="A17:A24"/>
    <mergeCell ref="A27:A31"/>
    <mergeCell ref="A1:G1"/>
    <mergeCell ref="A2:G2"/>
    <mergeCell ref="A3:G3"/>
    <mergeCell ref="AB1:AD1"/>
    <mergeCell ref="A4:K4"/>
    <mergeCell ref="A5:K5"/>
  </mergeCells>
  <printOptions horizontalCentered="1"/>
  <pageMargins left="0.14" right="0" top="0.46" bottom="0.39" header="0.49" footer="0.23"/>
  <pageSetup fitToHeight="0" horizontalDpi="600" verticalDpi="600" orientation="landscape" paperSize="9" scale="50" r:id="rId3"/>
  <headerFooter alignWithMargins="0">
    <oddFooter>&amp;RJPGE - AWP 201 - March 2012  &amp;P</oddFooter>
  </headerFooter>
  <legacyDrawing r:id="rId2"/>
</worksheet>
</file>

<file path=xl/worksheets/sheet5.xml><?xml version="1.0" encoding="utf-8"?>
<worksheet xmlns="http://schemas.openxmlformats.org/spreadsheetml/2006/main" xmlns:r="http://schemas.openxmlformats.org/officeDocument/2006/relationships">
  <dimension ref="A1:AS103"/>
  <sheetViews>
    <sheetView zoomScale="60" zoomScaleNormal="60" zoomScaleSheetLayoutView="80" zoomScalePageLayoutView="0" workbookViewId="0" topLeftCell="K48">
      <selection activeCell="AB105" sqref="AB105"/>
    </sheetView>
  </sheetViews>
  <sheetFormatPr defaultColWidth="17.8515625" defaultRowHeight="12.75" outlineLevelRow="1" outlineLevelCol="1"/>
  <cols>
    <col min="1" max="1" width="40.421875" style="625" customWidth="1"/>
    <col min="2" max="2" width="38.421875" style="625" customWidth="1" collapsed="1"/>
    <col min="3" max="3" width="11.00390625" style="803" hidden="1" customWidth="1" outlineLevel="1"/>
    <col min="4" max="4" width="11.8515625" style="803" hidden="1" customWidth="1" outlineLevel="1"/>
    <col min="5" max="5" width="8.57421875" style="803" hidden="1" customWidth="1" outlineLevel="1"/>
    <col min="6" max="6" width="7.00390625" style="803" hidden="1" customWidth="1" outlineLevel="1"/>
    <col min="7" max="7" width="18.421875" style="803" hidden="1" customWidth="1" outlineLevel="1"/>
    <col min="8" max="8" width="20.140625" style="816" hidden="1" customWidth="1" outlineLevel="1"/>
    <col min="9" max="9" width="17.8515625" style="816" hidden="1" customWidth="1" outlineLevel="1"/>
    <col min="10" max="10" width="17.8515625" style="817" customWidth="1" collapsed="1"/>
    <col min="11" max="11" width="21.421875" style="625" customWidth="1"/>
    <col min="12" max="12" width="23.140625" style="625" hidden="1" customWidth="1" outlineLevel="1"/>
    <col min="13" max="13" width="23.8515625" style="625" hidden="1" customWidth="1" outlineLevel="1"/>
    <col min="14" max="14" width="17.8515625" style="625" hidden="1" customWidth="1" outlineLevel="1"/>
    <col min="15" max="15" width="22.57421875" style="624" hidden="1" customWidth="1" outlineLevel="1" collapsed="1"/>
    <col min="16" max="16" width="21.8515625" style="625" hidden="1" customWidth="1" outlineLevel="1"/>
    <col min="17" max="17" width="17.8515625" style="625" hidden="1" customWidth="1" outlineLevel="1"/>
    <col min="18" max="18" width="17.8515625" style="824" customWidth="1" collapsed="1"/>
    <col min="19" max="19" width="19.8515625" style="625" hidden="1" customWidth="1" outlineLevel="1"/>
    <col min="20" max="20" width="21.57421875" style="625" hidden="1" customWidth="1" outlineLevel="1"/>
    <col min="21" max="21" width="17.8515625" style="625" hidden="1" customWidth="1" outlineLevel="1"/>
    <col min="22" max="22" width="24.57421875" style="626" customWidth="1" collapsed="1"/>
    <col min="23" max="23" width="23.8515625" style="626" customWidth="1"/>
    <col min="24" max="24" width="22.140625" style="626" customWidth="1"/>
    <col min="25" max="25" width="21.140625" style="796" customWidth="1"/>
    <col min="26" max="26" width="22.140625" style="796" customWidth="1"/>
    <col min="27" max="27" width="23.140625" style="626" customWidth="1"/>
    <col min="28" max="28" width="21.421875" style="796" customWidth="1"/>
    <col min="29" max="29" width="23.57421875" style="796" customWidth="1"/>
    <col min="30" max="30" width="24.8515625" style="626" customWidth="1"/>
    <col min="31" max="32" width="22.57421875" style="626" customWidth="1"/>
    <col min="33" max="45" width="17.8515625" style="626" customWidth="1"/>
    <col min="46" max="16384" width="17.8515625" style="625" customWidth="1"/>
  </cols>
  <sheetData>
    <row r="1" spans="1:45" s="615" customFormat="1" ht="27" customHeight="1" outlineLevel="1">
      <c r="A1" s="2087" t="s">
        <v>477</v>
      </c>
      <c r="B1" s="2087"/>
      <c r="C1" s="2087"/>
      <c r="D1" s="2087"/>
      <c r="E1" s="2087"/>
      <c r="F1" s="2087"/>
      <c r="G1" s="2087"/>
      <c r="H1" s="2087"/>
      <c r="I1" s="2087"/>
      <c r="J1" s="2087"/>
      <c r="O1" s="617"/>
      <c r="R1" s="826"/>
      <c r="V1" s="618"/>
      <c r="W1" s="618"/>
      <c r="X1" s="618"/>
      <c r="Y1" s="619"/>
      <c r="Z1" s="619"/>
      <c r="AA1" s="618"/>
      <c r="AB1" s="619"/>
      <c r="AC1" s="619"/>
      <c r="AD1" s="618"/>
      <c r="AE1" s="618"/>
      <c r="AF1" s="618"/>
      <c r="AG1" s="618"/>
      <c r="AH1" s="618"/>
      <c r="AI1" s="618"/>
      <c r="AJ1" s="618"/>
      <c r="AK1" s="618"/>
      <c r="AL1" s="618"/>
      <c r="AM1" s="618"/>
      <c r="AN1" s="618"/>
      <c r="AO1" s="618"/>
      <c r="AP1" s="618"/>
      <c r="AQ1" s="618"/>
      <c r="AR1" s="618"/>
      <c r="AS1" s="618"/>
    </row>
    <row r="2" spans="1:45" s="615" customFormat="1" ht="26.25" customHeight="1" outlineLevel="1">
      <c r="A2" s="2087" t="s">
        <v>474</v>
      </c>
      <c r="B2" s="2087"/>
      <c r="C2" s="612"/>
      <c r="D2" s="612"/>
      <c r="E2" s="612"/>
      <c r="F2" s="612"/>
      <c r="G2" s="612"/>
      <c r="I2" s="613"/>
      <c r="J2" s="614"/>
      <c r="O2" s="617"/>
      <c r="R2" s="612"/>
      <c r="V2" s="618"/>
      <c r="W2" s="618"/>
      <c r="X2" s="618"/>
      <c r="Y2" s="619"/>
      <c r="Z2" s="619"/>
      <c r="AA2" s="618"/>
      <c r="AB2" s="2082" t="s">
        <v>482</v>
      </c>
      <c r="AC2" s="2082"/>
      <c r="AD2" s="2082"/>
      <c r="AE2" s="618"/>
      <c r="AF2" s="618"/>
      <c r="AG2" s="618"/>
      <c r="AH2" s="618"/>
      <c r="AI2" s="618"/>
      <c r="AJ2" s="618"/>
      <c r="AK2" s="618"/>
      <c r="AL2" s="618"/>
      <c r="AM2" s="618"/>
      <c r="AN2" s="618"/>
      <c r="AO2" s="618"/>
      <c r="AP2" s="618"/>
      <c r="AQ2" s="618"/>
      <c r="AR2" s="618"/>
      <c r="AS2" s="618"/>
    </row>
    <row r="3" spans="1:45" s="615" customFormat="1" ht="22.5" customHeight="1" outlineLevel="1">
      <c r="A3" s="2087" t="s">
        <v>476</v>
      </c>
      <c r="B3" s="2087"/>
      <c r="C3" s="2087"/>
      <c r="D3" s="2087"/>
      <c r="E3" s="2087"/>
      <c r="F3" s="2087"/>
      <c r="G3" s="2087"/>
      <c r="H3" s="2087"/>
      <c r="I3" s="2087"/>
      <c r="J3" s="2087"/>
      <c r="K3" s="2087"/>
      <c r="O3" s="617"/>
      <c r="R3" s="612"/>
      <c r="S3" s="620"/>
      <c r="T3" s="621"/>
      <c r="U3" s="621"/>
      <c r="V3" s="622"/>
      <c r="W3" s="618"/>
      <c r="X3" s="618"/>
      <c r="Y3" s="619"/>
      <c r="Z3" s="619"/>
      <c r="AA3" s="618"/>
      <c r="AB3" s="619"/>
      <c r="AC3" s="619"/>
      <c r="AD3" s="618"/>
      <c r="AE3" s="618"/>
      <c r="AF3" s="618"/>
      <c r="AG3" s="618"/>
      <c r="AH3" s="618"/>
      <c r="AI3" s="618"/>
      <c r="AJ3" s="618"/>
      <c r="AK3" s="618"/>
      <c r="AL3" s="618"/>
      <c r="AM3" s="618"/>
      <c r="AN3" s="618"/>
      <c r="AO3" s="618"/>
      <c r="AP3" s="618"/>
      <c r="AQ3" s="618"/>
      <c r="AR3" s="618"/>
      <c r="AS3" s="618"/>
    </row>
    <row r="4" spans="1:45" s="615" customFormat="1" ht="27" customHeight="1" outlineLevel="1" thickBot="1">
      <c r="A4" s="2114" t="s">
        <v>475</v>
      </c>
      <c r="B4" s="2114"/>
      <c r="C4" s="2114"/>
      <c r="D4" s="2114"/>
      <c r="E4" s="2114"/>
      <c r="F4" s="2114"/>
      <c r="G4" s="2114"/>
      <c r="H4" s="2114"/>
      <c r="I4" s="2114"/>
      <c r="J4" s="2114"/>
      <c r="K4" s="2114"/>
      <c r="L4" s="625"/>
      <c r="M4" s="625"/>
      <c r="N4" s="625"/>
      <c r="O4" s="624"/>
      <c r="P4" s="625"/>
      <c r="Q4" s="625"/>
      <c r="R4" s="830"/>
      <c r="S4" s="625"/>
      <c r="T4" s="625"/>
      <c r="U4" s="625"/>
      <c r="V4" s="618"/>
      <c r="W4" s="618"/>
      <c r="X4" s="618"/>
      <c r="Y4" s="619"/>
      <c r="Z4" s="619"/>
      <c r="AA4" s="618"/>
      <c r="AB4" s="619"/>
      <c r="AC4" s="619"/>
      <c r="AD4" s="618"/>
      <c r="AE4" s="618"/>
      <c r="AF4" s="618"/>
      <c r="AG4" s="618"/>
      <c r="AH4" s="618"/>
      <c r="AI4" s="618"/>
      <c r="AJ4" s="618"/>
      <c r="AK4" s="618"/>
      <c r="AL4" s="618"/>
      <c r="AM4" s="618"/>
      <c r="AN4" s="618"/>
      <c r="AO4" s="618"/>
      <c r="AP4" s="618"/>
      <c r="AQ4" s="618"/>
      <c r="AR4" s="618"/>
      <c r="AS4" s="618"/>
    </row>
    <row r="5" spans="1:37" ht="53.25" customHeight="1" thickTop="1">
      <c r="A5" s="2104" t="s">
        <v>225</v>
      </c>
      <c r="B5" s="2085" t="s">
        <v>175</v>
      </c>
      <c r="C5" s="2106" t="s">
        <v>75</v>
      </c>
      <c r="D5" s="2107"/>
      <c r="E5" s="2107"/>
      <c r="F5" s="2107"/>
      <c r="G5" s="2108"/>
      <c r="H5" s="2106" t="s">
        <v>505</v>
      </c>
      <c r="I5" s="2107"/>
      <c r="J5" s="2108"/>
      <c r="K5" s="2106" t="s">
        <v>187</v>
      </c>
      <c r="L5" s="2085" t="s">
        <v>151</v>
      </c>
      <c r="M5" s="2085"/>
      <c r="N5" s="2085"/>
      <c r="O5" s="2085"/>
      <c r="P5" s="2085"/>
      <c r="Q5" s="2085"/>
      <c r="R5" s="2085"/>
      <c r="S5" s="2085"/>
      <c r="T5" s="2085"/>
      <c r="U5" s="2085"/>
      <c r="V5" s="2085"/>
      <c r="W5" s="2085"/>
      <c r="X5" s="2085"/>
      <c r="Y5" s="2085"/>
      <c r="Z5" s="2085"/>
      <c r="AA5" s="2085"/>
      <c r="AB5" s="2085"/>
      <c r="AC5" s="2085"/>
      <c r="AD5" s="2165"/>
      <c r="AF5" s="2199"/>
      <c r="AG5" s="2199"/>
      <c r="AH5" s="2199"/>
      <c r="AI5" s="2199"/>
      <c r="AJ5" s="2199"/>
      <c r="AK5" s="2199"/>
    </row>
    <row r="6" spans="1:37" ht="58.5" customHeight="1">
      <c r="A6" s="2105"/>
      <c r="B6" s="2086"/>
      <c r="C6" s="2109"/>
      <c r="D6" s="2110"/>
      <c r="E6" s="2110"/>
      <c r="F6" s="2110"/>
      <c r="G6" s="2111"/>
      <c r="H6" s="2109"/>
      <c r="I6" s="2110"/>
      <c r="J6" s="2111"/>
      <c r="K6" s="2190"/>
      <c r="L6" s="2086" t="s">
        <v>94</v>
      </c>
      <c r="M6" s="2086"/>
      <c r="N6" s="2086"/>
      <c r="O6" s="2086" t="s">
        <v>93</v>
      </c>
      <c r="P6" s="2086"/>
      <c r="Q6" s="2086"/>
      <c r="R6" s="2086" t="s">
        <v>207</v>
      </c>
      <c r="S6" s="2086" t="s">
        <v>60</v>
      </c>
      <c r="T6" s="2086"/>
      <c r="U6" s="2086"/>
      <c r="V6" s="2086" t="s">
        <v>71</v>
      </c>
      <c r="W6" s="2086"/>
      <c r="X6" s="2086"/>
      <c r="Y6" s="2086" t="s">
        <v>62</v>
      </c>
      <c r="Z6" s="2086"/>
      <c r="AA6" s="2086"/>
      <c r="AB6" s="2086" t="s">
        <v>540</v>
      </c>
      <c r="AC6" s="2086"/>
      <c r="AD6" s="2163"/>
      <c r="AF6" s="2199"/>
      <c r="AG6" s="2199"/>
      <c r="AH6" s="2199"/>
      <c r="AI6" s="2199"/>
      <c r="AJ6" s="2199"/>
      <c r="AK6" s="2199"/>
    </row>
    <row r="7" spans="1:37" ht="67.5" customHeight="1">
      <c r="A7" s="2105"/>
      <c r="B7" s="2086"/>
      <c r="C7" s="1801" t="s">
        <v>170</v>
      </c>
      <c r="D7" s="1801" t="s">
        <v>171</v>
      </c>
      <c r="E7" s="1801" t="s">
        <v>172</v>
      </c>
      <c r="F7" s="1801" t="s">
        <v>173</v>
      </c>
      <c r="G7" s="1801" t="s">
        <v>72</v>
      </c>
      <c r="H7" s="1801" t="s">
        <v>206</v>
      </c>
      <c r="I7" s="1801" t="s">
        <v>186</v>
      </c>
      <c r="J7" s="1801" t="s">
        <v>169</v>
      </c>
      <c r="K7" s="2109"/>
      <c r="L7" s="1222" t="s">
        <v>144</v>
      </c>
      <c r="M7" s="1222" t="s">
        <v>184</v>
      </c>
      <c r="N7" s="1801" t="s">
        <v>35</v>
      </c>
      <c r="O7" s="1801" t="s">
        <v>144</v>
      </c>
      <c r="P7" s="1222" t="s">
        <v>184</v>
      </c>
      <c r="Q7" s="1222" t="s">
        <v>35</v>
      </c>
      <c r="R7" s="2086"/>
      <c r="S7" s="1222" t="s">
        <v>144</v>
      </c>
      <c r="T7" s="1222" t="s">
        <v>184</v>
      </c>
      <c r="U7" s="1801" t="s">
        <v>35</v>
      </c>
      <c r="V7" s="1222" t="s">
        <v>144</v>
      </c>
      <c r="W7" s="1222" t="s">
        <v>184</v>
      </c>
      <c r="X7" s="1801" t="s">
        <v>35</v>
      </c>
      <c r="Y7" s="1222" t="s">
        <v>144</v>
      </c>
      <c r="Z7" s="1222" t="s">
        <v>184</v>
      </c>
      <c r="AA7" s="1801" t="s">
        <v>35</v>
      </c>
      <c r="AB7" s="1222" t="s">
        <v>144</v>
      </c>
      <c r="AC7" s="1222" t="s">
        <v>184</v>
      </c>
      <c r="AD7" s="1804" t="s">
        <v>35</v>
      </c>
      <c r="AF7" s="1054"/>
      <c r="AG7" s="1054"/>
      <c r="AH7" s="1055"/>
      <c r="AI7" s="1054"/>
      <c r="AJ7" s="1054"/>
      <c r="AK7" s="1055"/>
    </row>
    <row r="8" spans="1:45" s="624" customFormat="1" ht="139.5" customHeight="1">
      <c r="A8" s="2093" t="s">
        <v>461</v>
      </c>
      <c r="B8" s="2094"/>
      <c r="C8" s="2094"/>
      <c r="D8" s="2094"/>
      <c r="E8" s="2094"/>
      <c r="F8" s="2094"/>
      <c r="G8" s="2094"/>
      <c r="H8" s="2094"/>
      <c r="I8" s="2094"/>
      <c r="J8" s="2094"/>
      <c r="K8" s="627"/>
      <c r="L8" s="627"/>
      <c r="M8" s="627"/>
      <c r="N8" s="627"/>
      <c r="O8" s="627"/>
      <c r="P8" s="627"/>
      <c r="Q8" s="627"/>
      <c r="R8" s="627"/>
      <c r="S8" s="627"/>
      <c r="T8" s="627"/>
      <c r="U8" s="627"/>
      <c r="V8" s="629"/>
      <c r="W8" s="629"/>
      <c r="X8" s="629"/>
      <c r="Y8" s="629"/>
      <c r="Z8" s="629"/>
      <c r="AA8" s="629"/>
      <c r="AB8" s="629"/>
      <c r="AC8" s="629"/>
      <c r="AD8" s="1001"/>
      <c r="AE8" s="630"/>
      <c r="AF8" s="630"/>
      <c r="AG8" s="630"/>
      <c r="AH8" s="630"/>
      <c r="AI8" s="630"/>
      <c r="AJ8" s="630"/>
      <c r="AK8" s="630"/>
      <c r="AL8" s="630"/>
      <c r="AM8" s="630"/>
      <c r="AN8" s="630"/>
      <c r="AO8" s="630"/>
      <c r="AP8" s="630"/>
      <c r="AQ8" s="630"/>
      <c r="AR8" s="630"/>
      <c r="AS8" s="630"/>
    </row>
    <row r="9" spans="1:45" s="623" customFormat="1" ht="75.75" customHeight="1">
      <c r="A9" s="2202" t="s">
        <v>506</v>
      </c>
      <c r="B9" s="835" t="s">
        <v>104</v>
      </c>
      <c r="C9" s="835"/>
      <c r="D9" s="835"/>
      <c r="E9" s="835"/>
      <c r="F9" s="835"/>
      <c r="G9" s="835"/>
      <c r="H9" s="879" t="s">
        <v>364</v>
      </c>
      <c r="I9" s="1056"/>
      <c r="J9" s="838" t="s">
        <v>142</v>
      </c>
      <c r="K9" s="836"/>
      <c r="L9" s="632">
        <v>0</v>
      </c>
      <c r="M9" s="633">
        <v>0</v>
      </c>
      <c r="N9" s="634">
        <f>SUM(L9:M9)</f>
        <v>0</v>
      </c>
      <c r="O9" s="841">
        <v>0</v>
      </c>
      <c r="P9" s="839">
        <v>0</v>
      </c>
      <c r="Q9" s="634">
        <f>SUM(O9:P9)</f>
        <v>0</v>
      </c>
      <c r="R9" s="1026"/>
      <c r="S9" s="841">
        <f aca="true" t="shared" si="0" ref="S9:U10">L9-O9</f>
        <v>0</v>
      </c>
      <c r="T9" s="885">
        <f t="shared" si="0"/>
        <v>0</v>
      </c>
      <c r="U9" s="1057">
        <f t="shared" si="0"/>
        <v>0</v>
      </c>
      <c r="V9" s="692"/>
      <c r="W9" s="693"/>
      <c r="X9" s="694"/>
      <c r="Y9" s="695"/>
      <c r="Z9" s="693"/>
      <c r="AA9" s="696"/>
      <c r="AB9" s="692"/>
      <c r="AC9" s="693"/>
      <c r="AD9" s="1058"/>
      <c r="AE9" s="793"/>
      <c r="AF9" s="793"/>
      <c r="AG9" s="793"/>
      <c r="AH9" s="793"/>
      <c r="AI9" s="793"/>
      <c r="AJ9" s="793"/>
      <c r="AK9" s="793"/>
      <c r="AL9" s="793"/>
      <c r="AM9" s="793"/>
      <c r="AN9" s="793"/>
      <c r="AO9" s="793"/>
      <c r="AP9" s="793"/>
      <c r="AQ9" s="793"/>
      <c r="AR9" s="793"/>
      <c r="AS9" s="793"/>
    </row>
    <row r="10" spans="1:45" s="623" customFormat="1" ht="222" customHeight="1">
      <c r="A10" s="2144"/>
      <c r="B10" s="835" t="s">
        <v>104</v>
      </c>
      <c r="C10" s="835"/>
      <c r="D10" s="835"/>
      <c r="E10" s="835"/>
      <c r="F10" s="835"/>
      <c r="G10" s="835"/>
      <c r="H10" s="879"/>
      <c r="I10" s="1056"/>
      <c r="J10" s="838" t="s">
        <v>183</v>
      </c>
      <c r="K10" s="836"/>
      <c r="L10" s="689">
        <v>0</v>
      </c>
      <c r="M10" s="690">
        <v>0</v>
      </c>
      <c r="N10" s="691">
        <f>SUM(L10:M10)</f>
        <v>0</v>
      </c>
      <c r="O10" s="695">
        <v>0</v>
      </c>
      <c r="P10" s="693">
        <v>0</v>
      </c>
      <c r="Q10" s="691">
        <f>SUM(O10:P10)</f>
        <v>0</v>
      </c>
      <c r="R10" s="1026"/>
      <c r="S10" s="841">
        <f t="shared" si="0"/>
        <v>0</v>
      </c>
      <c r="T10" s="885">
        <f t="shared" si="0"/>
        <v>0</v>
      </c>
      <c r="U10" s="1057">
        <f t="shared" si="0"/>
        <v>0</v>
      </c>
      <c r="V10" s="692"/>
      <c r="W10" s="693"/>
      <c r="X10" s="694"/>
      <c r="Y10" s="695"/>
      <c r="Z10" s="693"/>
      <c r="AA10" s="696"/>
      <c r="AB10" s="692"/>
      <c r="AC10" s="693"/>
      <c r="AD10" s="1058"/>
      <c r="AE10" s="793"/>
      <c r="AF10" s="793"/>
      <c r="AG10" s="793"/>
      <c r="AH10" s="793"/>
      <c r="AI10" s="793"/>
      <c r="AJ10" s="793"/>
      <c r="AK10" s="793"/>
      <c r="AL10" s="793"/>
      <c r="AM10" s="793"/>
      <c r="AN10" s="793"/>
      <c r="AO10" s="793"/>
      <c r="AP10" s="793"/>
      <c r="AQ10" s="793"/>
      <c r="AR10" s="793"/>
      <c r="AS10" s="793"/>
    </row>
    <row r="11" spans="1:45" s="623" customFormat="1" ht="133.5" customHeight="1">
      <c r="A11" s="2200" t="s">
        <v>479</v>
      </c>
      <c r="B11" s="2201"/>
      <c r="C11" s="2201"/>
      <c r="D11" s="2201"/>
      <c r="E11" s="2201"/>
      <c r="F11" s="2201"/>
      <c r="G11" s="2201"/>
      <c r="H11" s="2201"/>
      <c r="I11" s="2201"/>
      <c r="J11" s="2201"/>
      <c r="K11" s="1059"/>
      <c r="L11" s="1060"/>
      <c r="M11" s="1060"/>
      <c r="N11" s="1060"/>
      <c r="O11" s="1061"/>
      <c r="P11" s="1061"/>
      <c r="Q11" s="1060"/>
      <c r="R11" s="1026"/>
      <c r="S11" s="1061"/>
      <c r="T11" s="1062"/>
      <c r="U11" s="1063"/>
      <c r="V11" s="1064"/>
      <c r="W11" s="1064"/>
      <c r="X11" s="1064"/>
      <c r="Y11" s="1064"/>
      <c r="Z11" s="1064"/>
      <c r="AA11" s="1064"/>
      <c r="AB11" s="1064"/>
      <c r="AC11" s="1064"/>
      <c r="AD11" s="1065"/>
      <c r="AE11" s="793"/>
      <c r="AF11" s="793"/>
      <c r="AG11" s="793"/>
      <c r="AH11" s="793"/>
      <c r="AI11" s="793"/>
      <c r="AJ11" s="793"/>
      <c r="AK11" s="793"/>
      <c r="AL11" s="793"/>
      <c r="AM11" s="793"/>
      <c r="AN11" s="793"/>
      <c r="AO11" s="793"/>
      <c r="AP11" s="793"/>
      <c r="AQ11" s="793"/>
      <c r="AR11" s="793"/>
      <c r="AS11" s="793"/>
    </row>
    <row r="12" spans="1:45" s="616" customFormat="1" ht="182.25" customHeight="1">
      <c r="A12" s="2101" t="s">
        <v>507</v>
      </c>
      <c r="B12" s="835" t="s">
        <v>486</v>
      </c>
      <c r="C12" s="835" t="s">
        <v>176</v>
      </c>
      <c r="D12" s="835" t="s">
        <v>176</v>
      </c>
      <c r="E12" s="835" t="s">
        <v>176</v>
      </c>
      <c r="F12" s="835" t="s">
        <v>176</v>
      </c>
      <c r="G12" s="835"/>
      <c r="H12" s="879" t="s">
        <v>364</v>
      </c>
      <c r="I12" s="836" t="s">
        <v>364</v>
      </c>
      <c r="J12" s="838" t="s">
        <v>179</v>
      </c>
      <c r="K12" s="836"/>
      <c r="L12" s="632">
        <v>0</v>
      </c>
      <c r="M12" s="633">
        <v>0</v>
      </c>
      <c r="N12" s="634">
        <f>SUM(L12:M12)</f>
        <v>0</v>
      </c>
      <c r="O12" s="869">
        <v>0</v>
      </c>
      <c r="P12" s="839">
        <v>0</v>
      </c>
      <c r="Q12" s="753">
        <f>SUM(O12:P12)</f>
        <v>0</v>
      </c>
      <c r="R12" s="870"/>
      <c r="S12" s="841">
        <f aca="true" t="shared" si="1" ref="S12:U15">L12-O12</f>
        <v>0</v>
      </c>
      <c r="T12" s="885">
        <f t="shared" si="1"/>
        <v>0</v>
      </c>
      <c r="U12" s="1057">
        <f t="shared" si="1"/>
        <v>0</v>
      </c>
      <c r="V12" s="841"/>
      <c r="W12" s="839"/>
      <c r="X12" s="871"/>
      <c r="Y12" s="869"/>
      <c r="Z12" s="839"/>
      <c r="AA12" s="871"/>
      <c r="AB12" s="841"/>
      <c r="AC12" s="839"/>
      <c r="AD12" s="1003"/>
      <c r="AE12" s="725"/>
      <c r="AF12" s="1064"/>
      <c r="AG12" s="1064"/>
      <c r="AH12" s="1064"/>
      <c r="AI12" s="1064"/>
      <c r="AJ12" s="1064"/>
      <c r="AK12" s="1064"/>
      <c r="AL12" s="725"/>
      <c r="AM12" s="725"/>
      <c r="AN12" s="725"/>
      <c r="AO12" s="725"/>
      <c r="AP12" s="725"/>
      <c r="AQ12" s="725"/>
      <c r="AR12" s="725"/>
      <c r="AS12" s="725"/>
    </row>
    <row r="13" spans="1:45" s="616" customFormat="1" ht="25.5" customHeight="1">
      <c r="A13" s="2102"/>
      <c r="B13" s="872" t="s">
        <v>9</v>
      </c>
      <c r="C13" s="873"/>
      <c r="D13" s="873"/>
      <c r="E13" s="873"/>
      <c r="F13" s="873"/>
      <c r="G13" s="873"/>
      <c r="H13" s="873"/>
      <c r="I13" s="857"/>
      <c r="J13" s="856"/>
      <c r="K13" s="857" t="s">
        <v>185</v>
      </c>
      <c r="L13" s="676">
        <v>10000</v>
      </c>
      <c r="M13" s="677">
        <v>25000</v>
      </c>
      <c r="N13" s="678">
        <f aca="true" t="shared" si="2" ref="N13:N36">L13+M13</f>
        <v>35000</v>
      </c>
      <c r="O13" s="667">
        <v>0</v>
      </c>
      <c r="P13" s="668">
        <v>21467</v>
      </c>
      <c r="Q13" s="669">
        <f>O13+P13</f>
        <v>21467</v>
      </c>
      <c r="R13" s="858" t="s">
        <v>363</v>
      </c>
      <c r="S13" s="841">
        <f t="shared" si="1"/>
        <v>10000</v>
      </c>
      <c r="T13" s="885">
        <f t="shared" si="1"/>
        <v>3533</v>
      </c>
      <c r="U13" s="1057">
        <f t="shared" si="1"/>
        <v>13533</v>
      </c>
      <c r="V13" s="670">
        <v>19280</v>
      </c>
      <c r="W13" s="874">
        <v>8500</v>
      </c>
      <c r="X13" s="859">
        <f>SUM(V13:W13)</f>
        <v>27780</v>
      </c>
      <c r="Y13" s="667">
        <v>0</v>
      </c>
      <c r="Z13" s="874">
        <v>0</v>
      </c>
      <c r="AA13" s="859">
        <f>SUM(Y13:Z13)</f>
        <v>0</v>
      </c>
      <c r="AB13" s="670">
        <f>V13+Y13</f>
        <v>19280</v>
      </c>
      <c r="AC13" s="668">
        <f>W13+Z13</f>
        <v>8500</v>
      </c>
      <c r="AD13" s="672">
        <f>SUM(AB13:AC13)</f>
        <v>27780</v>
      </c>
      <c r="AE13" s="725"/>
      <c r="AF13" s="1064"/>
      <c r="AG13" s="1063"/>
      <c r="AH13" s="787"/>
      <c r="AI13" s="1064"/>
      <c r="AJ13" s="1063"/>
      <c r="AK13" s="787"/>
      <c r="AL13" s="725"/>
      <c r="AM13" s="725"/>
      <c r="AN13" s="725"/>
      <c r="AO13" s="725"/>
      <c r="AP13" s="725"/>
      <c r="AQ13" s="725"/>
      <c r="AR13" s="725"/>
      <c r="AS13" s="725"/>
    </row>
    <row r="14" spans="1:45" s="616" customFormat="1" ht="71.25" customHeight="1">
      <c r="A14" s="2102"/>
      <c r="B14" s="835" t="s">
        <v>502</v>
      </c>
      <c r="C14" s="835"/>
      <c r="D14" s="835" t="s">
        <v>176</v>
      </c>
      <c r="E14" s="835" t="s">
        <v>176</v>
      </c>
      <c r="F14" s="835" t="s">
        <v>176</v>
      </c>
      <c r="G14" s="835"/>
      <c r="H14" s="879" t="s">
        <v>364</v>
      </c>
      <c r="I14" s="836" t="s">
        <v>365</v>
      </c>
      <c r="J14" s="838" t="s">
        <v>351</v>
      </c>
      <c r="K14" s="836"/>
      <c r="L14" s="1164"/>
      <c r="M14" s="1165"/>
      <c r="N14" s="1166"/>
      <c r="O14" s="1167"/>
      <c r="P14" s="1168"/>
      <c r="Q14" s="1169"/>
      <c r="R14" s="899"/>
      <c r="S14" s="841">
        <f t="shared" si="1"/>
        <v>0</v>
      </c>
      <c r="T14" s="885">
        <f t="shared" si="1"/>
        <v>0</v>
      </c>
      <c r="U14" s="1057">
        <f t="shared" si="1"/>
        <v>0</v>
      </c>
      <c r="V14" s="717"/>
      <c r="W14" s="715"/>
      <c r="X14" s="716"/>
      <c r="Y14" s="714"/>
      <c r="Z14" s="715"/>
      <c r="AA14" s="716"/>
      <c r="AB14" s="717"/>
      <c r="AC14" s="715"/>
      <c r="AD14" s="1066"/>
      <c r="AE14" s="725"/>
      <c r="AF14" s="1064"/>
      <c r="AG14" s="1064"/>
      <c r="AH14" s="1064"/>
      <c r="AI14" s="1064"/>
      <c r="AJ14" s="1064"/>
      <c r="AK14" s="1064"/>
      <c r="AL14" s="725"/>
      <c r="AM14" s="725"/>
      <c r="AN14" s="725"/>
      <c r="AO14" s="725"/>
      <c r="AP14" s="725"/>
      <c r="AQ14" s="725"/>
      <c r="AR14" s="725"/>
      <c r="AS14" s="725"/>
    </row>
    <row r="15" spans="1:45" s="616" customFormat="1" ht="30" customHeight="1">
      <c r="A15" s="2103"/>
      <c r="B15" s="872" t="s">
        <v>10</v>
      </c>
      <c r="C15" s="873"/>
      <c r="D15" s="873"/>
      <c r="E15" s="873"/>
      <c r="F15" s="873"/>
      <c r="G15" s="873"/>
      <c r="H15" s="873"/>
      <c r="I15" s="857"/>
      <c r="J15" s="856"/>
      <c r="K15" s="857" t="s">
        <v>185</v>
      </c>
      <c r="L15" s="676">
        <v>23818</v>
      </c>
      <c r="M15" s="677">
        <v>32006</v>
      </c>
      <c r="N15" s="678">
        <f t="shared" si="2"/>
        <v>55824</v>
      </c>
      <c r="O15" s="667">
        <v>32328</v>
      </c>
      <c r="P15" s="668">
        <v>32006</v>
      </c>
      <c r="Q15" s="669">
        <f>O15+P15</f>
        <v>64334</v>
      </c>
      <c r="R15" s="858" t="s">
        <v>363</v>
      </c>
      <c r="S15" s="841">
        <f t="shared" si="1"/>
        <v>-8510</v>
      </c>
      <c r="T15" s="885">
        <f t="shared" si="1"/>
        <v>0</v>
      </c>
      <c r="U15" s="1057">
        <f t="shared" si="1"/>
        <v>-8510</v>
      </c>
      <c r="V15" s="670">
        <v>0</v>
      </c>
      <c r="W15" s="874">
        <v>0</v>
      </c>
      <c r="X15" s="859">
        <f>SUM(V15:W15)</f>
        <v>0</v>
      </c>
      <c r="Y15" s="667">
        <v>0</v>
      </c>
      <c r="Z15" s="874">
        <v>0</v>
      </c>
      <c r="AA15" s="859">
        <f>SUM(Y15:Z15)</f>
        <v>0</v>
      </c>
      <c r="AB15" s="670">
        <f>V15+Y15</f>
        <v>0</v>
      </c>
      <c r="AC15" s="874">
        <v>0</v>
      </c>
      <c r="AD15" s="672">
        <f>SUM(AB15:AC15)</f>
        <v>0</v>
      </c>
      <c r="AE15" s="725"/>
      <c r="AF15" s="1064"/>
      <c r="AG15" s="1063"/>
      <c r="AH15" s="787"/>
      <c r="AI15" s="1064"/>
      <c r="AJ15" s="1063"/>
      <c r="AK15" s="787"/>
      <c r="AL15" s="725"/>
      <c r="AM15" s="725"/>
      <c r="AN15" s="725"/>
      <c r="AO15" s="725"/>
      <c r="AP15" s="725"/>
      <c r="AQ15" s="725"/>
      <c r="AR15" s="725"/>
      <c r="AS15" s="725"/>
    </row>
    <row r="16" spans="1:45" s="617" customFormat="1" ht="41.25" customHeight="1">
      <c r="A16" s="646"/>
      <c r="B16" s="647" t="s">
        <v>417</v>
      </c>
      <c r="C16" s="730"/>
      <c r="D16" s="730"/>
      <c r="E16" s="730"/>
      <c r="F16" s="730"/>
      <c r="G16" s="730"/>
      <c r="H16" s="697"/>
      <c r="I16" s="697"/>
      <c r="J16" s="649"/>
      <c r="K16" s="738"/>
      <c r="L16" s="650">
        <f>SUM(L12:L15)</f>
        <v>33818</v>
      </c>
      <c r="M16" s="651">
        <f aca="true" t="shared" si="3" ref="M16:AD16">SUM(M12:M15)</f>
        <v>57006</v>
      </c>
      <c r="N16" s="652">
        <f t="shared" si="3"/>
        <v>90824</v>
      </c>
      <c r="O16" s="653">
        <f t="shared" si="3"/>
        <v>32328</v>
      </c>
      <c r="P16" s="651">
        <f t="shared" si="3"/>
        <v>53473</v>
      </c>
      <c r="Q16" s="654">
        <f t="shared" si="3"/>
        <v>85801</v>
      </c>
      <c r="R16" s="699">
        <f t="shared" si="3"/>
        <v>0</v>
      </c>
      <c r="S16" s="653">
        <f t="shared" si="3"/>
        <v>1490</v>
      </c>
      <c r="T16" s="651">
        <f t="shared" si="3"/>
        <v>3533</v>
      </c>
      <c r="U16" s="654">
        <f t="shared" si="3"/>
        <v>5023</v>
      </c>
      <c r="V16" s="650">
        <f t="shared" si="3"/>
        <v>19280</v>
      </c>
      <c r="W16" s="651">
        <f t="shared" si="3"/>
        <v>8500</v>
      </c>
      <c r="X16" s="652">
        <f t="shared" si="3"/>
        <v>27780</v>
      </c>
      <c r="Y16" s="653">
        <f t="shared" si="3"/>
        <v>0</v>
      </c>
      <c r="Z16" s="651">
        <f t="shared" si="3"/>
        <v>0</v>
      </c>
      <c r="AA16" s="652">
        <f t="shared" si="3"/>
        <v>0</v>
      </c>
      <c r="AB16" s="650">
        <f t="shared" si="3"/>
        <v>19280</v>
      </c>
      <c r="AC16" s="651">
        <f t="shared" si="3"/>
        <v>8500</v>
      </c>
      <c r="AD16" s="700">
        <f t="shared" si="3"/>
        <v>27780</v>
      </c>
      <c r="AE16" s="635"/>
      <c r="AF16" s="1067"/>
      <c r="AG16" s="1067"/>
      <c r="AH16" s="1067"/>
      <c r="AI16" s="1067"/>
      <c r="AJ16" s="1067"/>
      <c r="AK16" s="1067"/>
      <c r="AL16" s="635"/>
      <c r="AM16" s="635"/>
      <c r="AN16" s="635"/>
      <c r="AO16" s="635"/>
      <c r="AP16" s="635"/>
      <c r="AQ16" s="635"/>
      <c r="AR16" s="635"/>
      <c r="AS16" s="635"/>
    </row>
    <row r="17" spans="1:45" s="616" customFormat="1" ht="63.75" customHeight="1">
      <c r="A17" s="2196" t="s">
        <v>607</v>
      </c>
      <c r="B17" s="888" t="s">
        <v>487</v>
      </c>
      <c r="C17" s="888"/>
      <c r="D17" s="888" t="s">
        <v>176</v>
      </c>
      <c r="E17" s="888" t="s">
        <v>176</v>
      </c>
      <c r="F17" s="888" t="s">
        <v>176</v>
      </c>
      <c r="G17" s="888" t="s">
        <v>176</v>
      </c>
      <c r="H17" s="889" t="s">
        <v>364</v>
      </c>
      <c r="I17" s="890" t="s">
        <v>366</v>
      </c>
      <c r="J17" s="891" t="s">
        <v>156</v>
      </c>
      <c r="K17" s="890"/>
      <c r="L17" s="703"/>
      <c r="M17" s="704"/>
      <c r="N17" s="705">
        <f t="shared" si="2"/>
        <v>0</v>
      </c>
      <c r="O17" s="710"/>
      <c r="P17" s="708"/>
      <c r="Q17" s="1006">
        <f aca="true" t="shared" si="4" ref="Q17:Q24">O17+P17</f>
        <v>0</v>
      </c>
      <c r="R17" s="1068"/>
      <c r="S17" s="841">
        <f aca="true" t="shared" si="5" ref="S17:U18">L17-O17</f>
        <v>0</v>
      </c>
      <c r="T17" s="885">
        <f t="shared" si="5"/>
        <v>0</v>
      </c>
      <c r="U17" s="1057">
        <f t="shared" si="5"/>
        <v>0</v>
      </c>
      <c r="V17" s="707"/>
      <c r="W17" s="708"/>
      <c r="X17" s="709"/>
      <c r="Y17" s="710"/>
      <c r="Z17" s="708"/>
      <c r="AA17" s="709"/>
      <c r="AB17" s="707"/>
      <c r="AC17" s="708"/>
      <c r="AD17" s="1070"/>
      <c r="AE17" s="725"/>
      <c r="AF17" s="1064"/>
      <c r="AG17" s="1064"/>
      <c r="AH17" s="1064"/>
      <c r="AI17" s="1064"/>
      <c r="AJ17" s="1064"/>
      <c r="AK17" s="1064"/>
      <c r="AL17" s="725"/>
      <c r="AM17" s="725"/>
      <c r="AN17" s="725"/>
      <c r="AO17" s="725"/>
      <c r="AP17" s="725"/>
      <c r="AQ17" s="725"/>
      <c r="AR17" s="725"/>
      <c r="AS17" s="725"/>
    </row>
    <row r="18" spans="1:45" s="616" customFormat="1" ht="27" customHeight="1">
      <c r="A18" s="2197"/>
      <c r="B18" s="872" t="s">
        <v>27</v>
      </c>
      <c r="C18" s="873"/>
      <c r="D18" s="873"/>
      <c r="E18" s="873"/>
      <c r="F18" s="873"/>
      <c r="G18" s="873"/>
      <c r="H18" s="873"/>
      <c r="I18" s="857"/>
      <c r="J18" s="856"/>
      <c r="K18" s="857" t="s">
        <v>185</v>
      </c>
      <c r="L18" s="1164">
        <v>3150</v>
      </c>
      <c r="M18" s="1165">
        <v>25463</v>
      </c>
      <c r="N18" s="1166">
        <f t="shared" si="2"/>
        <v>28613</v>
      </c>
      <c r="O18" s="667">
        <v>0</v>
      </c>
      <c r="P18" s="668">
        <v>500</v>
      </c>
      <c r="Q18" s="669">
        <f t="shared" si="4"/>
        <v>500</v>
      </c>
      <c r="R18" s="858" t="s">
        <v>363</v>
      </c>
      <c r="S18" s="841">
        <f t="shared" si="5"/>
        <v>3150</v>
      </c>
      <c r="T18" s="885">
        <f t="shared" si="5"/>
        <v>24963</v>
      </c>
      <c r="U18" s="1057">
        <f t="shared" si="5"/>
        <v>28113</v>
      </c>
      <c r="V18" s="670">
        <v>5814</v>
      </c>
      <c r="W18" s="874">
        <v>17270</v>
      </c>
      <c r="X18" s="859">
        <f>SUM(V18:W18)</f>
        <v>23084</v>
      </c>
      <c r="Y18" s="667">
        <v>0</v>
      </c>
      <c r="Z18" s="874">
        <v>0</v>
      </c>
      <c r="AA18" s="859">
        <f>SUM(Y18:Z18)</f>
        <v>0</v>
      </c>
      <c r="AB18" s="670">
        <f>V18+Y18</f>
        <v>5814</v>
      </c>
      <c r="AC18" s="874">
        <f>W18+Z18</f>
        <v>17270</v>
      </c>
      <c r="AD18" s="672">
        <f>SUM(AB18:AC18)</f>
        <v>23084</v>
      </c>
      <c r="AE18" s="725"/>
      <c r="AF18" s="1064"/>
      <c r="AG18" s="1063"/>
      <c r="AH18" s="787"/>
      <c r="AI18" s="1064"/>
      <c r="AJ18" s="1063"/>
      <c r="AK18" s="787"/>
      <c r="AL18" s="725"/>
      <c r="AM18" s="725"/>
      <c r="AN18" s="725"/>
      <c r="AO18" s="725"/>
      <c r="AP18" s="725"/>
      <c r="AQ18" s="725"/>
      <c r="AR18" s="725"/>
      <c r="AS18" s="725"/>
    </row>
    <row r="19" spans="1:45" s="616" customFormat="1" ht="69" customHeight="1">
      <c r="A19" s="2197"/>
      <c r="B19" s="835" t="s">
        <v>488</v>
      </c>
      <c r="C19" s="835"/>
      <c r="D19" s="835" t="s">
        <v>176</v>
      </c>
      <c r="E19" s="835"/>
      <c r="F19" s="835"/>
      <c r="G19" s="835"/>
      <c r="H19" s="879" t="s">
        <v>364</v>
      </c>
      <c r="I19" s="836" t="s">
        <v>364</v>
      </c>
      <c r="J19" s="838" t="s">
        <v>142</v>
      </c>
      <c r="K19" s="836"/>
      <c r="L19" s="632"/>
      <c r="M19" s="633"/>
      <c r="N19" s="634">
        <f t="shared" si="2"/>
        <v>0</v>
      </c>
      <c r="O19" s="869"/>
      <c r="P19" s="839"/>
      <c r="Q19" s="935">
        <f t="shared" si="4"/>
        <v>0</v>
      </c>
      <c r="R19" s="899"/>
      <c r="S19" s="869">
        <f aca="true" t="shared" si="6" ref="S19:S24">L19-O19</f>
        <v>0</v>
      </c>
      <c r="T19" s="842"/>
      <c r="U19" s="1023">
        <f>S19+T19</f>
        <v>0</v>
      </c>
      <c r="V19" s="841"/>
      <c r="W19" s="839"/>
      <c r="X19" s="871"/>
      <c r="Y19" s="869"/>
      <c r="Z19" s="839"/>
      <c r="AA19" s="871"/>
      <c r="AB19" s="841"/>
      <c r="AC19" s="839"/>
      <c r="AD19" s="1003"/>
      <c r="AE19" s="725"/>
      <c r="AF19" s="1064"/>
      <c r="AG19" s="1064"/>
      <c r="AH19" s="1064"/>
      <c r="AI19" s="1064"/>
      <c r="AJ19" s="1064"/>
      <c r="AK19" s="1064"/>
      <c r="AL19" s="725"/>
      <c r="AM19" s="725"/>
      <c r="AN19" s="725"/>
      <c r="AO19" s="725"/>
      <c r="AP19" s="725"/>
      <c r="AQ19" s="725"/>
      <c r="AR19" s="725"/>
      <c r="AS19" s="725"/>
    </row>
    <row r="20" spans="1:45" s="616" customFormat="1" ht="27.75" customHeight="1">
      <c r="A20" s="2197"/>
      <c r="B20" s="872" t="s">
        <v>28</v>
      </c>
      <c r="C20" s="873"/>
      <c r="D20" s="873"/>
      <c r="E20" s="873"/>
      <c r="F20" s="873"/>
      <c r="G20" s="873"/>
      <c r="H20" s="873"/>
      <c r="I20" s="857"/>
      <c r="J20" s="856"/>
      <c r="K20" s="857"/>
      <c r="L20" s="676">
        <v>0</v>
      </c>
      <c r="M20" s="677">
        <v>28037</v>
      </c>
      <c r="N20" s="678">
        <f t="shared" si="2"/>
        <v>28037</v>
      </c>
      <c r="O20" s="679">
        <v>0</v>
      </c>
      <c r="P20" s="668">
        <v>15637</v>
      </c>
      <c r="Q20" s="680">
        <f t="shared" si="4"/>
        <v>15637</v>
      </c>
      <c r="R20" s="937"/>
      <c r="S20" s="670">
        <f t="shared" si="6"/>
        <v>0</v>
      </c>
      <c r="T20" s="874">
        <f>M20-P20</f>
        <v>12400</v>
      </c>
      <c r="U20" s="973">
        <f>N20-Q20</f>
        <v>12400</v>
      </c>
      <c r="V20" s="670">
        <v>0</v>
      </c>
      <c r="W20" s="874">
        <v>12400</v>
      </c>
      <c r="X20" s="859">
        <f>SUM(V20:W20)</f>
        <v>12400</v>
      </c>
      <c r="Y20" s="667">
        <v>0</v>
      </c>
      <c r="Z20" s="874">
        <v>0</v>
      </c>
      <c r="AA20" s="859">
        <f>SUM(Y20:Z20)</f>
        <v>0</v>
      </c>
      <c r="AB20" s="670">
        <f>V20+Y20</f>
        <v>0</v>
      </c>
      <c r="AC20" s="874">
        <f>W20+Z20</f>
        <v>12400</v>
      </c>
      <c r="AD20" s="672">
        <f>SUM(AB20:AC20)</f>
        <v>12400</v>
      </c>
      <c r="AE20" s="725"/>
      <c r="AF20" s="1064"/>
      <c r="AG20" s="1063"/>
      <c r="AH20" s="787"/>
      <c r="AI20" s="1064"/>
      <c r="AJ20" s="1063"/>
      <c r="AK20" s="787"/>
      <c r="AL20" s="725"/>
      <c r="AM20" s="725"/>
      <c r="AN20" s="725"/>
      <c r="AO20" s="725"/>
      <c r="AP20" s="725"/>
      <c r="AQ20" s="725"/>
      <c r="AR20" s="725"/>
      <c r="AS20" s="725"/>
    </row>
    <row r="21" spans="1:45" s="616" customFormat="1" ht="70.5" customHeight="1">
      <c r="A21" s="2197"/>
      <c r="B21" s="835" t="s">
        <v>489</v>
      </c>
      <c r="C21" s="835"/>
      <c r="D21" s="835"/>
      <c r="E21" s="835"/>
      <c r="F21" s="835" t="s">
        <v>176</v>
      </c>
      <c r="G21" s="835"/>
      <c r="H21" s="879" t="s">
        <v>364</v>
      </c>
      <c r="I21" s="836" t="s">
        <v>410</v>
      </c>
      <c r="J21" s="838" t="s">
        <v>156</v>
      </c>
      <c r="K21" s="836"/>
      <c r="L21" s="1171"/>
      <c r="M21" s="1172"/>
      <c r="N21" s="1173"/>
      <c r="O21" s="1174"/>
      <c r="P21" s="1175"/>
      <c r="Q21" s="1176"/>
      <c r="R21" s="870"/>
      <c r="S21" s="869">
        <f t="shared" si="6"/>
        <v>0</v>
      </c>
      <c r="T21" s="842">
        <f>M21-P21</f>
        <v>0</v>
      </c>
      <c r="U21" s="1023">
        <f>S21+T21</f>
        <v>0</v>
      </c>
      <c r="V21" s="841"/>
      <c r="W21" s="839"/>
      <c r="X21" s="871"/>
      <c r="Y21" s="869"/>
      <c r="Z21" s="839"/>
      <c r="AA21" s="871"/>
      <c r="AB21" s="841"/>
      <c r="AC21" s="839"/>
      <c r="AD21" s="1003"/>
      <c r="AE21" s="725"/>
      <c r="AF21" s="1064"/>
      <c r="AG21" s="1064"/>
      <c r="AH21" s="1064"/>
      <c r="AI21" s="1064"/>
      <c r="AJ21" s="1064"/>
      <c r="AK21" s="1064"/>
      <c r="AL21" s="725"/>
      <c r="AM21" s="725"/>
      <c r="AN21" s="725"/>
      <c r="AO21" s="725"/>
      <c r="AP21" s="725"/>
      <c r="AQ21" s="725"/>
      <c r="AR21" s="725"/>
      <c r="AS21" s="725"/>
    </row>
    <row r="22" spans="1:45" s="616" customFormat="1" ht="26.25" customHeight="1">
      <c r="A22" s="2197"/>
      <c r="B22" s="872" t="s">
        <v>29</v>
      </c>
      <c r="C22" s="873"/>
      <c r="D22" s="873"/>
      <c r="E22" s="873"/>
      <c r="F22" s="873"/>
      <c r="G22" s="873"/>
      <c r="H22" s="873"/>
      <c r="I22" s="857"/>
      <c r="J22" s="856"/>
      <c r="K22" s="857" t="s">
        <v>185</v>
      </c>
      <c r="L22" s="676">
        <v>6825</v>
      </c>
      <c r="M22" s="677">
        <v>9450</v>
      </c>
      <c r="N22" s="678">
        <f t="shared" si="2"/>
        <v>16275</v>
      </c>
      <c r="O22" s="667">
        <v>2713</v>
      </c>
      <c r="P22" s="668">
        <v>7156</v>
      </c>
      <c r="Q22" s="669">
        <f t="shared" si="4"/>
        <v>9869</v>
      </c>
      <c r="R22" s="858" t="s">
        <v>363</v>
      </c>
      <c r="S22" s="670">
        <f t="shared" si="6"/>
        <v>4112</v>
      </c>
      <c r="T22" s="874">
        <f>M22-P22</f>
        <v>2294</v>
      </c>
      <c r="U22" s="973">
        <f>N22-Q22</f>
        <v>6406</v>
      </c>
      <c r="V22" s="670">
        <v>4357</v>
      </c>
      <c r="W22" s="874">
        <v>10032</v>
      </c>
      <c r="X22" s="859">
        <f>SUM(V22:W22)</f>
        <v>14389</v>
      </c>
      <c r="Y22" s="667">
        <v>0</v>
      </c>
      <c r="Z22" s="874">
        <v>0</v>
      </c>
      <c r="AA22" s="859">
        <f>SUM(Y22:Z22)</f>
        <v>0</v>
      </c>
      <c r="AB22" s="670">
        <f>V22+Y22</f>
        <v>4357</v>
      </c>
      <c r="AC22" s="874">
        <f>W22+Z22</f>
        <v>10032</v>
      </c>
      <c r="AD22" s="672">
        <f>SUM(AB22:AC22)</f>
        <v>14389</v>
      </c>
      <c r="AE22" s="725"/>
      <c r="AF22" s="1064"/>
      <c r="AG22" s="1063"/>
      <c r="AH22" s="787"/>
      <c r="AI22" s="1064"/>
      <c r="AJ22" s="1063"/>
      <c r="AK22" s="787"/>
      <c r="AL22" s="725"/>
      <c r="AM22" s="725"/>
      <c r="AN22" s="725"/>
      <c r="AO22" s="725"/>
      <c r="AP22" s="725"/>
      <c r="AQ22" s="725"/>
      <c r="AR22" s="725"/>
      <c r="AS22" s="725"/>
    </row>
    <row r="23" spans="1:45" s="616" customFormat="1" ht="135.75" customHeight="1">
      <c r="A23" s="2197"/>
      <c r="B23" s="835" t="s">
        <v>497</v>
      </c>
      <c r="C23" s="835" t="s">
        <v>176</v>
      </c>
      <c r="D23" s="835" t="s">
        <v>176</v>
      </c>
      <c r="E23" s="835" t="s">
        <v>176</v>
      </c>
      <c r="F23" s="835" t="s">
        <v>176</v>
      </c>
      <c r="G23" s="835" t="s">
        <v>176</v>
      </c>
      <c r="H23" s="879" t="s">
        <v>364</v>
      </c>
      <c r="I23" s="836" t="s">
        <v>366</v>
      </c>
      <c r="J23" s="838" t="s">
        <v>153</v>
      </c>
      <c r="K23" s="836"/>
      <c r="L23" s="1171"/>
      <c r="M23" s="1172"/>
      <c r="N23" s="1173"/>
      <c r="O23" s="1177"/>
      <c r="P23" s="1175"/>
      <c r="Q23" s="1176"/>
      <c r="R23" s="899"/>
      <c r="S23" s="869">
        <f t="shared" si="6"/>
        <v>0</v>
      </c>
      <c r="T23" s="842">
        <f>M23-P23</f>
        <v>0</v>
      </c>
      <c r="U23" s="1023">
        <f>S23+T23</f>
        <v>0</v>
      </c>
      <c r="V23" s="841"/>
      <c r="W23" s="839"/>
      <c r="X23" s="871"/>
      <c r="Y23" s="869"/>
      <c r="Z23" s="839"/>
      <c r="AA23" s="871"/>
      <c r="AB23" s="841"/>
      <c r="AC23" s="839"/>
      <c r="AD23" s="1003"/>
      <c r="AE23" s="725"/>
      <c r="AF23" s="1064"/>
      <c r="AG23" s="1064"/>
      <c r="AH23" s="1064"/>
      <c r="AI23" s="1064"/>
      <c r="AJ23" s="1064"/>
      <c r="AK23" s="1064"/>
      <c r="AL23" s="725"/>
      <c r="AM23" s="725"/>
      <c r="AN23" s="725"/>
      <c r="AO23" s="725"/>
      <c r="AP23" s="725"/>
      <c r="AQ23" s="725"/>
      <c r="AR23" s="725"/>
      <c r="AS23" s="725"/>
    </row>
    <row r="24" spans="1:45" s="616" customFormat="1" ht="33.75" customHeight="1">
      <c r="A24" s="2197"/>
      <c r="B24" s="872" t="s">
        <v>30</v>
      </c>
      <c r="C24" s="873"/>
      <c r="D24" s="873"/>
      <c r="E24" s="873"/>
      <c r="F24" s="873"/>
      <c r="G24" s="873"/>
      <c r="H24" s="873"/>
      <c r="I24" s="857"/>
      <c r="J24" s="856"/>
      <c r="K24" s="857" t="s">
        <v>185</v>
      </c>
      <c r="L24" s="676">
        <v>5459</v>
      </c>
      <c r="M24" s="677">
        <v>0</v>
      </c>
      <c r="N24" s="678">
        <f t="shared" si="2"/>
        <v>5459</v>
      </c>
      <c r="O24" s="667">
        <v>4584</v>
      </c>
      <c r="P24" s="668">
        <v>0</v>
      </c>
      <c r="Q24" s="669">
        <f t="shared" si="4"/>
        <v>4584</v>
      </c>
      <c r="R24" s="858" t="s">
        <v>373</v>
      </c>
      <c r="S24" s="670">
        <f t="shared" si="6"/>
        <v>875</v>
      </c>
      <c r="T24" s="874">
        <f>M24-P24</f>
        <v>0</v>
      </c>
      <c r="U24" s="973">
        <f>N24-Q24</f>
        <v>875</v>
      </c>
      <c r="V24" s="670">
        <v>35817</v>
      </c>
      <c r="W24" s="874">
        <v>0</v>
      </c>
      <c r="X24" s="859">
        <f>SUM(V24:W24)</f>
        <v>35817</v>
      </c>
      <c r="Y24" s="667">
        <v>0</v>
      </c>
      <c r="Z24" s="874">
        <v>0</v>
      </c>
      <c r="AA24" s="859">
        <f>SUM(Y24:Z24)</f>
        <v>0</v>
      </c>
      <c r="AB24" s="670">
        <f>V24+Y24</f>
        <v>35817</v>
      </c>
      <c r="AC24" s="874">
        <f>W24+Z24</f>
        <v>0</v>
      </c>
      <c r="AD24" s="672">
        <f>SUM(AB24:AC24)</f>
        <v>35817</v>
      </c>
      <c r="AE24" s="725"/>
      <c r="AF24" s="1064"/>
      <c r="AG24" s="1063"/>
      <c r="AH24" s="787"/>
      <c r="AI24" s="1064"/>
      <c r="AJ24" s="1063"/>
      <c r="AK24" s="787"/>
      <c r="AL24" s="725"/>
      <c r="AM24" s="725"/>
      <c r="AN24" s="725"/>
      <c r="AO24" s="725"/>
      <c r="AP24" s="725"/>
      <c r="AQ24" s="725"/>
      <c r="AR24" s="725"/>
      <c r="AS24" s="725"/>
    </row>
    <row r="25" spans="1:45" s="616" customFormat="1" ht="71.25" customHeight="1">
      <c r="A25" s="2197"/>
      <c r="B25" s="835" t="s">
        <v>77</v>
      </c>
      <c r="C25" s="835"/>
      <c r="D25" s="835" t="s">
        <v>176</v>
      </c>
      <c r="E25" s="835" t="s">
        <v>176</v>
      </c>
      <c r="F25" s="835" t="s">
        <v>176</v>
      </c>
      <c r="G25" s="835" t="s">
        <v>176</v>
      </c>
      <c r="H25" s="879" t="s">
        <v>364</v>
      </c>
      <c r="I25" s="836" t="s">
        <v>366</v>
      </c>
      <c r="J25" s="838" t="s">
        <v>183</v>
      </c>
      <c r="K25" s="836"/>
      <c r="L25" s="632"/>
      <c r="M25" s="633"/>
      <c r="N25" s="634"/>
      <c r="O25" s="869"/>
      <c r="P25" s="839"/>
      <c r="Q25" s="935"/>
      <c r="R25" s="899"/>
      <c r="S25" s="869"/>
      <c r="T25" s="842"/>
      <c r="U25" s="1023"/>
      <c r="V25" s="841"/>
      <c r="W25" s="839"/>
      <c r="X25" s="716"/>
      <c r="Y25" s="714"/>
      <c r="Z25" s="715"/>
      <c r="AA25" s="716"/>
      <c r="AB25" s="717"/>
      <c r="AC25" s="715"/>
      <c r="AD25" s="1066"/>
      <c r="AE25" s="725"/>
      <c r="AF25" s="1064"/>
      <c r="AG25" s="1064"/>
      <c r="AH25" s="1064"/>
      <c r="AI25" s="1064"/>
      <c r="AJ25" s="1064"/>
      <c r="AK25" s="1064"/>
      <c r="AL25" s="725"/>
      <c r="AM25" s="725"/>
      <c r="AN25" s="725"/>
      <c r="AO25" s="725"/>
      <c r="AP25" s="725"/>
      <c r="AQ25" s="725"/>
      <c r="AR25" s="725"/>
      <c r="AS25" s="725"/>
    </row>
    <row r="26" spans="1:45" s="616" customFormat="1" ht="33.75" customHeight="1">
      <c r="A26" s="2198"/>
      <c r="B26" s="872"/>
      <c r="C26" s="873"/>
      <c r="D26" s="873"/>
      <c r="E26" s="873"/>
      <c r="F26" s="873"/>
      <c r="G26" s="873"/>
      <c r="H26" s="873"/>
      <c r="I26" s="857"/>
      <c r="J26" s="856"/>
      <c r="K26" s="857"/>
      <c r="L26" s="676">
        <v>0</v>
      </c>
      <c r="M26" s="677">
        <v>0</v>
      </c>
      <c r="N26" s="678">
        <v>0</v>
      </c>
      <c r="O26" s="942">
        <v>0</v>
      </c>
      <c r="P26" s="1071">
        <v>0</v>
      </c>
      <c r="Q26" s="669">
        <v>0</v>
      </c>
      <c r="R26" s="858" t="s">
        <v>373</v>
      </c>
      <c r="S26" s="670">
        <f>L26-O26</f>
        <v>0</v>
      </c>
      <c r="T26" s="874">
        <f>M26-P26</f>
        <v>0</v>
      </c>
      <c r="U26" s="973">
        <f>N26-Q26</f>
        <v>0</v>
      </c>
      <c r="V26" s="1009">
        <f>36650-779.34</f>
        <v>35870.66</v>
      </c>
      <c r="W26" s="1014">
        <f>30715+8000</f>
        <v>38715</v>
      </c>
      <c r="X26" s="859">
        <f>SUM(V26:W26)</f>
        <v>74585.66</v>
      </c>
      <c r="Y26" s="667">
        <v>0</v>
      </c>
      <c r="Z26" s="874">
        <v>0</v>
      </c>
      <c r="AA26" s="859">
        <f>SUM(Y26:Z26)</f>
        <v>0</v>
      </c>
      <c r="AB26" s="670">
        <f>V26+Y26</f>
        <v>35870.66</v>
      </c>
      <c r="AC26" s="874">
        <f>W26+Z26</f>
        <v>38715</v>
      </c>
      <c r="AD26" s="672">
        <f>SUM(AB26:AC26)</f>
        <v>74585.66</v>
      </c>
      <c r="AE26" s="725"/>
      <c r="AF26" s="1064"/>
      <c r="AG26" s="1063"/>
      <c r="AH26" s="787"/>
      <c r="AI26" s="1064"/>
      <c r="AJ26" s="1063"/>
      <c r="AK26" s="787"/>
      <c r="AL26" s="725"/>
      <c r="AM26" s="725"/>
      <c r="AN26" s="725"/>
      <c r="AO26" s="725"/>
      <c r="AP26" s="725"/>
      <c r="AQ26" s="725"/>
      <c r="AR26" s="725"/>
      <c r="AS26" s="725"/>
    </row>
    <row r="27" spans="1:45" s="616" customFormat="1" ht="31.5" customHeight="1">
      <c r="A27" s="734"/>
      <c r="B27" s="647" t="s">
        <v>418</v>
      </c>
      <c r="C27" s="730"/>
      <c r="D27" s="730"/>
      <c r="E27" s="730"/>
      <c r="F27" s="730"/>
      <c r="G27" s="730"/>
      <c r="H27" s="697"/>
      <c r="I27" s="697"/>
      <c r="J27" s="649"/>
      <c r="K27" s="738"/>
      <c r="L27" s="650">
        <f>SUM(L17:L24)</f>
        <v>15434</v>
      </c>
      <c r="M27" s="651">
        <f aca="true" t="shared" si="7" ref="M27:U27">SUM(M17:M24)</f>
        <v>62950</v>
      </c>
      <c r="N27" s="652">
        <f t="shared" si="7"/>
        <v>78384</v>
      </c>
      <c r="O27" s="653">
        <f t="shared" si="7"/>
        <v>7297</v>
      </c>
      <c r="P27" s="651">
        <f t="shared" si="7"/>
        <v>23293</v>
      </c>
      <c r="Q27" s="654">
        <f t="shared" si="7"/>
        <v>30590</v>
      </c>
      <c r="R27" s="699">
        <f t="shared" si="7"/>
        <v>0</v>
      </c>
      <c r="S27" s="653">
        <f t="shared" si="7"/>
        <v>8137</v>
      </c>
      <c r="T27" s="651">
        <f t="shared" si="7"/>
        <v>39657</v>
      </c>
      <c r="U27" s="654">
        <f t="shared" si="7"/>
        <v>47794</v>
      </c>
      <c r="V27" s="650">
        <f>SUM(V18:V26)</f>
        <v>81858.66</v>
      </c>
      <c r="W27" s="651">
        <f>SUM(W18:W26)</f>
        <v>78417</v>
      </c>
      <c r="X27" s="652">
        <f>SUM(V27:W27)</f>
        <v>160275.66</v>
      </c>
      <c r="Y27" s="653">
        <f>SUM(Y17:Y24)</f>
        <v>0</v>
      </c>
      <c r="Z27" s="651">
        <f>SUM(Z17:Z24)</f>
        <v>0</v>
      </c>
      <c r="AA27" s="652">
        <f>SUM(Y27:Z27)</f>
        <v>0</v>
      </c>
      <c r="AB27" s="650">
        <f>SUM(AB18:AB26)</f>
        <v>81858.66</v>
      </c>
      <c r="AC27" s="651">
        <f>SUM(AC18:AC26)</f>
        <v>78417</v>
      </c>
      <c r="AD27" s="700">
        <f>SUM(AB27:AC27)</f>
        <v>160275.66</v>
      </c>
      <c r="AE27" s="725"/>
      <c r="AF27" s="985"/>
      <c r="AG27" s="985"/>
      <c r="AH27" s="985"/>
      <c r="AI27" s="985"/>
      <c r="AJ27" s="985"/>
      <c r="AK27" s="985"/>
      <c r="AL27" s="725"/>
      <c r="AM27" s="725"/>
      <c r="AN27" s="725"/>
      <c r="AO27" s="725"/>
      <c r="AP27" s="725"/>
      <c r="AQ27" s="725"/>
      <c r="AR27" s="725"/>
      <c r="AS27" s="725"/>
    </row>
    <row r="28" spans="1:45" s="616" customFormat="1" ht="123.75" customHeight="1">
      <c r="A28" s="2083" t="s">
        <v>608</v>
      </c>
      <c r="B28" s="835" t="s">
        <v>490</v>
      </c>
      <c r="C28" s="835"/>
      <c r="D28" s="835" t="s">
        <v>176</v>
      </c>
      <c r="E28" s="835" t="s">
        <v>176</v>
      </c>
      <c r="F28" s="835" t="s">
        <v>176</v>
      </c>
      <c r="G28" s="835"/>
      <c r="H28" s="879" t="s">
        <v>364</v>
      </c>
      <c r="I28" s="836" t="s">
        <v>411</v>
      </c>
      <c r="J28" s="838" t="s">
        <v>182</v>
      </c>
      <c r="K28" s="836"/>
      <c r="L28" s="632"/>
      <c r="M28" s="633"/>
      <c r="N28" s="634">
        <f t="shared" si="2"/>
        <v>0</v>
      </c>
      <c r="O28" s="869"/>
      <c r="P28" s="839"/>
      <c r="Q28" s="935">
        <f>O28+P28</f>
        <v>0</v>
      </c>
      <c r="R28" s="899"/>
      <c r="S28" s="869"/>
      <c r="T28" s="842"/>
      <c r="U28" s="1023"/>
      <c r="V28" s="841"/>
      <c r="W28" s="839"/>
      <c r="X28" s="871"/>
      <c r="Y28" s="869"/>
      <c r="Z28" s="839"/>
      <c r="AA28" s="871"/>
      <c r="AB28" s="841"/>
      <c r="AC28" s="839"/>
      <c r="AD28" s="1003"/>
      <c r="AE28" s="725"/>
      <c r="AF28" s="1064"/>
      <c r="AG28" s="1064"/>
      <c r="AH28" s="1064"/>
      <c r="AI28" s="1064"/>
      <c r="AJ28" s="1064"/>
      <c r="AK28" s="1064"/>
      <c r="AL28" s="725"/>
      <c r="AM28" s="725"/>
      <c r="AN28" s="725"/>
      <c r="AO28" s="725"/>
      <c r="AP28" s="725"/>
      <c r="AQ28" s="725"/>
      <c r="AR28" s="725"/>
      <c r="AS28" s="725"/>
    </row>
    <row r="29" spans="1:45" s="616" customFormat="1" ht="26.25" customHeight="1">
      <c r="A29" s="2084"/>
      <c r="B29" s="872" t="s">
        <v>15</v>
      </c>
      <c r="C29" s="873"/>
      <c r="D29" s="873"/>
      <c r="E29" s="873"/>
      <c r="F29" s="873"/>
      <c r="G29" s="873"/>
      <c r="H29" s="873"/>
      <c r="I29" s="857"/>
      <c r="J29" s="856"/>
      <c r="K29" s="857" t="s">
        <v>185</v>
      </c>
      <c r="L29" s="676">
        <v>25999</v>
      </c>
      <c r="M29" s="677">
        <v>16350</v>
      </c>
      <c r="N29" s="678">
        <f t="shared" si="2"/>
        <v>42349</v>
      </c>
      <c r="O29" s="667">
        <v>25440</v>
      </c>
      <c r="P29" s="668">
        <v>11113</v>
      </c>
      <c r="Q29" s="669">
        <f>O29+P29</f>
        <v>36553</v>
      </c>
      <c r="R29" s="858" t="s">
        <v>363</v>
      </c>
      <c r="S29" s="670">
        <f>L29-O29</f>
        <v>559</v>
      </c>
      <c r="T29" s="874">
        <f>M29-P29</f>
        <v>5237</v>
      </c>
      <c r="U29" s="973">
        <f>N29-Q29</f>
        <v>5796</v>
      </c>
      <c r="V29" s="670">
        <v>599</v>
      </c>
      <c r="W29" s="874">
        <v>5237</v>
      </c>
      <c r="X29" s="859">
        <f>SUM(V29:W29)</f>
        <v>5836</v>
      </c>
      <c r="Y29" s="667">
        <v>0</v>
      </c>
      <c r="Z29" s="874">
        <v>0</v>
      </c>
      <c r="AA29" s="859">
        <f>SUM(Y29:Z29)</f>
        <v>0</v>
      </c>
      <c r="AB29" s="670">
        <f>V29+Y29</f>
        <v>599</v>
      </c>
      <c r="AC29" s="874">
        <f>W29+Z29</f>
        <v>5237</v>
      </c>
      <c r="AD29" s="672">
        <f>SUM(AB29:AC29)</f>
        <v>5836</v>
      </c>
      <c r="AE29" s="725"/>
      <c r="AF29" s="1064"/>
      <c r="AG29" s="1063"/>
      <c r="AH29" s="787"/>
      <c r="AI29" s="1064"/>
      <c r="AJ29" s="1063"/>
      <c r="AK29" s="787"/>
      <c r="AL29" s="725"/>
      <c r="AM29" s="725"/>
      <c r="AN29" s="725"/>
      <c r="AO29" s="725"/>
      <c r="AP29" s="725"/>
      <c r="AQ29" s="725"/>
      <c r="AR29" s="725"/>
      <c r="AS29" s="725"/>
    </row>
    <row r="30" spans="1:45" s="616" customFormat="1" ht="162" customHeight="1">
      <c r="A30" s="2084"/>
      <c r="B30" s="835" t="s">
        <v>491</v>
      </c>
      <c r="C30" s="835" t="s">
        <v>176</v>
      </c>
      <c r="D30" s="835"/>
      <c r="E30" s="835"/>
      <c r="F30" s="835"/>
      <c r="G30" s="835"/>
      <c r="H30" s="879" t="s">
        <v>364</v>
      </c>
      <c r="I30" s="836" t="s">
        <v>412</v>
      </c>
      <c r="J30" s="838" t="s">
        <v>182</v>
      </c>
      <c r="K30" s="836"/>
      <c r="L30" s="632"/>
      <c r="M30" s="633"/>
      <c r="N30" s="634">
        <f t="shared" si="2"/>
        <v>0</v>
      </c>
      <c r="O30" s="869"/>
      <c r="P30" s="839"/>
      <c r="Q30" s="935">
        <f>O30+P30</f>
        <v>0</v>
      </c>
      <c r="R30" s="899"/>
      <c r="S30" s="869">
        <f>L30-O30</f>
        <v>0</v>
      </c>
      <c r="T30" s="842">
        <f>M30-P30</f>
        <v>0</v>
      </c>
      <c r="U30" s="1023">
        <f>S30+T30</f>
        <v>0</v>
      </c>
      <c r="V30" s="841"/>
      <c r="W30" s="839"/>
      <c r="X30" s="871"/>
      <c r="Y30" s="869"/>
      <c r="Z30" s="839"/>
      <c r="AA30" s="871"/>
      <c r="AB30" s="841"/>
      <c r="AC30" s="839"/>
      <c r="AD30" s="1003"/>
      <c r="AE30" s="725"/>
      <c r="AF30" s="1064"/>
      <c r="AG30" s="1064"/>
      <c r="AH30" s="1064"/>
      <c r="AI30" s="1064"/>
      <c r="AJ30" s="1064"/>
      <c r="AK30" s="1064"/>
      <c r="AL30" s="725"/>
      <c r="AM30" s="725"/>
      <c r="AN30" s="725"/>
      <c r="AO30" s="725"/>
      <c r="AP30" s="725"/>
      <c r="AQ30" s="725"/>
      <c r="AR30" s="725"/>
      <c r="AS30" s="725"/>
    </row>
    <row r="31" spans="1:45" s="616" customFormat="1" ht="26.25" customHeight="1">
      <c r="A31" s="1008"/>
      <c r="B31" s="872" t="s">
        <v>16</v>
      </c>
      <c r="C31" s="883"/>
      <c r="D31" s="883"/>
      <c r="E31" s="883"/>
      <c r="F31" s="883"/>
      <c r="G31" s="883"/>
      <c r="H31" s="873"/>
      <c r="I31" s="857"/>
      <c r="J31" s="856"/>
      <c r="K31" s="857" t="s">
        <v>185</v>
      </c>
      <c r="L31" s="676">
        <v>23738</v>
      </c>
      <c r="M31" s="677">
        <v>4094</v>
      </c>
      <c r="N31" s="678">
        <f t="shared" si="2"/>
        <v>27832</v>
      </c>
      <c r="O31" s="667">
        <v>15090</v>
      </c>
      <c r="P31" s="668">
        <v>4094</v>
      </c>
      <c r="Q31" s="669">
        <f>O31+P31</f>
        <v>19184</v>
      </c>
      <c r="R31" s="858" t="s">
        <v>363</v>
      </c>
      <c r="S31" s="670">
        <f>L31-O31</f>
        <v>8648</v>
      </c>
      <c r="T31" s="874">
        <f>M31-P31</f>
        <v>0</v>
      </c>
      <c r="U31" s="973">
        <f>N31-Q31</f>
        <v>8648</v>
      </c>
      <c r="V31" s="670">
        <v>8648</v>
      </c>
      <c r="W31" s="874">
        <v>6665</v>
      </c>
      <c r="X31" s="859">
        <f>SUM(V31:W31)</f>
        <v>15313</v>
      </c>
      <c r="Y31" s="667">
        <v>0</v>
      </c>
      <c r="Z31" s="874">
        <v>0</v>
      </c>
      <c r="AA31" s="859">
        <f>SUM(Y31:Z31)</f>
        <v>0</v>
      </c>
      <c r="AB31" s="670">
        <f>V31+Y31</f>
        <v>8648</v>
      </c>
      <c r="AC31" s="874">
        <f>W31+Z31</f>
        <v>6665</v>
      </c>
      <c r="AD31" s="672">
        <f>SUM(AB31:AC31)</f>
        <v>15313</v>
      </c>
      <c r="AE31" s="725"/>
      <c r="AF31" s="1064"/>
      <c r="AG31" s="1063"/>
      <c r="AH31" s="787"/>
      <c r="AI31" s="1064"/>
      <c r="AJ31" s="1063"/>
      <c r="AK31" s="787"/>
      <c r="AL31" s="725"/>
      <c r="AM31" s="725"/>
      <c r="AN31" s="725"/>
      <c r="AO31" s="725"/>
      <c r="AP31" s="725"/>
      <c r="AQ31" s="725"/>
      <c r="AR31" s="725"/>
      <c r="AS31" s="725"/>
    </row>
    <row r="32" spans="1:45" s="616" customFormat="1" ht="29.25" customHeight="1">
      <c r="A32" s="734"/>
      <c r="B32" s="647" t="s">
        <v>341</v>
      </c>
      <c r="C32" s="730"/>
      <c r="D32" s="730"/>
      <c r="E32" s="730"/>
      <c r="F32" s="730"/>
      <c r="G32" s="730"/>
      <c r="H32" s="697"/>
      <c r="I32" s="697"/>
      <c r="J32" s="649"/>
      <c r="K32" s="738"/>
      <c r="L32" s="650">
        <f aca="true" t="shared" si="8" ref="L32:W32">SUM(L28:L31)</f>
        <v>49737</v>
      </c>
      <c r="M32" s="651">
        <f t="shared" si="8"/>
        <v>20444</v>
      </c>
      <c r="N32" s="652">
        <f t="shared" si="8"/>
        <v>70181</v>
      </c>
      <c r="O32" s="653">
        <f t="shared" si="8"/>
        <v>40530</v>
      </c>
      <c r="P32" s="651">
        <f t="shared" si="8"/>
        <v>15207</v>
      </c>
      <c r="Q32" s="654">
        <f t="shared" si="8"/>
        <v>55737</v>
      </c>
      <c r="R32" s="699">
        <f t="shared" si="8"/>
        <v>0</v>
      </c>
      <c r="S32" s="653">
        <f t="shared" si="8"/>
        <v>9207</v>
      </c>
      <c r="T32" s="651">
        <f t="shared" si="8"/>
        <v>5237</v>
      </c>
      <c r="U32" s="654">
        <f t="shared" si="8"/>
        <v>14444</v>
      </c>
      <c r="V32" s="650">
        <f t="shared" si="8"/>
        <v>9247</v>
      </c>
      <c r="W32" s="651">
        <f t="shared" si="8"/>
        <v>11902</v>
      </c>
      <c r="X32" s="652">
        <f>SUM(V32:W32)</f>
        <v>21149</v>
      </c>
      <c r="Y32" s="653">
        <f>SUM(Y28:Y31)</f>
        <v>0</v>
      </c>
      <c r="Z32" s="651">
        <f>SUM(Z28:Z31)</f>
        <v>0</v>
      </c>
      <c r="AA32" s="652">
        <f>SUM(Y32:Z32)</f>
        <v>0</v>
      </c>
      <c r="AB32" s="650">
        <f>SUM(AB28:AB31)</f>
        <v>9247</v>
      </c>
      <c r="AC32" s="651">
        <f>SUM(AC28:AC31)</f>
        <v>11902</v>
      </c>
      <c r="AD32" s="700">
        <f>SUM(AB32:AC32)</f>
        <v>21149</v>
      </c>
      <c r="AE32" s="725"/>
      <c r="AF32" s="985"/>
      <c r="AG32" s="985"/>
      <c r="AH32" s="985"/>
      <c r="AI32" s="985"/>
      <c r="AJ32" s="985"/>
      <c r="AK32" s="985"/>
      <c r="AL32" s="725"/>
      <c r="AM32" s="725"/>
      <c r="AN32" s="725"/>
      <c r="AO32" s="725"/>
      <c r="AP32" s="725"/>
      <c r="AQ32" s="725"/>
      <c r="AR32" s="725"/>
      <c r="AS32" s="725"/>
    </row>
    <row r="33" spans="1:45" s="616" customFormat="1" ht="109.5" customHeight="1">
      <c r="A33" s="2112" t="s">
        <v>609</v>
      </c>
      <c r="B33" s="888" t="s">
        <v>76</v>
      </c>
      <c r="C33" s="888" t="s">
        <v>176</v>
      </c>
      <c r="D33" s="888" t="s">
        <v>176</v>
      </c>
      <c r="E33" s="888" t="s">
        <v>176</v>
      </c>
      <c r="F33" s="888" t="s">
        <v>176</v>
      </c>
      <c r="G33" s="888" t="s">
        <v>176</v>
      </c>
      <c r="H33" s="889" t="s">
        <v>364</v>
      </c>
      <c r="I33" s="889" t="s">
        <v>364</v>
      </c>
      <c r="J33" s="891" t="s">
        <v>179</v>
      </c>
      <c r="K33" s="890"/>
      <c r="L33" s="703"/>
      <c r="M33" s="704"/>
      <c r="N33" s="705">
        <f t="shared" si="2"/>
        <v>0</v>
      </c>
      <c r="O33" s="710"/>
      <c r="P33" s="708"/>
      <c r="Q33" s="1006">
        <f>O33+P33</f>
        <v>0</v>
      </c>
      <c r="R33" s="1068"/>
      <c r="S33" s="710">
        <f aca="true" t="shared" si="9" ref="S33:T35">L33-O33</f>
        <v>0</v>
      </c>
      <c r="T33" s="894">
        <f t="shared" si="9"/>
        <v>0</v>
      </c>
      <c r="U33" s="1069">
        <f>S33+T33</f>
        <v>0</v>
      </c>
      <c r="V33" s="707"/>
      <c r="W33" s="708"/>
      <c r="X33" s="709"/>
      <c r="Y33" s="710"/>
      <c r="Z33" s="708"/>
      <c r="AA33" s="709"/>
      <c r="AB33" s="707"/>
      <c r="AC33" s="708"/>
      <c r="AD33" s="1070"/>
      <c r="AE33" s="725"/>
      <c r="AF33" s="1064"/>
      <c r="AG33" s="1064"/>
      <c r="AH33" s="1064"/>
      <c r="AI33" s="1064"/>
      <c r="AJ33" s="1064"/>
      <c r="AK33" s="1064"/>
      <c r="AL33" s="725"/>
      <c r="AM33" s="725"/>
      <c r="AN33" s="725"/>
      <c r="AO33" s="725"/>
      <c r="AP33" s="725"/>
      <c r="AQ33" s="725"/>
      <c r="AR33" s="725"/>
      <c r="AS33" s="725"/>
    </row>
    <row r="34" spans="1:45" s="616" customFormat="1" ht="30" customHeight="1">
      <c r="A34" s="2084"/>
      <c r="B34" s="872" t="s">
        <v>102</v>
      </c>
      <c r="C34" s="873"/>
      <c r="D34" s="873"/>
      <c r="E34" s="873"/>
      <c r="F34" s="873"/>
      <c r="G34" s="873"/>
      <c r="H34" s="873"/>
      <c r="I34" s="857"/>
      <c r="J34" s="856"/>
      <c r="K34" s="857" t="s">
        <v>185</v>
      </c>
      <c r="L34" s="676">
        <v>0</v>
      </c>
      <c r="M34" s="677">
        <v>0</v>
      </c>
      <c r="N34" s="678">
        <f t="shared" si="2"/>
        <v>0</v>
      </c>
      <c r="O34" s="667">
        <v>0</v>
      </c>
      <c r="P34" s="668">
        <v>0</v>
      </c>
      <c r="Q34" s="669">
        <f>O34+P34</f>
        <v>0</v>
      </c>
      <c r="R34" s="858" t="s">
        <v>363</v>
      </c>
      <c r="S34" s="667">
        <f t="shared" si="9"/>
        <v>0</v>
      </c>
      <c r="T34" s="874">
        <f t="shared" si="9"/>
        <v>0</v>
      </c>
      <c r="U34" s="974">
        <f>S34+T34</f>
        <v>0</v>
      </c>
      <c r="V34" s="670">
        <v>22500</v>
      </c>
      <c r="W34" s="874">
        <v>14741</v>
      </c>
      <c r="X34" s="859">
        <f>SUM(V34:W34)</f>
        <v>37241</v>
      </c>
      <c r="Y34" s="667">
        <v>22500</v>
      </c>
      <c r="Z34" s="874">
        <v>0</v>
      </c>
      <c r="AA34" s="859">
        <f>SUM(Y34:Z34)</f>
        <v>22500</v>
      </c>
      <c r="AB34" s="670">
        <f>V34+Y34</f>
        <v>45000</v>
      </c>
      <c r="AC34" s="874">
        <f>W34+Z34</f>
        <v>14741</v>
      </c>
      <c r="AD34" s="672">
        <f>SUM(AB34:AC34)</f>
        <v>59741</v>
      </c>
      <c r="AE34" s="725"/>
      <c r="AF34" s="1064"/>
      <c r="AG34" s="1063"/>
      <c r="AH34" s="787"/>
      <c r="AI34" s="1064"/>
      <c r="AJ34" s="1063"/>
      <c r="AK34" s="787"/>
      <c r="AL34" s="725"/>
      <c r="AM34" s="725"/>
      <c r="AN34" s="725"/>
      <c r="AO34" s="725"/>
      <c r="AP34" s="725"/>
      <c r="AQ34" s="725"/>
      <c r="AR34" s="725"/>
      <c r="AS34" s="725"/>
    </row>
    <row r="35" spans="1:45" s="616" customFormat="1" ht="97.5" customHeight="1">
      <c r="A35" s="2084"/>
      <c r="B35" s="835" t="s">
        <v>492</v>
      </c>
      <c r="C35" s="888" t="s">
        <v>176</v>
      </c>
      <c r="D35" s="888" t="s">
        <v>176</v>
      </c>
      <c r="E35" s="835" t="s">
        <v>176</v>
      </c>
      <c r="F35" s="835" t="s">
        <v>176</v>
      </c>
      <c r="G35" s="835"/>
      <c r="H35" s="879" t="s">
        <v>364</v>
      </c>
      <c r="I35" s="836" t="s">
        <v>366</v>
      </c>
      <c r="J35" s="838" t="s">
        <v>153</v>
      </c>
      <c r="K35" s="836"/>
      <c r="L35" s="632"/>
      <c r="M35" s="633"/>
      <c r="N35" s="634">
        <f t="shared" si="2"/>
        <v>0</v>
      </c>
      <c r="O35" s="869"/>
      <c r="P35" s="839"/>
      <c r="Q35" s="935">
        <f>O35+P35</f>
        <v>0</v>
      </c>
      <c r="R35" s="899"/>
      <c r="S35" s="869">
        <f t="shared" si="9"/>
        <v>0</v>
      </c>
      <c r="T35" s="842">
        <f t="shared" si="9"/>
        <v>0</v>
      </c>
      <c r="U35" s="1023">
        <f>S35+T35</f>
        <v>0</v>
      </c>
      <c r="V35" s="717"/>
      <c r="W35" s="715"/>
      <c r="X35" s="716"/>
      <c r="Y35" s="714"/>
      <c r="Z35" s="715"/>
      <c r="AA35" s="716"/>
      <c r="AB35" s="717"/>
      <c r="AC35" s="715"/>
      <c r="AD35" s="1066"/>
      <c r="AE35" s="725"/>
      <c r="AF35" s="1064"/>
      <c r="AG35" s="1064"/>
      <c r="AH35" s="1064"/>
      <c r="AI35" s="1064"/>
      <c r="AJ35" s="1064"/>
      <c r="AK35" s="1064"/>
      <c r="AL35" s="725"/>
      <c r="AM35" s="725"/>
      <c r="AN35" s="725"/>
      <c r="AO35" s="725"/>
      <c r="AP35" s="725"/>
      <c r="AQ35" s="725"/>
      <c r="AR35" s="725"/>
      <c r="AS35" s="725"/>
    </row>
    <row r="36" spans="1:45" s="616" customFormat="1" ht="36.75" customHeight="1">
      <c r="A36" s="2084"/>
      <c r="B36" s="872" t="s">
        <v>32</v>
      </c>
      <c r="C36" s="873"/>
      <c r="D36" s="873"/>
      <c r="E36" s="873"/>
      <c r="F36" s="873"/>
      <c r="G36" s="873"/>
      <c r="H36" s="873"/>
      <c r="I36" s="857"/>
      <c r="J36" s="856"/>
      <c r="K36" s="857" t="s">
        <v>185</v>
      </c>
      <c r="L36" s="676">
        <v>5000</v>
      </c>
      <c r="M36" s="677">
        <v>0</v>
      </c>
      <c r="N36" s="678">
        <f t="shared" si="2"/>
        <v>5000</v>
      </c>
      <c r="O36" s="667">
        <v>2155</v>
      </c>
      <c r="P36" s="668">
        <v>0</v>
      </c>
      <c r="Q36" s="669">
        <f>O36+P36</f>
        <v>2155</v>
      </c>
      <c r="R36" s="858" t="s">
        <v>363</v>
      </c>
      <c r="S36" s="667">
        <f>L36-O36</f>
        <v>2845</v>
      </c>
      <c r="T36" s="874">
        <f>M36-P36</f>
        <v>0</v>
      </c>
      <c r="U36" s="974">
        <f>S36+T36</f>
        <v>2845</v>
      </c>
      <c r="V36" s="670">
        <v>7845</v>
      </c>
      <c r="W36" s="874">
        <v>0</v>
      </c>
      <c r="X36" s="859">
        <f>SUM(V36:W36)</f>
        <v>7845</v>
      </c>
      <c r="Y36" s="667">
        <v>0</v>
      </c>
      <c r="Z36" s="874">
        <v>0</v>
      </c>
      <c r="AA36" s="859">
        <f>SUM(Y36:Z36)</f>
        <v>0</v>
      </c>
      <c r="AB36" s="670">
        <f>V36+Y36</f>
        <v>7845</v>
      </c>
      <c r="AC36" s="874">
        <v>0</v>
      </c>
      <c r="AD36" s="672">
        <f>SUM(AB36:AC36)</f>
        <v>7845</v>
      </c>
      <c r="AE36" s="725"/>
      <c r="AF36" s="1064"/>
      <c r="AG36" s="1063"/>
      <c r="AH36" s="787"/>
      <c r="AI36" s="1064"/>
      <c r="AJ36" s="1063"/>
      <c r="AK36" s="787"/>
      <c r="AL36" s="725"/>
      <c r="AM36" s="725"/>
      <c r="AN36" s="725"/>
      <c r="AO36" s="725"/>
      <c r="AP36" s="725"/>
      <c r="AQ36" s="725"/>
      <c r="AR36" s="725"/>
      <c r="AS36" s="725"/>
    </row>
    <row r="37" spans="1:45" s="616" customFormat="1" ht="102" customHeight="1">
      <c r="A37" s="2084"/>
      <c r="B37" s="835" t="s">
        <v>79</v>
      </c>
      <c r="C37" s="888" t="s">
        <v>176</v>
      </c>
      <c r="D37" s="888" t="s">
        <v>176</v>
      </c>
      <c r="E37" s="888" t="s">
        <v>176</v>
      </c>
      <c r="F37" s="888" t="s">
        <v>176</v>
      </c>
      <c r="G37" s="888" t="s">
        <v>176</v>
      </c>
      <c r="H37" s="879" t="s">
        <v>364</v>
      </c>
      <c r="I37" s="836" t="s">
        <v>366</v>
      </c>
      <c r="J37" s="838" t="s">
        <v>153</v>
      </c>
      <c r="K37" s="836"/>
      <c r="L37" s="632"/>
      <c r="M37" s="633"/>
      <c r="N37" s="634"/>
      <c r="O37" s="869"/>
      <c r="P37" s="839"/>
      <c r="Q37" s="935"/>
      <c r="R37" s="899"/>
      <c r="S37" s="869"/>
      <c r="T37" s="842"/>
      <c r="U37" s="1023"/>
      <c r="V37" s="717"/>
      <c r="W37" s="715"/>
      <c r="X37" s="716"/>
      <c r="Y37" s="714"/>
      <c r="Z37" s="715"/>
      <c r="AA37" s="716"/>
      <c r="AB37" s="717"/>
      <c r="AC37" s="715"/>
      <c r="AD37" s="1066"/>
      <c r="AE37" s="725"/>
      <c r="AF37" s="1064"/>
      <c r="AG37" s="1064"/>
      <c r="AH37" s="1064"/>
      <c r="AI37" s="1064"/>
      <c r="AJ37" s="1064"/>
      <c r="AK37" s="1064"/>
      <c r="AL37" s="725"/>
      <c r="AM37" s="725"/>
      <c r="AN37" s="725"/>
      <c r="AO37" s="725"/>
      <c r="AP37" s="725"/>
      <c r="AQ37" s="725"/>
      <c r="AR37" s="725"/>
      <c r="AS37" s="725"/>
    </row>
    <row r="38" spans="1:45" s="616" customFormat="1" ht="36.75" customHeight="1">
      <c r="A38" s="2144"/>
      <c r="B38" s="872" t="s">
        <v>80</v>
      </c>
      <c r="C38" s="873"/>
      <c r="D38" s="873"/>
      <c r="E38" s="873"/>
      <c r="F38" s="873"/>
      <c r="G38" s="873"/>
      <c r="H38" s="873"/>
      <c r="I38" s="857"/>
      <c r="J38" s="856"/>
      <c r="K38" s="857" t="s">
        <v>185</v>
      </c>
      <c r="L38" s="676">
        <v>0</v>
      </c>
      <c r="M38" s="677">
        <v>0</v>
      </c>
      <c r="N38" s="678">
        <f>SUM(L38:M38)</f>
        <v>0</v>
      </c>
      <c r="O38" s="670">
        <v>0</v>
      </c>
      <c r="P38" s="1071">
        <v>0</v>
      </c>
      <c r="Q38" s="671">
        <f>SUM(O38:P38)</f>
        <v>0</v>
      </c>
      <c r="R38" s="858" t="s">
        <v>363</v>
      </c>
      <c r="S38" s="667">
        <f>L38-O38</f>
        <v>0</v>
      </c>
      <c r="T38" s="874">
        <f>M38-P38</f>
        <v>0</v>
      </c>
      <c r="U38" s="974">
        <f>S38+T38</f>
        <v>0</v>
      </c>
      <c r="V38" s="670">
        <v>11150</v>
      </c>
      <c r="W38" s="874">
        <v>0</v>
      </c>
      <c r="X38" s="859">
        <f>SUM(V38:W38)</f>
        <v>11150</v>
      </c>
      <c r="Y38" s="670">
        <v>11150</v>
      </c>
      <c r="Z38" s="874">
        <v>0</v>
      </c>
      <c r="AA38" s="859">
        <f>SUM(Y38:Z38)</f>
        <v>11150</v>
      </c>
      <c r="AB38" s="670">
        <f>V38+Y38</f>
        <v>22300</v>
      </c>
      <c r="AC38" s="874">
        <f>W38+Z38</f>
        <v>0</v>
      </c>
      <c r="AD38" s="672">
        <f>SUM(AB38:AC38)</f>
        <v>22300</v>
      </c>
      <c r="AE38" s="725"/>
      <c r="AF38" s="1064"/>
      <c r="AG38" s="1063"/>
      <c r="AH38" s="787"/>
      <c r="AI38" s="1064"/>
      <c r="AJ38" s="1063"/>
      <c r="AK38" s="787"/>
      <c r="AL38" s="725"/>
      <c r="AM38" s="725"/>
      <c r="AN38" s="725"/>
      <c r="AO38" s="725"/>
      <c r="AP38" s="725"/>
      <c r="AQ38" s="725"/>
      <c r="AR38" s="725"/>
      <c r="AS38" s="725"/>
    </row>
    <row r="39" spans="1:45" s="616" customFormat="1" ht="31.5" customHeight="1">
      <c r="A39" s="737"/>
      <c r="B39" s="647" t="s">
        <v>419</v>
      </c>
      <c r="C39" s="730"/>
      <c r="D39" s="730"/>
      <c r="E39" s="730"/>
      <c r="F39" s="730"/>
      <c r="G39" s="730"/>
      <c r="H39" s="697"/>
      <c r="I39" s="697"/>
      <c r="J39" s="649"/>
      <c r="K39" s="698"/>
      <c r="L39" s="650">
        <f>SUM(L33:L36)</f>
        <v>5000</v>
      </c>
      <c r="M39" s="651">
        <f aca="true" t="shared" si="10" ref="M39:U39">SUM(M33:M36)</f>
        <v>0</v>
      </c>
      <c r="N39" s="652">
        <f t="shared" si="10"/>
        <v>5000</v>
      </c>
      <c r="O39" s="650">
        <f t="shared" si="10"/>
        <v>2155</v>
      </c>
      <c r="P39" s="651">
        <f t="shared" si="10"/>
        <v>0</v>
      </c>
      <c r="Q39" s="652">
        <f t="shared" si="10"/>
        <v>2155</v>
      </c>
      <c r="R39" s="699"/>
      <c r="S39" s="650">
        <f t="shared" si="10"/>
        <v>2845</v>
      </c>
      <c r="T39" s="651">
        <f t="shared" si="10"/>
        <v>0</v>
      </c>
      <c r="U39" s="652">
        <f t="shared" si="10"/>
        <v>2845</v>
      </c>
      <c r="V39" s="650">
        <f>SUM(V33:V38)</f>
        <v>41495</v>
      </c>
      <c r="W39" s="651">
        <f>SUM(W33:W38)</f>
        <v>14741</v>
      </c>
      <c r="X39" s="652">
        <f>SUM(V39:W39)</f>
        <v>56236</v>
      </c>
      <c r="Y39" s="650">
        <f>SUM(Y33:Y38)</f>
        <v>33650</v>
      </c>
      <c r="Z39" s="651">
        <f>SUM(Z33:Z38)</f>
        <v>0</v>
      </c>
      <c r="AA39" s="652">
        <f>SUM(Y39:Z39)</f>
        <v>33650</v>
      </c>
      <c r="AB39" s="650">
        <f>SUM(AB33:AB38)</f>
        <v>75145</v>
      </c>
      <c r="AC39" s="651">
        <f>SUM(AC33:AC38)</f>
        <v>14741</v>
      </c>
      <c r="AD39" s="700">
        <f>SUM(AB39:AC39)</f>
        <v>89886</v>
      </c>
      <c r="AE39" s="725"/>
      <c r="AF39" s="985"/>
      <c r="AG39" s="985"/>
      <c r="AH39" s="985"/>
      <c r="AI39" s="985"/>
      <c r="AJ39" s="985"/>
      <c r="AK39" s="985"/>
      <c r="AL39" s="725"/>
      <c r="AM39" s="725"/>
      <c r="AN39" s="725"/>
      <c r="AO39" s="725"/>
      <c r="AP39" s="725"/>
      <c r="AQ39" s="725"/>
      <c r="AR39" s="725"/>
      <c r="AS39" s="725"/>
    </row>
    <row r="40" spans="1:45" s="751" customFormat="1" ht="30.75" customHeight="1">
      <c r="A40" s="737"/>
      <c r="B40" s="648" t="s">
        <v>163</v>
      </c>
      <c r="C40" s="730"/>
      <c r="D40" s="730"/>
      <c r="E40" s="742"/>
      <c r="F40" s="730"/>
      <c r="G40" s="730"/>
      <c r="H40" s="697"/>
      <c r="I40" s="697"/>
      <c r="J40" s="649"/>
      <c r="K40" s="1179"/>
      <c r="L40" s="743">
        <f>SUM(L41+L42+L48+L49+L50)</f>
        <v>30884</v>
      </c>
      <c r="M40" s="744">
        <f>SUM(M41+M42+M48+M49+M50)</f>
        <v>41625</v>
      </c>
      <c r="N40" s="745">
        <f>SUM(L40:M40)</f>
        <v>72509</v>
      </c>
      <c r="O40" s="743">
        <f>SUM(O41+O42+O48+O49+O50)</f>
        <v>16425</v>
      </c>
      <c r="P40" s="744">
        <f>SUM(P41+P42+P48+P49+P50)</f>
        <v>13127</v>
      </c>
      <c r="Q40" s="745">
        <f>SUM(O40:P40)</f>
        <v>29552</v>
      </c>
      <c r="R40" s="743"/>
      <c r="S40" s="743">
        <f>SUM(S41+S42+S48+S49+S50)</f>
        <v>14459</v>
      </c>
      <c r="T40" s="744">
        <f>SUM(T41+T42+T48+T49+T50)</f>
        <v>28498</v>
      </c>
      <c r="U40" s="745">
        <f>SUM(S40:T40)</f>
        <v>42957</v>
      </c>
      <c r="V40" s="743">
        <f>SUM(V41+V42+V48+V49+V50)</f>
        <v>30252</v>
      </c>
      <c r="W40" s="744">
        <f>SUM(W41+W42+W48+W49+W50)</f>
        <v>26906</v>
      </c>
      <c r="X40" s="745">
        <f>SUM(V40:W40)</f>
        <v>57158</v>
      </c>
      <c r="Y40" s="743">
        <f>SUM(Y41+Y42+Y48+Y49+Y50)</f>
        <v>7110</v>
      </c>
      <c r="Z40" s="744">
        <f>SUM(Z41+Z42+Z48+Z49+Z50)</f>
        <v>10356</v>
      </c>
      <c r="AA40" s="745">
        <f>SUM(Y40:Z40)</f>
        <v>17466</v>
      </c>
      <c r="AB40" s="743">
        <f>SUM(AB41+AB42+AB48+AB49+AB50)</f>
        <v>37362</v>
      </c>
      <c r="AC40" s="744">
        <f>SUM(AC41+AC42+AC48+AC49+AC50)</f>
        <v>37262</v>
      </c>
      <c r="AD40" s="749">
        <f>SUM(AB40:AC40)</f>
        <v>74624</v>
      </c>
      <c r="AE40" s="750"/>
      <c r="AF40" s="1072"/>
      <c r="AG40" s="1072"/>
      <c r="AH40" s="1067"/>
      <c r="AI40" s="1072"/>
      <c r="AJ40" s="1072"/>
      <c r="AK40" s="1067"/>
      <c r="AL40" s="750"/>
      <c r="AM40" s="750"/>
      <c r="AN40" s="750"/>
      <c r="AO40" s="750"/>
      <c r="AP40" s="750"/>
      <c r="AQ40" s="750"/>
      <c r="AR40" s="750"/>
      <c r="AS40" s="750"/>
    </row>
    <row r="41" spans="1:37" s="953" customFormat="1" ht="73.5" customHeight="1">
      <c r="A41" s="948"/>
      <c r="B41" s="1800" t="s">
        <v>143</v>
      </c>
      <c r="C41" s="804"/>
      <c r="D41" s="804"/>
      <c r="E41" s="949"/>
      <c r="F41" s="804"/>
      <c r="G41" s="804"/>
      <c r="H41" s="1799"/>
      <c r="I41" s="950"/>
      <c r="J41" s="1800"/>
      <c r="K41" s="884" t="s">
        <v>154</v>
      </c>
      <c r="L41" s="689">
        <v>1000</v>
      </c>
      <c r="M41" s="690">
        <v>1300</v>
      </c>
      <c r="N41" s="691">
        <f>SUM(L41:M41)</f>
        <v>2300</v>
      </c>
      <c r="O41" s="689">
        <v>0</v>
      </c>
      <c r="P41" s="690">
        <v>0</v>
      </c>
      <c r="Q41" s="691">
        <f>SUM(O41:P41)</f>
        <v>0</v>
      </c>
      <c r="R41" s="951" t="s">
        <v>122</v>
      </c>
      <c r="S41" s="695">
        <f aca="true" t="shared" si="11" ref="S41:T43">L41-O41</f>
        <v>1000</v>
      </c>
      <c r="T41" s="693">
        <f t="shared" si="11"/>
        <v>1300</v>
      </c>
      <c r="U41" s="1057">
        <f>SUM(S41:T41)</f>
        <v>2300</v>
      </c>
      <c r="V41" s="695">
        <f>500</f>
        <v>500</v>
      </c>
      <c r="W41" s="885">
        <v>0</v>
      </c>
      <c r="X41" s="952">
        <f>SUM(V41:W41)</f>
        <v>500</v>
      </c>
      <c r="Y41" s="695">
        <v>0</v>
      </c>
      <c r="Z41" s="885">
        <f>15250-12196</f>
        <v>3054</v>
      </c>
      <c r="AA41" s="952">
        <f>SUM(Y41:Z41)</f>
        <v>3054</v>
      </c>
      <c r="AB41" s="695">
        <f>V41+Y41</f>
        <v>500</v>
      </c>
      <c r="AC41" s="885">
        <f>W41+Z41</f>
        <v>3054</v>
      </c>
      <c r="AD41" s="727">
        <f>SUM(AB41:AC41)</f>
        <v>3554</v>
      </c>
      <c r="AE41" s="769"/>
      <c r="AF41" s="1064"/>
      <c r="AG41" s="1063"/>
      <c r="AH41" s="787"/>
      <c r="AI41" s="1064"/>
      <c r="AJ41" s="1063"/>
      <c r="AK41" s="787"/>
    </row>
    <row r="42" spans="1:45" s="825" customFormat="1" ht="34.5" customHeight="1">
      <c r="A42" s="954"/>
      <c r="B42" s="835" t="s">
        <v>508</v>
      </c>
      <c r="C42" s="868"/>
      <c r="D42" s="868"/>
      <c r="E42" s="964"/>
      <c r="F42" s="868"/>
      <c r="G42" s="868"/>
      <c r="H42" s="836"/>
      <c r="I42" s="836"/>
      <c r="J42" s="838"/>
      <c r="K42" s="835"/>
      <c r="L42" s="632">
        <v>24384</v>
      </c>
      <c r="M42" s="633">
        <v>38200</v>
      </c>
      <c r="N42" s="634">
        <f>L42+M42</f>
        <v>62584</v>
      </c>
      <c r="O42" s="752">
        <v>14659</v>
      </c>
      <c r="P42" s="633">
        <v>12838</v>
      </c>
      <c r="Q42" s="753">
        <f>SUM(O42:P42)</f>
        <v>27497</v>
      </c>
      <c r="R42" s="899" t="s">
        <v>357</v>
      </c>
      <c r="S42" s="695">
        <f t="shared" si="11"/>
        <v>9725</v>
      </c>
      <c r="T42" s="693">
        <f t="shared" si="11"/>
        <v>25362</v>
      </c>
      <c r="U42" s="1057">
        <f>SUM(S42:T42)</f>
        <v>35087</v>
      </c>
      <c r="V42" s="841">
        <f>V44+V45</f>
        <v>27252</v>
      </c>
      <c r="W42" s="842">
        <f>W46+W47</f>
        <v>25906</v>
      </c>
      <c r="X42" s="844">
        <f aca="true" t="shared" si="12" ref="X42:X53">SUM(V42:W42)</f>
        <v>53158</v>
      </c>
      <c r="Y42" s="869">
        <f>Y44+Y45</f>
        <v>6813</v>
      </c>
      <c r="Z42" s="842">
        <f>Z46+Z47</f>
        <v>7302</v>
      </c>
      <c r="AA42" s="844">
        <f>SUM(Y42:Z42)</f>
        <v>14115</v>
      </c>
      <c r="AB42" s="841">
        <f>V42+Y42</f>
        <v>34065</v>
      </c>
      <c r="AC42" s="842">
        <f>W42+Z42</f>
        <v>33208</v>
      </c>
      <c r="AD42" s="846">
        <f>SUM(AB42:AC42)</f>
        <v>67273</v>
      </c>
      <c r="AE42" s="769"/>
      <c r="AF42" s="1064"/>
      <c r="AG42" s="1063"/>
      <c r="AH42" s="787"/>
      <c r="AI42" s="1064"/>
      <c r="AJ42" s="1063"/>
      <c r="AK42" s="787"/>
      <c r="AL42" s="769"/>
      <c r="AM42" s="769"/>
      <c r="AN42" s="769"/>
      <c r="AO42" s="769"/>
      <c r="AP42" s="769"/>
      <c r="AQ42" s="769"/>
      <c r="AR42" s="769"/>
      <c r="AS42" s="769"/>
    </row>
    <row r="43" spans="1:45" s="616" customFormat="1" ht="59.25" customHeight="1">
      <c r="A43" s="934"/>
      <c r="B43" s="711" t="s">
        <v>68</v>
      </c>
      <c r="C43" s="956"/>
      <c r="D43" s="1028" t="s">
        <v>176</v>
      </c>
      <c r="E43" s="1028" t="s">
        <v>176</v>
      </c>
      <c r="F43" s="1028" t="s">
        <v>176</v>
      </c>
      <c r="G43" s="1028"/>
      <c r="H43" s="849"/>
      <c r="I43" s="849"/>
      <c r="J43" s="851" t="s">
        <v>183</v>
      </c>
      <c r="K43" s="711" t="s">
        <v>165</v>
      </c>
      <c r="L43" s="636"/>
      <c r="M43" s="637">
        <v>0</v>
      </c>
      <c r="N43" s="638">
        <f>SUM(L43:M43)</f>
        <v>0</v>
      </c>
      <c r="O43" s="957"/>
      <c r="P43" s="958">
        <v>0</v>
      </c>
      <c r="Q43" s="1030">
        <v>0</v>
      </c>
      <c r="R43" s="905"/>
      <c r="S43" s="906">
        <f t="shared" si="11"/>
        <v>0</v>
      </c>
      <c r="T43" s="852">
        <f t="shared" si="11"/>
        <v>0</v>
      </c>
      <c r="U43" s="853">
        <f>S43+T43</f>
        <v>0</v>
      </c>
      <c r="V43" s="684"/>
      <c r="W43" s="852"/>
      <c r="X43" s="907"/>
      <c r="Y43" s="906"/>
      <c r="Z43" s="852">
        <v>0</v>
      </c>
      <c r="AA43" s="907">
        <f aca="true" t="shared" si="13" ref="AA43:AA53">SUM(Y43:Z43)</f>
        <v>0</v>
      </c>
      <c r="AB43" s="684"/>
      <c r="AC43" s="852">
        <v>0</v>
      </c>
      <c r="AD43" s="686">
        <f aca="true" t="shared" si="14" ref="AD43:AD53">SUM(AB43:AC43)</f>
        <v>0</v>
      </c>
      <c r="AE43" s="725"/>
      <c r="AF43" s="1064"/>
      <c r="AG43" s="1063"/>
      <c r="AH43" s="787"/>
      <c r="AI43" s="1064"/>
      <c r="AJ43" s="1063"/>
      <c r="AK43" s="787"/>
      <c r="AL43" s="725"/>
      <c r="AM43" s="725"/>
      <c r="AN43" s="725"/>
      <c r="AO43" s="725"/>
      <c r="AP43" s="725"/>
      <c r="AQ43" s="725"/>
      <c r="AR43" s="725"/>
      <c r="AS43" s="725"/>
    </row>
    <row r="44" spans="1:45" s="616" customFormat="1" ht="36" customHeight="1">
      <c r="A44" s="934"/>
      <c r="B44" s="711"/>
      <c r="C44" s="956"/>
      <c r="D44" s="1028"/>
      <c r="E44" s="1028"/>
      <c r="F44" s="1028"/>
      <c r="G44" s="1028"/>
      <c r="H44" s="849"/>
      <c r="I44" s="849"/>
      <c r="J44" s="851" t="s">
        <v>63</v>
      </c>
      <c r="K44" s="711"/>
      <c r="L44" s="636"/>
      <c r="M44" s="637"/>
      <c r="N44" s="638">
        <f>SUM(L44:M44)</f>
        <v>0</v>
      </c>
      <c r="O44" s="957"/>
      <c r="P44" s="958"/>
      <c r="Q44" s="959">
        <f>SUM(O44:P44)</f>
        <v>0</v>
      </c>
      <c r="R44" s="905"/>
      <c r="S44" s="906"/>
      <c r="T44" s="852"/>
      <c r="U44" s="853"/>
      <c r="V44" s="684">
        <f>1254*12</f>
        <v>15048</v>
      </c>
      <c r="W44" s="852"/>
      <c r="X44" s="907">
        <f t="shared" si="12"/>
        <v>15048</v>
      </c>
      <c r="Y44" s="906">
        <f>1254*3</f>
        <v>3762</v>
      </c>
      <c r="Z44" s="852"/>
      <c r="AA44" s="907">
        <f t="shared" si="13"/>
        <v>3762</v>
      </c>
      <c r="AB44" s="684">
        <f>V44+Y44</f>
        <v>18810</v>
      </c>
      <c r="AC44" s="852"/>
      <c r="AD44" s="686">
        <f t="shared" si="14"/>
        <v>18810</v>
      </c>
      <c r="AE44" s="725"/>
      <c r="AF44" s="1064"/>
      <c r="AG44" s="1063"/>
      <c r="AH44" s="787"/>
      <c r="AI44" s="1064"/>
      <c r="AJ44" s="1063"/>
      <c r="AK44" s="787"/>
      <c r="AL44" s="725"/>
      <c r="AM44" s="725"/>
      <c r="AN44" s="725"/>
      <c r="AO44" s="725"/>
      <c r="AP44" s="725"/>
      <c r="AQ44" s="725"/>
      <c r="AR44" s="725"/>
      <c r="AS44" s="725"/>
    </row>
    <row r="45" spans="1:45" s="616" customFormat="1" ht="24.75" customHeight="1">
      <c r="A45" s="934"/>
      <c r="B45" s="711"/>
      <c r="C45" s="956"/>
      <c r="D45" s="1028"/>
      <c r="E45" s="1028"/>
      <c r="F45" s="1028"/>
      <c r="G45" s="1028"/>
      <c r="H45" s="849"/>
      <c r="I45" s="849" t="s">
        <v>364</v>
      </c>
      <c r="J45" s="851" t="s">
        <v>65</v>
      </c>
      <c r="K45" s="711"/>
      <c r="L45" s="636"/>
      <c r="M45" s="637"/>
      <c r="N45" s="638">
        <f>SUM(L45:M45)</f>
        <v>0</v>
      </c>
      <c r="O45" s="957"/>
      <c r="P45" s="958"/>
      <c r="Q45" s="959">
        <f>SUM(O45:P45)</f>
        <v>0</v>
      </c>
      <c r="R45" s="905"/>
      <c r="S45" s="906"/>
      <c r="T45" s="852"/>
      <c r="U45" s="853"/>
      <c r="V45" s="684">
        <f>1017*12</f>
        <v>12204</v>
      </c>
      <c r="W45" s="852"/>
      <c r="X45" s="907">
        <f t="shared" si="12"/>
        <v>12204</v>
      </c>
      <c r="Y45" s="906">
        <f>1017*3</f>
        <v>3051</v>
      </c>
      <c r="Z45" s="852"/>
      <c r="AA45" s="907">
        <f t="shared" si="13"/>
        <v>3051</v>
      </c>
      <c r="AB45" s="684">
        <f>V45+Y45</f>
        <v>15255</v>
      </c>
      <c r="AC45" s="852"/>
      <c r="AD45" s="686">
        <f t="shared" si="14"/>
        <v>15255</v>
      </c>
      <c r="AE45" s="725"/>
      <c r="AF45" s="1064"/>
      <c r="AG45" s="1063"/>
      <c r="AH45" s="787"/>
      <c r="AI45" s="1064"/>
      <c r="AJ45" s="1063"/>
      <c r="AK45" s="787"/>
      <c r="AL45" s="725"/>
      <c r="AM45" s="725"/>
      <c r="AN45" s="725"/>
      <c r="AO45" s="725"/>
      <c r="AP45" s="725"/>
      <c r="AQ45" s="725"/>
      <c r="AR45" s="725"/>
      <c r="AS45" s="725"/>
    </row>
    <row r="46" spans="1:45" s="616" customFormat="1" ht="39.75" customHeight="1">
      <c r="A46" s="934"/>
      <c r="B46" s="711" t="s">
        <v>595</v>
      </c>
      <c r="C46" s="1028" t="s">
        <v>176</v>
      </c>
      <c r="D46" s="1028" t="s">
        <v>176</v>
      </c>
      <c r="E46" s="1028" t="s">
        <v>176</v>
      </c>
      <c r="F46" s="1028" t="s">
        <v>176</v>
      </c>
      <c r="G46" s="1028" t="s">
        <v>176</v>
      </c>
      <c r="H46" s="711"/>
      <c r="I46" s="849"/>
      <c r="J46" s="851" t="s">
        <v>183</v>
      </c>
      <c r="K46" s="711" t="s">
        <v>166</v>
      </c>
      <c r="L46" s="636">
        <v>0</v>
      </c>
      <c r="M46" s="637">
        <v>0</v>
      </c>
      <c r="N46" s="638">
        <f>SUM(L46:M46)</f>
        <v>0</v>
      </c>
      <c r="O46" s="957">
        <v>0</v>
      </c>
      <c r="P46" s="958">
        <v>0</v>
      </c>
      <c r="Q46" s="959">
        <f>O46+P46</f>
        <v>0</v>
      </c>
      <c r="R46" s="905"/>
      <c r="S46" s="906">
        <f>L46-O46</f>
        <v>0</v>
      </c>
      <c r="T46" s="852">
        <f>M46-P46</f>
        <v>0</v>
      </c>
      <c r="U46" s="853">
        <f>S46+T46</f>
        <v>0</v>
      </c>
      <c r="V46" s="684">
        <v>0</v>
      </c>
      <c r="W46" s="852">
        <f>25258-5000</f>
        <v>20258</v>
      </c>
      <c r="X46" s="907">
        <f t="shared" si="12"/>
        <v>20258</v>
      </c>
      <c r="Y46" s="906">
        <v>0</v>
      </c>
      <c r="Z46" s="852">
        <f>8419-3000</f>
        <v>5419</v>
      </c>
      <c r="AA46" s="907">
        <f t="shared" si="13"/>
        <v>5419</v>
      </c>
      <c r="AB46" s="684">
        <v>0</v>
      </c>
      <c r="AC46" s="852">
        <f>W46+Z46</f>
        <v>25677</v>
      </c>
      <c r="AD46" s="686">
        <f t="shared" si="14"/>
        <v>25677</v>
      </c>
      <c r="AE46" s="725"/>
      <c r="AF46" s="1064"/>
      <c r="AG46" s="1063"/>
      <c r="AH46" s="787"/>
      <c r="AI46" s="1064"/>
      <c r="AJ46" s="1063"/>
      <c r="AK46" s="787"/>
      <c r="AL46" s="725"/>
      <c r="AM46" s="725"/>
      <c r="AN46" s="725"/>
      <c r="AO46" s="725"/>
      <c r="AP46" s="725"/>
      <c r="AQ46" s="725"/>
      <c r="AR46" s="725"/>
      <c r="AS46" s="725"/>
    </row>
    <row r="47" spans="1:45" s="616" customFormat="1" ht="29.25" customHeight="1">
      <c r="A47" s="934"/>
      <c r="B47" s="962"/>
      <c r="C47" s="1123" t="s">
        <v>176</v>
      </c>
      <c r="D47" s="1123" t="s">
        <v>176</v>
      </c>
      <c r="E47" s="1123" t="s">
        <v>176</v>
      </c>
      <c r="F47" s="1123" t="s">
        <v>176</v>
      </c>
      <c r="G47" s="1123" t="s">
        <v>176</v>
      </c>
      <c r="H47" s="962"/>
      <c r="I47" s="922"/>
      <c r="J47" s="1073"/>
      <c r="K47" s="962"/>
      <c r="L47" s="662"/>
      <c r="M47" s="663"/>
      <c r="N47" s="664"/>
      <c r="O47" s="963"/>
      <c r="P47" s="729"/>
      <c r="Q47" s="666"/>
      <c r="R47" s="1074"/>
      <c r="S47" s="665"/>
      <c r="T47" s="887"/>
      <c r="U47" s="1075"/>
      <c r="V47" s="740"/>
      <c r="W47" s="887">
        <v>5648</v>
      </c>
      <c r="X47" s="924">
        <f t="shared" si="12"/>
        <v>5648</v>
      </c>
      <c r="Y47" s="665"/>
      <c r="Z47" s="887">
        <v>1883</v>
      </c>
      <c r="AA47" s="924">
        <f t="shared" si="13"/>
        <v>1883</v>
      </c>
      <c r="AB47" s="740"/>
      <c r="AC47" s="887">
        <f>W47+Z47</f>
        <v>7531</v>
      </c>
      <c r="AD47" s="741">
        <f t="shared" si="14"/>
        <v>7531</v>
      </c>
      <c r="AE47" s="725"/>
      <c r="AF47" s="1064"/>
      <c r="AG47" s="1063"/>
      <c r="AH47" s="787"/>
      <c r="AI47" s="1064"/>
      <c r="AJ47" s="1063"/>
      <c r="AK47" s="787"/>
      <c r="AL47" s="725"/>
      <c r="AM47" s="725"/>
      <c r="AN47" s="725"/>
      <c r="AO47" s="725"/>
      <c r="AP47" s="725"/>
      <c r="AQ47" s="725"/>
      <c r="AR47" s="725"/>
      <c r="AS47" s="725"/>
    </row>
    <row r="48" spans="1:45" s="825" customFormat="1" ht="51" customHeight="1">
      <c r="A48" s="954"/>
      <c r="B48" s="884" t="s">
        <v>480</v>
      </c>
      <c r="C48" s="804" t="s">
        <v>176</v>
      </c>
      <c r="D48" s="804" t="s">
        <v>176</v>
      </c>
      <c r="E48" s="804" t="s">
        <v>176</v>
      </c>
      <c r="F48" s="804" t="s">
        <v>176</v>
      </c>
      <c r="G48" s="804" t="s">
        <v>176</v>
      </c>
      <c r="H48" s="724"/>
      <c r="I48" s="1799"/>
      <c r="J48" s="1800" t="s">
        <v>183</v>
      </c>
      <c r="K48" s="884" t="s">
        <v>308</v>
      </c>
      <c r="L48" s="689">
        <v>3000</v>
      </c>
      <c r="M48" s="690">
        <v>1000</v>
      </c>
      <c r="N48" s="691">
        <f>SUM(L48:M48)</f>
        <v>4000</v>
      </c>
      <c r="O48" s="1076">
        <v>0</v>
      </c>
      <c r="P48" s="1077">
        <v>0</v>
      </c>
      <c r="Q48" s="694">
        <f>SUM(O48:P48)</f>
        <v>0</v>
      </c>
      <c r="R48" s="951" t="s">
        <v>423</v>
      </c>
      <c r="S48" s="695">
        <f aca="true" t="shared" si="15" ref="S48:T50">L48-O48</f>
        <v>3000</v>
      </c>
      <c r="T48" s="693">
        <f t="shared" si="15"/>
        <v>1000</v>
      </c>
      <c r="U48" s="1057">
        <f>SUM(S48:T48)</f>
        <v>4000</v>
      </c>
      <c r="V48" s="695">
        <v>0</v>
      </c>
      <c r="W48" s="885">
        <f>3000-2000</f>
        <v>1000</v>
      </c>
      <c r="X48" s="952">
        <f t="shared" si="12"/>
        <v>1000</v>
      </c>
      <c r="Y48" s="692">
        <v>0</v>
      </c>
      <c r="Z48" s="885">
        <v>0</v>
      </c>
      <c r="AA48" s="952">
        <f>SUM(Y48:Z48)</f>
        <v>0</v>
      </c>
      <c r="AB48" s="695">
        <f>V48+Y48</f>
        <v>0</v>
      </c>
      <c r="AC48" s="885">
        <f>W48+Z48</f>
        <v>1000</v>
      </c>
      <c r="AD48" s="727">
        <f t="shared" si="14"/>
        <v>1000</v>
      </c>
      <c r="AE48" s="769"/>
      <c r="AF48" s="1064"/>
      <c r="AG48" s="1063"/>
      <c r="AH48" s="787"/>
      <c r="AI48" s="1064"/>
      <c r="AJ48" s="1063"/>
      <c r="AK48" s="787"/>
      <c r="AL48" s="769"/>
      <c r="AM48" s="769"/>
      <c r="AN48" s="769"/>
      <c r="AO48" s="769"/>
      <c r="AP48" s="769"/>
      <c r="AQ48" s="769"/>
      <c r="AR48" s="769"/>
      <c r="AS48" s="769"/>
    </row>
    <row r="49" spans="1:45" s="825" customFormat="1" ht="33" customHeight="1">
      <c r="A49" s="954"/>
      <c r="B49" s="884" t="s">
        <v>159</v>
      </c>
      <c r="C49" s="949"/>
      <c r="D49" s="804" t="s">
        <v>176</v>
      </c>
      <c r="E49" s="804" t="s">
        <v>176</v>
      </c>
      <c r="F49" s="804" t="s">
        <v>176</v>
      </c>
      <c r="G49" s="804"/>
      <c r="H49" s="1799"/>
      <c r="I49" s="1799" t="s">
        <v>364</v>
      </c>
      <c r="J49" s="1799" t="s">
        <v>160</v>
      </c>
      <c r="K49" s="1799" t="s">
        <v>309</v>
      </c>
      <c r="L49" s="695">
        <v>1000</v>
      </c>
      <c r="M49" s="693">
        <v>500</v>
      </c>
      <c r="N49" s="696">
        <f>SUM(L49:M49)</f>
        <v>1500</v>
      </c>
      <c r="O49" s="692">
        <v>691</v>
      </c>
      <c r="P49" s="693">
        <v>289</v>
      </c>
      <c r="Q49" s="694">
        <f>SUM(O49:P49)</f>
        <v>980</v>
      </c>
      <c r="R49" s="979" t="s">
        <v>358</v>
      </c>
      <c r="S49" s="695">
        <f t="shared" si="15"/>
        <v>309</v>
      </c>
      <c r="T49" s="693">
        <f t="shared" si="15"/>
        <v>211</v>
      </c>
      <c r="U49" s="1057">
        <f>SUM(S49:T49)</f>
        <v>520</v>
      </c>
      <c r="V49" s="1124">
        <v>1000</v>
      </c>
      <c r="W49" s="885">
        <f>289+22-311</f>
        <v>0</v>
      </c>
      <c r="X49" s="952">
        <f t="shared" si="12"/>
        <v>1000</v>
      </c>
      <c r="Y49" s="1964">
        <f>300-3</f>
        <v>297</v>
      </c>
      <c r="Z49" s="885">
        <v>0</v>
      </c>
      <c r="AA49" s="1125">
        <f t="shared" si="13"/>
        <v>297</v>
      </c>
      <c r="AB49" s="695">
        <f>V49+Y49</f>
        <v>1297</v>
      </c>
      <c r="AC49" s="885">
        <f>W49+Z49</f>
        <v>0</v>
      </c>
      <c r="AD49" s="727">
        <f t="shared" si="14"/>
        <v>1297</v>
      </c>
      <c r="AE49" s="769"/>
      <c r="AF49" s="1064"/>
      <c r="AG49" s="1063"/>
      <c r="AH49" s="787"/>
      <c r="AI49" s="1064"/>
      <c r="AJ49" s="1063"/>
      <c r="AK49" s="787"/>
      <c r="AL49" s="769"/>
      <c r="AM49" s="769"/>
      <c r="AN49" s="769"/>
      <c r="AO49" s="769"/>
      <c r="AP49" s="769"/>
      <c r="AQ49" s="769"/>
      <c r="AR49" s="769"/>
      <c r="AS49" s="769"/>
    </row>
    <row r="50" spans="1:37" s="983" customFormat="1" ht="29.25" customHeight="1">
      <c r="A50" s="1078"/>
      <c r="B50" s="884" t="s">
        <v>161</v>
      </c>
      <c r="C50" s="949"/>
      <c r="D50" s="949"/>
      <c r="E50" s="949"/>
      <c r="F50" s="949"/>
      <c r="G50" s="949"/>
      <c r="H50" s="1799"/>
      <c r="I50" s="1799"/>
      <c r="J50" s="693" t="s">
        <v>183</v>
      </c>
      <c r="K50" s="1800" t="s">
        <v>162</v>
      </c>
      <c r="L50" s="689">
        <v>1500</v>
      </c>
      <c r="M50" s="690">
        <v>625</v>
      </c>
      <c r="N50" s="691">
        <f>SUM(L50:M50)</f>
        <v>2125</v>
      </c>
      <c r="O50" s="692">
        <v>1075</v>
      </c>
      <c r="P50" s="693">
        <v>0</v>
      </c>
      <c r="Q50" s="694">
        <f>SUM(O50:P50)</f>
        <v>1075</v>
      </c>
      <c r="R50" s="979" t="s">
        <v>359</v>
      </c>
      <c r="S50" s="695">
        <f t="shared" si="15"/>
        <v>425</v>
      </c>
      <c r="T50" s="693">
        <f t="shared" si="15"/>
        <v>625</v>
      </c>
      <c r="U50" s="1057">
        <f>SUM(S50:T50)</f>
        <v>1050</v>
      </c>
      <c r="V50" s="695">
        <v>1500</v>
      </c>
      <c r="W50" s="693">
        <v>0</v>
      </c>
      <c r="X50" s="696">
        <f>SUM(V50:W50)</f>
        <v>1500</v>
      </c>
      <c r="Y50" s="692">
        <v>0</v>
      </c>
      <c r="Z50" s="693">
        <v>0</v>
      </c>
      <c r="AA50" s="696">
        <f>SUM(Y50:Z50)</f>
        <v>0</v>
      </c>
      <c r="AB50" s="695">
        <f>V50+Y50</f>
        <v>1500</v>
      </c>
      <c r="AC50" s="885">
        <f>W50+Z50</f>
        <v>0</v>
      </c>
      <c r="AD50" s="727">
        <f>SUM(AB50:AC50)</f>
        <v>1500</v>
      </c>
      <c r="AE50" s="769"/>
      <c r="AF50" s="1064"/>
      <c r="AG50" s="1063"/>
      <c r="AH50" s="787"/>
      <c r="AI50" s="1064"/>
      <c r="AJ50" s="1063"/>
      <c r="AK50" s="787"/>
    </row>
    <row r="51" spans="1:37" s="1769" customFormat="1" ht="45" customHeight="1">
      <c r="A51" s="1689"/>
      <c r="B51" s="1599" t="s">
        <v>193</v>
      </c>
      <c r="C51" s="1690" t="s">
        <v>152</v>
      </c>
      <c r="D51" s="1690"/>
      <c r="E51" s="1690"/>
      <c r="F51" s="1690"/>
      <c r="G51" s="1690"/>
      <c r="H51" s="1601"/>
      <c r="I51" s="1601"/>
      <c r="J51" s="1599"/>
      <c r="K51" s="1767"/>
      <c r="L51" s="1225">
        <f aca="true" t="shared" si="16" ref="L51:Q51">L16+L27+L32+L39+L40</f>
        <v>134873</v>
      </c>
      <c r="M51" s="1037">
        <f t="shared" si="16"/>
        <v>182025</v>
      </c>
      <c r="N51" s="1602">
        <f t="shared" si="16"/>
        <v>316898</v>
      </c>
      <c r="O51" s="1224">
        <f t="shared" si="16"/>
        <v>98735</v>
      </c>
      <c r="P51" s="1037">
        <f t="shared" si="16"/>
        <v>105100</v>
      </c>
      <c r="Q51" s="1692">
        <f t="shared" si="16"/>
        <v>203835</v>
      </c>
      <c r="R51" s="1768"/>
      <c r="S51" s="1224">
        <f aca="true" t="shared" si="17" ref="S51:AD51">S16+S27+S32+S39+S40</f>
        <v>36138</v>
      </c>
      <c r="T51" s="1037">
        <f t="shared" si="17"/>
        <v>76925</v>
      </c>
      <c r="U51" s="1692">
        <f t="shared" si="17"/>
        <v>113063</v>
      </c>
      <c r="V51" s="1225">
        <f t="shared" si="17"/>
        <v>182132.66</v>
      </c>
      <c r="W51" s="1037">
        <f t="shared" si="17"/>
        <v>140466</v>
      </c>
      <c r="X51" s="1602">
        <f t="shared" si="17"/>
        <v>322598.66000000003</v>
      </c>
      <c r="Y51" s="1224">
        <f t="shared" si="17"/>
        <v>40760</v>
      </c>
      <c r="Z51" s="1037">
        <f t="shared" si="17"/>
        <v>10356</v>
      </c>
      <c r="AA51" s="1602">
        <f t="shared" si="17"/>
        <v>51116</v>
      </c>
      <c r="AB51" s="1225">
        <f t="shared" si="17"/>
        <v>222892.66</v>
      </c>
      <c r="AC51" s="1037">
        <f t="shared" si="17"/>
        <v>150822</v>
      </c>
      <c r="AD51" s="1604">
        <f t="shared" si="17"/>
        <v>373714.66000000003</v>
      </c>
      <c r="AF51" s="1770"/>
      <c r="AG51" s="1770"/>
      <c r="AH51" s="814"/>
      <c r="AI51" s="1770"/>
      <c r="AJ51" s="1770"/>
      <c r="AK51" s="814"/>
    </row>
    <row r="52" spans="1:37" s="776" customFormat="1" ht="29.25" customHeight="1">
      <c r="A52" s="1598"/>
      <c r="B52" s="1599" t="s">
        <v>194</v>
      </c>
      <c r="C52" s="1600"/>
      <c r="D52" s="1600"/>
      <c r="E52" s="1600"/>
      <c r="F52" s="1600"/>
      <c r="G52" s="1600"/>
      <c r="H52" s="1601"/>
      <c r="I52" s="1693"/>
      <c r="J52" s="1599"/>
      <c r="K52" s="1036"/>
      <c r="L52" s="1225">
        <f>L51*7%</f>
        <v>9441.11</v>
      </c>
      <c r="M52" s="1037">
        <f>M51*7%</f>
        <v>12741.750000000002</v>
      </c>
      <c r="N52" s="1602">
        <f>L52+M52</f>
        <v>22182.86</v>
      </c>
      <c r="O52" s="1224">
        <f>O51*7%</f>
        <v>6911.450000000001</v>
      </c>
      <c r="P52" s="1037">
        <f>P51*7%-111</f>
        <v>7246.000000000001</v>
      </c>
      <c r="Q52" s="1692">
        <f>SUM(O52:P52)</f>
        <v>14157.45</v>
      </c>
      <c r="R52" s="1771" t="s">
        <v>87</v>
      </c>
      <c r="S52" s="1224">
        <f>S51*7%</f>
        <v>2529.6600000000003</v>
      </c>
      <c r="T52" s="1037">
        <f>T51*7%+111</f>
        <v>5495.750000000001</v>
      </c>
      <c r="U52" s="1692">
        <f>U51*7%</f>
        <v>7914.410000000001</v>
      </c>
      <c r="V52" s="1772">
        <f>V51*7%</f>
        <v>12749.286200000002</v>
      </c>
      <c r="W52" s="1693">
        <f>W51*7%</f>
        <v>9832.62</v>
      </c>
      <c r="X52" s="1762">
        <f t="shared" si="12"/>
        <v>22581.906200000005</v>
      </c>
      <c r="Y52" s="1773">
        <f>Y51*7%</f>
        <v>2853.2000000000003</v>
      </c>
      <c r="Z52" s="1693">
        <f>Z51*7%</f>
        <v>724.9200000000001</v>
      </c>
      <c r="AA52" s="1762">
        <f t="shared" si="13"/>
        <v>3578.1200000000003</v>
      </c>
      <c r="AB52" s="1772">
        <f>AB51*7%</f>
        <v>15602.486200000001</v>
      </c>
      <c r="AC52" s="1693">
        <f>AC51*7%</f>
        <v>10557.54</v>
      </c>
      <c r="AD52" s="1681">
        <f t="shared" si="14"/>
        <v>26160.0262</v>
      </c>
      <c r="AF52" s="1774"/>
      <c r="AG52" s="1774"/>
      <c r="AH52" s="1119"/>
      <c r="AI52" s="1774"/>
      <c r="AJ52" s="1774"/>
      <c r="AK52" s="1119"/>
    </row>
    <row r="53" spans="1:37" s="1038" customFormat="1" ht="27" customHeight="1" thickBot="1">
      <c r="A53" s="1609"/>
      <c r="B53" s="1610" t="s">
        <v>195</v>
      </c>
      <c r="C53" s="1611"/>
      <c r="D53" s="1611"/>
      <c r="E53" s="1611"/>
      <c r="F53" s="1611"/>
      <c r="G53" s="1611"/>
      <c r="H53" s="1612"/>
      <c r="I53" s="1612"/>
      <c r="J53" s="1610"/>
      <c r="K53" s="1613"/>
      <c r="L53" s="1614">
        <f>SUM(L51:L52)</f>
        <v>144314.11</v>
      </c>
      <c r="M53" s="1615">
        <f>SUM(M51:M52)</f>
        <v>194766.75</v>
      </c>
      <c r="N53" s="1207">
        <f>L53+M53</f>
        <v>339080.86</v>
      </c>
      <c r="O53" s="1666">
        <f>SUM(O51:O52)</f>
        <v>105646.45</v>
      </c>
      <c r="P53" s="1613">
        <f>SUM(P51:P52)</f>
        <v>112346</v>
      </c>
      <c r="Q53" s="1662">
        <f>SUM(Q51:Q52)</f>
        <v>217992.45</v>
      </c>
      <c r="R53" s="1754"/>
      <c r="S53" s="1695">
        <f>SUM(S51:S52)</f>
        <v>38667.66</v>
      </c>
      <c r="T53" s="1683">
        <f>T51+T52</f>
        <v>82420.75</v>
      </c>
      <c r="U53" s="1696">
        <f>S53+T53</f>
        <v>121088.41</v>
      </c>
      <c r="V53" s="1763">
        <f>SUM(V51:V52)</f>
        <v>194881.9462</v>
      </c>
      <c r="W53" s="1682">
        <f>SUM(W51:W52)</f>
        <v>150298.62</v>
      </c>
      <c r="X53" s="1764">
        <f t="shared" si="12"/>
        <v>345180.5662</v>
      </c>
      <c r="Y53" s="1695">
        <f>SUM(Y51:Y52)</f>
        <v>43613.2</v>
      </c>
      <c r="Z53" s="1682">
        <f>SUM(Z51:Z52)</f>
        <v>11080.92</v>
      </c>
      <c r="AA53" s="1764">
        <f t="shared" si="13"/>
        <v>54694.119999999995</v>
      </c>
      <c r="AB53" s="1763">
        <f>SUM(AB51:AB52)</f>
        <v>238495.14620000002</v>
      </c>
      <c r="AC53" s="1682">
        <f>SUM(AC51:AC52)</f>
        <v>161379.54</v>
      </c>
      <c r="AD53" s="1684">
        <f t="shared" si="14"/>
        <v>399874.6862</v>
      </c>
      <c r="AE53" s="1775">
        <f>AB53-AB54</f>
        <v>-3.313799999974435</v>
      </c>
      <c r="AF53" s="814"/>
      <c r="AG53" s="814"/>
      <c r="AH53" s="814"/>
      <c r="AI53" s="814"/>
      <c r="AJ53" s="814"/>
      <c r="AK53" s="814"/>
    </row>
    <row r="54" spans="2:41" s="762" customFormat="1" ht="29.25" customHeight="1" thickTop="1">
      <c r="B54" s="763"/>
      <c r="C54" s="764"/>
      <c r="D54" s="764"/>
      <c r="E54" s="764"/>
      <c r="F54" s="764"/>
      <c r="G54" s="764"/>
      <c r="H54" s="765"/>
      <c r="I54" s="765"/>
      <c r="J54" s="763"/>
      <c r="K54" s="766"/>
      <c r="L54" s="768"/>
      <c r="M54" s="768"/>
      <c r="N54" s="1079"/>
      <c r="O54" s="767"/>
      <c r="P54" s="768"/>
      <c r="Q54" s="768"/>
      <c r="R54" s="1080"/>
      <c r="S54" s="768"/>
      <c r="T54" s="768"/>
      <c r="U54" s="768"/>
      <c r="V54" s="750"/>
      <c r="AA54" s="1081"/>
      <c r="AB54" s="1178">
        <f>P88</f>
        <v>238498.46</v>
      </c>
      <c r="AC54" s="1170">
        <f>AB53-AB54</f>
        <v>-3.313799999974435</v>
      </c>
      <c r="AD54" s="1081"/>
      <c r="AJ54" s="1082"/>
      <c r="AK54" s="1082"/>
      <c r="AL54" s="1082"/>
      <c r="AM54" s="1082"/>
      <c r="AN54" s="1082"/>
      <c r="AO54" s="1082"/>
    </row>
    <row r="55" spans="1:45" s="645" customFormat="1" ht="69.75" customHeight="1" hidden="1" outlineLevel="1" thickTop="1">
      <c r="A55" s="2205"/>
      <c r="B55" s="2205"/>
      <c r="C55" s="2205"/>
      <c r="D55" s="2205"/>
      <c r="E55" s="2205"/>
      <c r="F55" s="2205"/>
      <c r="G55" s="2192" t="s">
        <v>134</v>
      </c>
      <c r="H55" s="2192"/>
      <c r="I55" s="2192"/>
      <c r="J55" s="2192"/>
      <c r="K55" s="2131" t="s">
        <v>89</v>
      </c>
      <c r="L55" s="2193"/>
      <c r="M55" s="2193"/>
      <c r="N55" s="2193"/>
      <c r="O55" s="2194" t="s">
        <v>81</v>
      </c>
      <c r="P55" s="2194"/>
      <c r="Q55" s="2194"/>
      <c r="R55" s="2194"/>
      <c r="S55" s="2194" t="s">
        <v>82</v>
      </c>
      <c r="T55" s="2194"/>
      <c r="U55" s="2194"/>
      <c r="V55" s="2194"/>
      <c r="W55" s="2194" t="s">
        <v>83</v>
      </c>
      <c r="X55" s="2194"/>
      <c r="Y55" s="2194"/>
      <c r="Z55" s="2194"/>
      <c r="AA55" s="2194" t="s">
        <v>85</v>
      </c>
      <c r="AB55" s="2194"/>
      <c r="AC55" s="2194"/>
      <c r="AD55" s="2194"/>
      <c r="AE55" s="2194" t="s">
        <v>84</v>
      </c>
      <c r="AF55" s="2194"/>
      <c r="AG55" s="2194"/>
      <c r="AH55" s="2195"/>
      <c r="AI55" s="644"/>
      <c r="AJ55" s="769"/>
      <c r="AK55" s="769"/>
      <c r="AL55" s="769"/>
      <c r="AM55" s="769"/>
      <c r="AN55" s="769"/>
      <c r="AO55" s="769"/>
      <c r="AP55" s="644"/>
      <c r="AQ55" s="644"/>
      <c r="AR55" s="644"/>
      <c r="AS55" s="644"/>
    </row>
    <row r="56" spans="1:45" s="645" customFormat="1" ht="62.25" customHeight="1" hidden="1" outlineLevel="1" thickBot="1">
      <c r="A56" s="2205"/>
      <c r="B56" s="2205"/>
      <c r="C56" s="2205"/>
      <c r="D56" s="2205"/>
      <c r="E56" s="2205"/>
      <c r="F56" s="2205"/>
      <c r="G56" s="1617" t="s">
        <v>144</v>
      </c>
      <c r="H56" s="1617" t="s">
        <v>184</v>
      </c>
      <c r="I56" s="1618" t="s">
        <v>135</v>
      </c>
      <c r="J56" s="1620" t="s">
        <v>136</v>
      </c>
      <c r="K56" s="1765" t="s">
        <v>144</v>
      </c>
      <c r="L56" s="1617" t="s">
        <v>184</v>
      </c>
      <c r="M56" s="1618" t="s">
        <v>38</v>
      </c>
      <c r="N56" s="1620" t="s">
        <v>39</v>
      </c>
      <c r="O56" s="1621" t="s">
        <v>36</v>
      </c>
      <c r="P56" s="1622" t="s">
        <v>37</v>
      </c>
      <c r="Q56" s="1618" t="s">
        <v>38</v>
      </c>
      <c r="R56" s="1620" t="s">
        <v>39</v>
      </c>
      <c r="S56" s="1621" t="s">
        <v>36</v>
      </c>
      <c r="T56" s="1622" t="s">
        <v>37</v>
      </c>
      <c r="U56" s="1618" t="s">
        <v>38</v>
      </c>
      <c r="V56" s="1620" t="s">
        <v>39</v>
      </c>
      <c r="W56" s="1766" t="s">
        <v>36</v>
      </c>
      <c r="X56" s="1625" t="s">
        <v>344</v>
      </c>
      <c r="Y56" s="1221" t="s">
        <v>38</v>
      </c>
      <c r="Z56" s="1626" t="s">
        <v>39</v>
      </c>
      <c r="AA56" s="1625" t="s">
        <v>36</v>
      </c>
      <c r="AB56" s="1625" t="s">
        <v>344</v>
      </c>
      <c r="AC56" s="1221" t="s">
        <v>38</v>
      </c>
      <c r="AD56" s="1626" t="s">
        <v>39</v>
      </c>
      <c r="AE56" s="1625" t="s">
        <v>36</v>
      </c>
      <c r="AF56" s="1625" t="s">
        <v>344</v>
      </c>
      <c r="AG56" s="1221" t="s">
        <v>38</v>
      </c>
      <c r="AH56" s="1627" t="s">
        <v>39</v>
      </c>
      <c r="AI56" s="644"/>
      <c r="AJ56" s="769"/>
      <c r="AK56" s="1109"/>
      <c r="AL56" s="782"/>
      <c r="AM56" s="769"/>
      <c r="AN56" s="769"/>
      <c r="AO56" s="769"/>
      <c r="AP56" s="644"/>
      <c r="AQ56" s="644"/>
      <c r="AR56" s="644"/>
      <c r="AS56" s="644"/>
    </row>
    <row r="57" spans="1:45" s="751" customFormat="1" ht="33.75" customHeight="1" hidden="1" outlineLevel="1">
      <c r="A57" s="2115" t="s">
        <v>197</v>
      </c>
      <c r="B57" s="2116"/>
      <c r="C57" s="2116"/>
      <c r="D57" s="2116"/>
      <c r="E57" s="2116"/>
      <c r="F57" s="2116"/>
      <c r="G57" s="1184">
        <v>0</v>
      </c>
      <c r="H57" s="1185">
        <v>0</v>
      </c>
      <c r="I57" s="1185">
        <f>H57*7%</f>
        <v>0</v>
      </c>
      <c r="J57" s="1220">
        <f>SUM(H57:I57)</f>
        <v>0</v>
      </c>
      <c r="K57" s="1184">
        <v>0</v>
      </c>
      <c r="L57" s="1184">
        <v>0</v>
      </c>
      <c r="M57" s="1185">
        <f>L57*7%</f>
        <v>0</v>
      </c>
      <c r="N57" s="1187">
        <f>SUM(L57:M57)</f>
        <v>0</v>
      </c>
      <c r="O57" s="1184">
        <v>0</v>
      </c>
      <c r="P57" s="1184">
        <v>0</v>
      </c>
      <c r="Q57" s="1185">
        <f aca="true" t="shared" si="18" ref="Q57:Q66">P57*7%</f>
        <v>0</v>
      </c>
      <c r="R57" s="1776">
        <f>SUM(P57:Q57)</f>
        <v>0</v>
      </c>
      <c r="S57" s="1184">
        <f>K57-O57</f>
        <v>0</v>
      </c>
      <c r="T57" s="1184">
        <f>L57-P57</f>
        <v>0</v>
      </c>
      <c r="U57" s="1184">
        <f aca="true" t="shared" si="19" ref="U57:U71">M57-Q57</f>
        <v>0</v>
      </c>
      <c r="V57" s="1187">
        <f>SUM(T57:U57)</f>
        <v>0</v>
      </c>
      <c r="W57" s="772">
        <v>0</v>
      </c>
      <c r="X57" s="771">
        <v>0</v>
      </c>
      <c r="Y57" s="770">
        <f>X57*7%</f>
        <v>0</v>
      </c>
      <c r="Z57" s="1458">
        <f>SUM(X57:Y57)</f>
        <v>0</v>
      </c>
      <c r="AA57" s="771">
        <v>0</v>
      </c>
      <c r="AB57" s="771">
        <v>0</v>
      </c>
      <c r="AC57" s="770">
        <f>AB57*7%</f>
        <v>0</v>
      </c>
      <c r="AD57" s="1458">
        <f aca="true" t="shared" si="20" ref="AD57:AD62">SUM(AB57:AC57)</f>
        <v>0</v>
      </c>
      <c r="AE57" s="771">
        <v>0</v>
      </c>
      <c r="AF57" s="771">
        <v>0</v>
      </c>
      <c r="AG57" s="771">
        <f>SUM(Y57,AC57)</f>
        <v>0</v>
      </c>
      <c r="AH57" s="1568">
        <f>SUM(AF57:AG57)</f>
        <v>0</v>
      </c>
      <c r="AI57" s="750"/>
      <c r="AJ57" s="769"/>
      <c r="AK57" s="984"/>
      <c r="AL57" s="781"/>
      <c r="AM57" s="769"/>
      <c r="AN57" s="769"/>
      <c r="AO57" s="769"/>
      <c r="AP57" s="750"/>
      <c r="AQ57" s="750"/>
      <c r="AR57" s="750"/>
      <c r="AS57" s="750"/>
    </row>
    <row r="58" spans="1:45" s="751" customFormat="1" ht="33.75" customHeight="1" hidden="1" outlineLevel="1">
      <c r="A58" s="2115" t="s">
        <v>198</v>
      </c>
      <c r="B58" s="2116"/>
      <c r="C58" s="2116"/>
      <c r="D58" s="2116"/>
      <c r="E58" s="2116"/>
      <c r="F58" s="2116"/>
      <c r="G58" s="1184">
        <v>64280</v>
      </c>
      <c r="H58" s="771">
        <v>44741</v>
      </c>
      <c r="I58" s="1185">
        <f aca="true" t="shared" si="21" ref="I58:I66">H58*7%</f>
        <v>3131.8700000000003</v>
      </c>
      <c r="J58" s="1220">
        <f aca="true" t="shared" si="22" ref="J58:J66">SUM(H58:I58)</f>
        <v>47872.87</v>
      </c>
      <c r="K58" s="772">
        <f>SUM(L$12,L$13,L$33,L$34)</f>
        <v>10000</v>
      </c>
      <c r="L58" s="771">
        <f>SUM(M$12,M$13,M$33,M$34)</f>
        <v>25000</v>
      </c>
      <c r="M58" s="1185">
        <f>L58*7%</f>
        <v>1750.0000000000002</v>
      </c>
      <c r="N58" s="1187">
        <f>SUM(L58:M58)</f>
        <v>26750</v>
      </c>
      <c r="O58" s="772">
        <f>SUM(O$12,O$13,O$33,O$34)</f>
        <v>0</v>
      </c>
      <c r="P58" s="771">
        <f>SUM(P$12,P$13,P$33,P$34)</f>
        <v>21467</v>
      </c>
      <c r="Q58" s="1185">
        <f t="shared" si="18"/>
        <v>1502.69</v>
      </c>
      <c r="R58" s="1776">
        <f>SUM(P58:Q58)</f>
        <v>22969.69</v>
      </c>
      <c r="S58" s="1184">
        <f aca="true" t="shared" si="23" ref="S58:S71">K58-O58</f>
        <v>10000</v>
      </c>
      <c r="T58" s="1184">
        <f aca="true" t="shared" si="24" ref="T58:T71">L58-P58</f>
        <v>3533</v>
      </c>
      <c r="U58" s="1184">
        <f t="shared" si="19"/>
        <v>247.31000000000017</v>
      </c>
      <c r="V58" s="1187">
        <f aca="true" t="shared" si="25" ref="V58:V64">SUM(T58:U58)</f>
        <v>3780.3100000000004</v>
      </c>
      <c r="W58" s="772">
        <f>SUM(V$12,V$13,V$33,V$34)</f>
        <v>41780</v>
      </c>
      <c r="X58" s="771">
        <f>SUM(W$12,W$13,W$33,W$34)</f>
        <v>23241</v>
      </c>
      <c r="Y58" s="770">
        <f>X58*7%</f>
        <v>1626.8700000000001</v>
      </c>
      <c r="Z58" s="1458">
        <f aca="true" t="shared" si="26" ref="Z58:Z68">SUM(X58:Y58)</f>
        <v>24867.87</v>
      </c>
      <c r="AA58" s="771">
        <f>SUM(Y$12,Y$13,Y$33,Y$34)</f>
        <v>22500</v>
      </c>
      <c r="AB58" s="771">
        <f>SUM(Z$12,Z$13,Z$33,Z$34)</f>
        <v>0</v>
      </c>
      <c r="AC58" s="770">
        <f>AB58*7%</f>
        <v>0</v>
      </c>
      <c r="AD58" s="1458">
        <f t="shared" si="20"/>
        <v>0</v>
      </c>
      <c r="AE58" s="771">
        <f>SUM(W58,AA58)</f>
        <v>64280</v>
      </c>
      <c r="AF58" s="771">
        <f>SUM(X58,AB58)</f>
        <v>23241</v>
      </c>
      <c r="AG58" s="771">
        <f>SUM(Y58,AC58)</f>
        <v>1626.8700000000001</v>
      </c>
      <c r="AH58" s="1568">
        <f aca="true" t="shared" si="27" ref="AH58:AH64">SUM(AF58:AG58)</f>
        <v>24867.87</v>
      </c>
      <c r="AI58" s="750"/>
      <c r="AJ58" s="769"/>
      <c r="AK58" s="984"/>
      <c r="AL58" s="781"/>
      <c r="AM58" s="769"/>
      <c r="AN58" s="769"/>
      <c r="AO58" s="769"/>
      <c r="AP58" s="750"/>
      <c r="AQ58" s="750"/>
      <c r="AR58" s="750"/>
      <c r="AS58" s="750"/>
    </row>
    <row r="59" spans="1:45" s="751" customFormat="1" ht="33.75" customHeight="1" hidden="1" outlineLevel="1">
      <c r="A59" s="2115" t="s">
        <v>199</v>
      </c>
      <c r="B59" s="2116"/>
      <c r="C59" s="2116"/>
      <c r="D59" s="2116"/>
      <c r="E59" s="2116"/>
      <c r="F59" s="2116"/>
      <c r="G59" s="1184">
        <v>21002</v>
      </c>
      <c r="H59" s="693">
        <v>58273</v>
      </c>
      <c r="I59" s="1185">
        <f t="shared" si="21"/>
        <v>4079.1100000000006</v>
      </c>
      <c r="J59" s="1220">
        <f t="shared" si="22"/>
        <v>62352.11</v>
      </c>
      <c r="K59" s="772">
        <f>SUM(L$18,L$22)</f>
        <v>9975</v>
      </c>
      <c r="L59" s="771">
        <f>SUM(M$18,M$22)</f>
        <v>34913</v>
      </c>
      <c r="M59" s="1185">
        <f aca="true" t="shared" si="28" ref="M59:M66">L59*7%</f>
        <v>2443.9100000000003</v>
      </c>
      <c r="N59" s="1187">
        <f>SUM(L59:M59)</f>
        <v>37356.91</v>
      </c>
      <c r="O59" s="772">
        <f>SUM(O$18,O$22)</f>
        <v>2713</v>
      </c>
      <c r="P59" s="771">
        <f>SUM(P$18,P$22)</f>
        <v>7656</v>
      </c>
      <c r="Q59" s="1185">
        <f t="shared" si="18"/>
        <v>535.9200000000001</v>
      </c>
      <c r="R59" s="1776">
        <f>SUM(P59:Q59)</f>
        <v>8191.92</v>
      </c>
      <c r="S59" s="1184">
        <f t="shared" si="23"/>
        <v>7262</v>
      </c>
      <c r="T59" s="1184">
        <f t="shared" si="24"/>
        <v>27257</v>
      </c>
      <c r="U59" s="1184">
        <f t="shared" si="19"/>
        <v>1907.9900000000002</v>
      </c>
      <c r="V59" s="1187">
        <f t="shared" si="25"/>
        <v>29164.99</v>
      </c>
      <c r="W59" s="772">
        <f>SUM(V$18,V$22)</f>
        <v>10171</v>
      </c>
      <c r="X59" s="771">
        <f>SUM(W$18,W$22)</f>
        <v>27302</v>
      </c>
      <c r="Y59" s="770">
        <f aca="true" t="shared" si="29" ref="Y59:Y66">X59*7%</f>
        <v>1911.14</v>
      </c>
      <c r="Z59" s="1458">
        <f t="shared" si="26"/>
        <v>29213.14</v>
      </c>
      <c r="AA59" s="771">
        <f>SUM(Y$18,Y$22)</f>
        <v>0</v>
      </c>
      <c r="AB59" s="771">
        <f>SUM(Z$18,Z$22)</f>
        <v>0</v>
      </c>
      <c r="AC59" s="770">
        <f aca="true" t="shared" si="30" ref="AC59:AC66">AB59*7%</f>
        <v>0</v>
      </c>
      <c r="AD59" s="1458">
        <f t="shared" si="20"/>
        <v>0</v>
      </c>
      <c r="AE59" s="771">
        <f aca="true" t="shared" si="31" ref="AE59:AE66">SUM(W59,AA59)</f>
        <v>10171</v>
      </c>
      <c r="AF59" s="771">
        <f aca="true" t="shared" si="32" ref="AF59:AF66">SUM(X59,AB59)</f>
        <v>27302</v>
      </c>
      <c r="AG59" s="771">
        <f aca="true" t="shared" si="33" ref="AG59:AG66">SUM(Y59,AC59)</f>
        <v>1911.14</v>
      </c>
      <c r="AH59" s="1568">
        <f t="shared" si="27"/>
        <v>29213.14</v>
      </c>
      <c r="AI59" s="750"/>
      <c r="AJ59" s="769"/>
      <c r="AK59" s="984"/>
      <c r="AL59" s="781"/>
      <c r="AM59" s="769"/>
      <c r="AN59" s="769"/>
      <c r="AO59" s="769"/>
      <c r="AP59" s="750"/>
      <c r="AQ59" s="750"/>
      <c r="AR59" s="750"/>
      <c r="AS59" s="750"/>
    </row>
    <row r="60" spans="1:45" s="751" customFormat="1" ht="33.75" customHeight="1" hidden="1" outlineLevel="1">
      <c r="A60" s="2115" t="s">
        <v>201</v>
      </c>
      <c r="B60" s="2116"/>
      <c r="C60" s="2116"/>
      <c r="D60" s="2116"/>
      <c r="E60" s="2116"/>
      <c r="F60" s="2116"/>
      <c r="G60" s="1184">
        <v>0</v>
      </c>
      <c r="H60" s="693">
        <v>0</v>
      </c>
      <c r="I60" s="771">
        <f t="shared" si="21"/>
        <v>0</v>
      </c>
      <c r="J60" s="1226">
        <f t="shared" si="22"/>
        <v>0</v>
      </c>
      <c r="K60" s="1184">
        <v>0</v>
      </c>
      <c r="L60" s="1184">
        <v>0</v>
      </c>
      <c r="M60" s="1185">
        <f t="shared" si="28"/>
        <v>0</v>
      </c>
      <c r="N60" s="1187">
        <f aca="true" t="shared" si="34" ref="N60:N65">SUM(L60:M60)</f>
        <v>0</v>
      </c>
      <c r="O60" s="1184">
        <v>0</v>
      </c>
      <c r="P60" s="1184">
        <v>0</v>
      </c>
      <c r="Q60" s="1185">
        <f t="shared" si="18"/>
        <v>0</v>
      </c>
      <c r="R60" s="1776">
        <f aca="true" t="shared" si="35" ref="R60:R65">SUM(P60:Q60)</f>
        <v>0</v>
      </c>
      <c r="S60" s="1184">
        <f t="shared" si="23"/>
        <v>0</v>
      </c>
      <c r="T60" s="1184">
        <f t="shared" si="24"/>
        <v>0</v>
      </c>
      <c r="U60" s="1184">
        <f t="shared" si="19"/>
        <v>0</v>
      </c>
      <c r="V60" s="1187">
        <f t="shared" si="25"/>
        <v>0</v>
      </c>
      <c r="W60" s="1184">
        <v>0</v>
      </c>
      <c r="X60" s="1184">
        <v>0</v>
      </c>
      <c r="Y60" s="770">
        <f t="shared" si="29"/>
        <v>0</v>
      </c>
      <c r="Z60" s="1458">
        <f t="shared" si="26"/>
        <v>0</v>
      </c>
      <c r="AA60" s="771"/>
      <c r="AB60" s="771"/>
      <c r="AC60" s="770">
        <f t="shared" si="30"/>
        <v>0</v>
      </c>
      <c r="AD60" s="1458">
        <f t="shared" si="20"/>
        <v>0</v>
      </c>
      <c r="AE60" s="771">
        <f t="shared" si="31"/>
        <v>0</v>
      </c>
      <c r="AF60" s="771">
        <f t="shared" si="32"/>
        <v>0</v>
      </c>
      <c r="AG60" s="771">
        <f t="shared" si="33"/>
        <v>0</v>
      </c>
      <c r="AH60" s="1568">
        <f t="shared" si="27"/>
        <v>0</v>
      </c>
      <c r="AI60" s="750"/>
      <c r="AJ60" s="769"/>
      <c r="AK60" s="984"/>
      <c r="AL60" s="781"/>
      <c r="AM60" s="769"/>
      <c r="AN60" s="769"/>
      <c r="AO60" s="769"/>
      <c r="AP60" s="750"/>
      <c r="AQ60" s="750"/>
      <c r="AR60" s="750"/>
      <c r="AS60" s="750"/>
    </row>
    <row r="61" spans="1:45" s="751" customFormat="1" ht="33.75" customHeight="1" hidden="1" outlineLevel="1">
      <c r="A61" s="2115" t="s">
        <v>208</v>
      </c>
      <c r="B61" s="2116"/>
      <c r="C61" s="2116"/>
      <c r="D61" s="2116"/>
      <c r="E61" s="2116"/>
      <c r="F61" s="2116"/>
      <c r="G61" s="1184">
        <v>77300</v>
      </c>
      <c r="H61" s="693">
        <v>0</v>
      </c>
      <c r="I61" s="771">
        <f t="shared" si="21"/>
        <v>0</v>
      </c>
      <c r="J61" s="1226">
        <f t="shared" si="22"/>
        <v>0</v>
      </c>
      <c r="K61" s="772">
        <f>SUM(L$23,L$24,L$35,L$36,L$37,L$38)</f>
        <v>10459</v>
      </c>
      <c r="L61" s="771">
        <f>SUM(M$23,M$24,M$35,M$36,M$37,M$38)</f>
        <v>0</v>
      </c>
      <c r="M61" s="1185">
        <f t="shared" si="28"/>
        <v>0</v>
      </c>
      <c r="N61" s="1187">
        <f t="shared" si="34"/>
        <v>0</v>
      </c>
      <c r="O61" s="772">
        <f>SUM(O$23,O$24,O$35,O$36,O$37,O$38)</f>
        <v>6739</v>
      </c>
      <c r="P61" s="771">
        <f>SUM(P$23,P$24,P$35,P$36,P$37,P$38)</f>
        <v>0</v>
      </c>
      <c r="Q61" s="1185">
        <f t="shared" si="18"/>
        <v>0</v>
      </c>
      <c r="R61" s="1776">
        <f t="shared" si="35"/>
        <v>0</v>
      </c>
      <c r="S61" s="1184">
        <f t="shared" si="23"/>
        <v>3720</v>
      </c>
      <c r="T61" s="1184">
        <f t="shared" si="24"/>
        <v>0</v>
      </c>
      <c r="U61" s="1184">
        <f t="shared" si="19"/>
        <v>0</v>
      </c>
      <c r="V61" s="1187">
        <f>V20</f>
        <v>0</v>
      </c>
      <c r="W61" s="772">
        <f>SUM(V$23,V$24,V$35,V$36,V$37,V$38)</f>
        <v>54812</v>
      </c>
      <c r="X61" s="771">
        <f>SUM(W$23,W$24,W$35,W$36,W$37,W$38)</f>
        <v>0</v>
      </c>
      <c r="Y61" s="770">
        <f t="shared" si="29"/>
        <v>0</v>
      </c>
      <c r="Z61" s="1458">
        <f t="shared" si="26"/>
        <v>0</v>
      </c>
      <c r="AA61" s="771">
        <f>SUM(Y$23,Y$24,Y$35,Y$36,Y$37,Y$38)</f>
        <v>11150</v>
      </c>
      <c r="AB61" s="771">
        <f>SUM(Z$23,Z$24,Z$35,Z$36,Z$37,Z$38)</f>
        <v>0</v>
      </c>
      <c r="AC61" s="770">
        <f t="shared" si="30"/>
        <v>0</v>
      </c>
      <c r="AD61" s="1458">
        <f t="shared" si="20"/>
        <v>0</v>
      </c>
      <c r="AE61" s="771">
        <f t="shared" si="31"/>
        <v>65962</v>
      </c>
      <c r="AF61" s="771">
        <f t="shared" si="32"/>
        <v>0</v>
      </c>
      <c r="AG61" s="771">
        <f t="shared" si="33"/>
        <v>0</v>
      </c>
      <c r="AH61" s="1568">
        <f t="shared" si="27"/>
        <v>0</v>
      </c>
      <c r="AI61" s="750"/>
      <c r="AJ61" s="769"/>
      <c r="AK61" s="984"/>
      <c r="AL61" s="781"/>
      <c r="AM61" s="769"/>
      <c r="AN61" s="769"/>
      <c r="AO61" s="769"/>
      <c r="AP61" s="750"/>
      <c r="AQ61" s="750"/>
      <c r="AR61" s="750"/>
      <c r="AS61" s="750"/>
    </row>
    <row r="62" spans="1:45" s="751" customFormat="1" ht="33.75" customHeight="1" hidden="1" outlineLevel="1">
      <c r="A62" s="2115" t="s">
        <v>200</v>
      </c>
      <c r="B62" s="2116"/>
      <c r="C62" s="2116"/>
      <c r="D62" s="2116"/>
      <c r="E62" s="2116"/>
      <c r="F62" s="2116"/>
      <c r="G62" s="1184">
        <v>0</v>
      </c>
      <c r="H62" s="693">
        <v>0</v>
      </c>
      <c r="I62" s="771">
        <f t="shared" si="21"/>
        <v>0</v>
      </c>
      <c r="J62" s="1226">
        <f t="shared" si="22"/>
        <v>0</v>
      </c>
      <c r="K62" s="693">
        <v>0</v>
      </c>
      <c r="L62" s="693">
        <v>0</v>
      </c>
      <c r="M62" s="1185">
        <f t="shared" si="28"/>
        <v>0</v>
      </c>
      <c r="N62" s="1187">
        <f t="shared" si="34"/>
        <v>0</v>
      </c>
      <c r="O62" s="693">
        <v>0</v>
      </c>
      <c r="P62" s="693">
        <v>0</v>
      </c>
      <c r="Q62" s="1185">
        <f t="shared" si="18"/>
        <v>0</v>
      </c>
      <c r="R62" s="1776">
        <f t="shared" si="35"/>
        <v>0</v>
      </c>
      <c r="S62" s="1184">
        <f t="shared" si="23"/>
        <v>0</v>
      </c>
      <c r="T62" s="1184">
        <f t="shared" si="24"/>
        <v>0</v>
      </c>
      <c r="U62" s="1184">
        <f t="shared" si="19"/>
        <v>0</v>
      </c>
      <c r="V62" s="1187">
        <f t="shared" si="25"/>
        <v>0</v>
      </c>
      <c r="W62" s="1184">
        <v>0</v>
      </c>
      <c r="X62" s="1184">
        <v>0</v>
      </c>
      <c r="Y62" s="770">
        <f t="shared" si="29"/>
        <v>0</v>
      </c>
      <c r="Z62" s="1458">
        <f t="shared" si="26"/>
        <v>0</v>
      </c>
      <c r="AA62" s="771"/>
      <c r="AB62" s="771"/>
      <c r="AC62" s="770">
        <f t="shared" si="30"/>
        <v>0</v>
      </c>
      <c r="AD62" s="1458">
        <f t="shared" si="20"/>
        <v>0</v>
      </c>
      <c r="AE62" s="771">
        <f t="shared" si="31"/>
        <v>0</v>
      </c>
      <c r="AF62" s="771">
        <f t="shared" si="32"/>
        <v>0</v>
      </c>
      <c r="AG62" s="771">
        <f t="shared" si="33"/>
        <v>0</v>
      </c>
      <c r="AH62" s="1568">
        <f t="shared" si="27"/>
        <v>0</v>
      </c>
      <c r="AI62" s="750"/>
      <c r="AJ62" s="769"/>
      <c r="AK62" s="984"/>
      <c r="AL62" s="781"/>
      <c r="AM62" s="769"/>
      <c r="AN62" s="769"/>
      <c r="AO62" s="769"/>
      <c r="AP62" s="750"/>
      <c r="AQ62" s="750"/>
      <c r="AR62" s="750"/>
      <c r="AS62" s="750"/>
    </row>
    <row r="63" spans="1:45" s="751" customFormat="1" ht="33.75" customHeight="1" hidden="1" outlineLevel="1">
      <c r="A63" s="2115" t="s">
        <v>196</v>
      </c>
      <c r="B63" s="2116"/>
      <c r="C63" s="2116"/>
      <c r="D63" s="2116"/>
      <c r="E63" s="2116"/>
      <c r="F63" s="2116"/>
      <c r="G63" s="1184">
        <v>49737</v>
      </c>
      <c r="H63" s="693">
        <v>30349</v>
      </c>
      <c r="I63" s="771">
        <f t="shared" si="21"/>
        <v>2124.4300000000003</v>
      </c>
      <c r="J63" s="1226">
        <f t="shared" si="22"/>
        <v>32473.43</v>
      </c>
      <c r="K63" s="772">
        <f>SUM(L$28,L$29,L$30,L$31)</f>
        <v>49737</v>
      </c>
      <c r="L63" s="771">
        <f>SUM(M$28,M$29,M$30,M$31)</f>
        <v>20444</v>
      </c>
      <c r="M63" s="1185">
        <f t="shared" si="28"/>
        <v>1431.0800000000002</v>
      </c>
      <c r="N63" s="1187">
        <f t="shared" si="34"/>
        <v>21875.08</v>
      </c>
      <c r="O63" s="772">
        <f>SUM(O$28,O$29,O$30,O$31)</f>
        <v>40530</v>
      </c>
      <c r="P63" s="771">
        <f>SUM(P$28,P$29,P$30,P$31)</f>
        <v>15207</v>
      </c>
      <c r="Q63" s="1185">
        <f t="shared" si="18"/>
        <v>1064.49</v>
      </c>
      <c r="R63" s="1776">
        <f t="shared" si="35"/>
        <v>16271.49</v>
      </c>
      <c r="S63" s="1184">
        <f t="shared" si="23"/>
        <v>9207</v>
      </c>
      <c r="T63" s="1184">
        <f t="shared" si="24"/>
        <v>5237</v>
      </c>
      <c r="U63" s="1184">
        <f t="shared" si="19"/>
        <v>366.59000000000015</v>
      </c>
      <c r="V63" s="1187">
        <f t="shared" si="25"/>
        <v>5603.59</v>
      </c>
      <c r="W63" s="772">
        <f>SUM(V$28,V$29,V$30,V$31)</f>
        <v>9247</v>
      </c>
      <c r="X63" s="771">
        <f>SUM(W$28,W$29,W$30,W$31)</f>
        <v>11902</v>
      </c>
      <c r="Y63" s="770">
        <f t="shared" si="29"/>
        <v>833.1400000000001</v>
      </c>
      <c r="Z63" s="1458">
        <f t="shared" si="26"/>
        <v>12735.14</v>
      </c>
      <c r="AA63" s="771">
        <f>SUM(Y$28,Y$29,Y$30,Y$31)</f>
        <v>0</v>
      </c>
      <c r="AB63" s="771">
        <f>SUM(Z$28,Z$29,Z$30,Z$31)</f>
        <v>0</v>
      </c>
      <c r="AC63" s="770">
        <f t="shared" si="30"/>
        <v>0</v>
      </c>
      <c r="AD63" s="1458"/>
      <c r="AE63" s="771">
        <f t="shared" si="31"/>
        <v>9247</v>
      </c>
      <c r="AF63" s="771">
        <f t="shared" si="32"/>
        <v>11902</v>
      </c>
      <c r="AG63" s="771">
        <f t="shared" si="33"/>
        <v>833.1400000000001</v>
      </c>
      <c r="AH63" s="1568">
        <f t="shared" si="27"/>
        <v>12735.14</v>
      </c>
      <c r="AI63" s="769"/>
      <c r="AJ63" s="769"/>
      <c r="AK63" s="984"/>
      <c r="AL63" s="781"/>
      <c r="AM63" s="769"/>
      <c r="AN63" s="769"/>
      <c r="AO63" s="769"/>
      <c r="AP63" s="750"/>
      <c r="AQ63" s="750"/>
      <c r="AR63" s="750"/>
      <c r="AS63" s="750"/>
    </row>
    <row r="64" spans="1:45" s="751" customFormat="1" ht="33.75" customHeight="1" hidden="1" outlineLevel="1">
      <c r="A64" s="2115" t="s">
        <v>421</v>
      </c>
      <c r="B64" s="2116"/>
      <c r="C64" s="2116"/>
      <c r="D64" s="2116"/>
      <c r="E64" s="2116"/>
      <c r="F64" s="2116"/>
      <c r="G64" s="1184">
        <v>0</v>
      </c>
      <c r="H64" s="693">
        <v>56075</v>
      </c>
      <c r="I64" s="771">
        <f t="shared" si="21"/>
        <v>3925.2500000000005</v>
      </c>
      <c r="J64" s="1226">
        <f t="shared" si="22"/>
        <v>60000.25</v>
      </c>
      <c r="K64" s="772"/>
      <c r="L64" s="771">
        <f>SUM(M$9,M$20)</f>
        <v>28037</v>
      </c>
      <c r="M64" s="1185">
        <f t="shared" si="28"/>
        <v>1962.5900000000001</v>
      </c>
      <c r="N64" s="1187">
        <f t="shared" si="34"/>
        <v>29999.59</v>
      </c>
      <c r="O64" s="772"/>
      <c r="P64" s="771">
        <f>SUM(P$9,P$20)</f>
        <v>15637</v>
      </c>
      <c r="Q64" s="1185">
        <f t="shared" si="18"/>
        <v>1094.5900000000001</v>
      </c>
      <c r="R64" s="1776">
        <f t="shared" si="35"/>
        <v>16731.59</v>
      </c>
      <c r="S64" s="1184">
        <f t="shared" si="23"/>
        <v>0</v>
      </c>
      <c r="T64" s="1184">
        <f t="shared" si="24"/>
        <v>12400</v>
      </c>
      <c r="U64" s="1184">
        <f t="shared" si="19"/>
        <v>868</v>
      </c>
      <c r="V64" s="1187">
        <f t="shared" si="25"/>
        <v>13268</v>
      </c>
      <c r="W64" s="1184">
        <v>0</v>
      </c>
      <c r="X64" s="771">
        <f>SUM(X$9,X$20)</f>
        <v>12400</v>
      </c>
      <c r="Y64" s="770">
        <f t="shared" si="29"/>
        <v>868.0000000000001</v>
      </c>
      <c r="Z64" s="1458">
        <f t="shared" si="26"/>
        <v>13268</v>
      </c>
      <c r="AA64" s="771"/>
      <c r="AB64" s="771">
        <f>SUM(AB$9,AB$20)</f>
        <v>0</v>
      </c>
      <c r="AC64" s="770">
        <f t="shared" si="30"/>
        <v>0</v>
      </c>
      <c r="AD64" s="1458"/>
      <c r="AE64" s="771">
        <f t="shared" si="31"/>
        <v>0</v>
      </c>
      <c r="AF64" s="771">
        <f t="shared" si="32"/>
        <v>12400</v>
      </c>
      <c r="AG64" s="771">
        <f t="shared" si="33"/>
        <v>868.0000000000001</v>
      </c>
      <c r="AH64" s="1568">
        <f t="shared" si="27"/>
        <v>13268</v>
      </c>
      <c r="AI64" s="769"/>
      <c r="AJ64" s="769"/>
      <c r="AK64" s="984"/>
      <c r="AL64" s="781"/>
      <c r="AM64" s="769"/>
      <c r="AN64" s="769"/>
      <c r="AO64" s="769"/>
      <c r="AP64" s="750"/>
      <c r="AQ64" s="750"/>
      <c r="AR64" s="750"/>
      <c r="AS64" s="750"/>
    </row>
    <row r="65" spans="1:45" s="825" customFormat="1" ht="33.75" customHeight="1" hidden="1" outlineLevel="1">
      <c r="A65" s="2115" t="s">
        <v>360</v>
      </c>
      <c r="B65" s="2116"/>
      <c r="C65" s="2116"/>
      <c r="D65" s="2116"/>
      <c r="E65" s="2116"/>
      <c r="F65" s="2116"/>
      <c r="G65" s="1184">
        <v>235346</v>
      </c>
      <c r="H65" s="1184">
        <v>111000</v>
      </c>
      <c r="I65" s="771">
        <f t="shared" si="21"/>
        <v>7770.000000000001</v>
      </c>
      <c r="J65" s="1226">
        <f t="shared" si="22"/>
        <v>118770</v>
      </c>
      <c r="K65" s="772">
        <f>SUM(L$14,L$15)</f>
        <v>23818</v>
      </c>
      <c r="L65" s="771">
        <f>SUM(M$14,M$15)</f>
        <v>32006</v>
      </c>
      <c r="M65" s="1185">
        <f t="shared" si="28"/>
        <v>2240.42</v>
      </c>
      <c r="N65" s="1187">
        <f t="shared" si="34"/>
        <v>34246.42</v>
      </c>
      <c r="O65" s="772">
        <f>SUM(O$14,O$15)</f>
        <v>32328</v>
      </c>
      <c r="P65" s="771">
        <f>SUM(P$14,P$15)</f>
        <v>32006</v>
      </c>
      <c r="Q65" s="1185">
        <f t="shared" si="18"/>
        <v>2240.42</v>
      </c>
      <c r="R65" s="1776">
        <f t="shared" si="35"/>
        <v>34246.42</v>
      </c>
      <c r="S65" s="1184">
        <f t="shared" si="23"/>
        <v>-8510</v>
      </c>
      <c r="T65" s="1184">
        <f t="shared" si="24"/>
        <v>0</v>
      </c>
      <c r="U65" s="1184">
        <f t="shared" si="19"/>
        <v>0</v>
      </c>
      <c r="V65" s="1187">
        <f>SUM(T65:U65)</f>
        <v>0</v>
      </c>
      <c r="W65" s="772">
        <f>SUM(V$14,V$15)</f>
        <v>0</v>
      </c>
      <c r="X65" s="771">
        <f>SUM(W$14,W$15)</f>
        <v>0</v>
      </c>
      <c r="Y65" s="770">
        <f t="shared" si="29"/>
        <v>0</v>
      </c>
      <c r="Z65" s="1458"/>
      <c r="AA65" s="771">
        <f>SUM(Y$14,Y$15)</f>
        <v>0</v>
      </c>
      <c r="AB65" s="771">
        <f>SUM(Z$14,Z$15)</f>
        <v>0</v>
      </c>
      <c r="AC65" s="770">
        <f t="shared" si="30"/>
        <v>0</v>
      </c>
      <c r="AD65" s="1458"/>
      <c r="AE65" s="771">
        <f t="shared" si="31"/>
        <v>0</v>
      </c>
      <c r="AF65" s="771">
        <f t="shared" si="32"/>
        <v>0</v>
      </c>
      <c r="AG65" s="771">
        <f t="shared" si="33"/>
        <v>0</v>
      </c>
      <c r="AH65" s="1568"/>
      <c r="AI65" s="2191"/>
      <c r="AJ65" s="2191"/>
      <c r="AK65" s="2191"/>
      <c r="AL65" s="781"/>
      <c r="AM65" s="769"/>
      <c r="AN65" s="769"/>
      <c r="AO65" s="769"/>
      <c r="AP65" s="769"/>
      <c r="AQ65" s="769"/>
      <c r="AR65" s="769"/>
      <c r="AS65" s="769"/>
    </row>
    <row r="66" spans="1:45" s="751" customFormat="1" ht="35.25" customHeight="1" hidden="1" outlineLevel="1">
      <c r="A66" s="2115" t="s">
        <v>361</v>
      </c>
      <c r="B66" s="2116"/>
      <c r="C66" s="2116"/>
      <c r="D66" s="2116"/>
      <c r="E66" s="2116"/>
      <c r="F66" s="2116"/>
      <c r="G66" s="1184">
        <v>0</v>
      </c>
      <c r="H66" s="1184">
        <v>0</v>
      </c>
      <c r="I66" s="771">
        <f t="shared" si="21"/>
        <v>0</v>
      </c>
      <c r="J66" s="1226">
        <f t="shared" si="22"/>
        <v>0</v>
      </c>
      <c r="K66" s="1184">
        <v>0</v>
      </c>
      <c r="L66" s="1184">
        <v>0</v>
      </c>
      <c r="M66" s="1185">
        <f t="shared" si="28"/>
        <v>0</v>
      </c>
      <c r="N66" s="1187"/>
      <c r="O66" s="1184">
        <v>0</v>
      </c>
      <c r="P66" s="1184">
        <v>0</v>
      </c>
      <c r="Q66" s="1185">
        <f t="shared" si="18"/>
        <v>0</v>
      </c>
      <c r="R66" s="1776">
        <f>SUM(P66:Q66)</f>
        <v>0</v>
      </c>
      <c r="S66" s="1184">
        <f t="shared" si="23"/>
        <v>0</v>
      </c>
      <c r="T66" s="1184">
        <f t="shared" si="24"/>
        <v>0</v>
      </c>
      <c r="U66" s="1184">
        <f t="shared" si="19"/>
        <v>0</v>
      </c>
      <c r="V66" s="1187">
        <f>SUM(T66:U66)</f>
        <v>0</v>
      </c>
      <c r="W66" s="1184">
        <v>0</v>
      </c>
      <c r="X66" s="1184">
        <v>0</v>
      </c>
      <c r="Y66" s="770">
        <f t="shared" si="29"/>
        <v>0</v>
      </c>
      <c r="Z66" s="1458"/>
      <c r="AA66" s="771"/>
      <c r="AB66" s="771"/>
      <c r="AC66" s="770">
        <f t="shared" si="30"/>
        <v>0</v>
      </c>
      <c r="AD66" s="1458"/>
      <c r="AE66" s="771">
        <f t="shared" si="31"/>
        <v>0</v>
      </c>
      <c r="AF66" s="771">
        <f t="shared" si="32"/>
        <v>0</v>
      </c>
      <c r="AG66" s="771">
        <f t="shared" si="33"/>
        <v>0</v>
      </c>
      <c r="AH66" s="1568"/>
      <c r="AI66" s="1440"/>
      <c r="AJ66" s="1440"/>
      <c r="AK66" s="1445"/>
      <c r="AL66" s="781"/>
      <c r="AM66" s="769"/>
      <c r="AN66" s="769"/>
      <c r="AO66" s="769"/>
      <c r="AP66" s="750"/>
      <c r="AQ66" s="750"/>
      <c r="AR66" s="750"/>
      <c r="AS66" s="750"/>
    </row>
    <row r="67" spans="1:45" s="777" customFormat="1" ht="24" customHeight="1" hidden="1" outlineLevel="1">
      <c r="A67" s="2125" t="s">
        <v>422</v>
      </c>
      <c r="B67" s="2075"/>
      <c r="C67" s="2075"/>
      <c r="D67" s="2075"/>
      <c r="E67" s="2075"/>
      <c r="F67" s="2075"/>
      <c r="G67" s="1181">
        <f aca="true" t="shared" si="36" ref="G67:P67">SUM(G57:G66)</f>
        <v>447665</v>
      </c>
      <c r="H67" s="1208">
        <f t="shared" si="36"/>
        <v>300438</v>
      </c>
      <c r="I67" s="1208">
        <f t="shared" si="36"/>
        <v>21030.660000000003</v>
      </c>
      <c r="J67" s="1216">
        <f t="shared" si="36"/>
        <v>321468.66000000003</v>
      </c>
      <c r="K67" s="1211">
        <f t="shared" si="36"/>
        <v>103989</v>
      </c>
      <c r="L67" s="1209">
        <f t="shared" si="36"/>
        <v>140400</v>
      </c>
      <c r="M67" s="1209">
        <f t="shared" si="36"/>
        <v>9828</v>
      </c>
      <c r="N67" s="1210">
        <f t="shared" si="36"/>
        <v>150228</v>
      </c>
      <c r="O67" s="1211">
        <f t="shared" si="36"/>
        <v>82310</v>
      </c>
      <c r="P67" s="1209">
        <f t="shared" si="36"/>
        <v>91973</v>
      </c>
      <c r="Q67" s="1209">
        <f>P67*7%</f>
        <v>6438.110000000001</v>
      </c>
      <c r="R67" s="1210">
        <f>SUM(R57:R66)</f>
        <v>98411.11</v>
      </c>
      <c r="S67" s="1039">
        <f t="shared" si="23"/>
        <v>21679</v>
      </c>
      <c r="T67" s="1039">
        <f t="shared" si="24"/>
        <v>48427</v>
      </c>
      <c r="U67" s="1039">
        <f t="shared" si="19"/>
        <v>3389.8899999999994</v>
      </c>
      <c r="V67" s="1210">
        <f aca="true" t="shared" si="37" ref="V67:AB67">SUM(V57:V66)</f>
        <v>51816.89</v>
      </c>
      <c r="W67" s="1211">
        <f t="shared" si="37"/>
        <v>116010</v>
      </c>
      <c r="X67" s="1209">
        <f t="shared" si="37"/>
        <v>74845</v>
      </c>
      <c r="Y67" s="1209">
        <f t="shared" si="37"/>
        <v>5239.150000000001</v>
      </c>
      <c r="Z67" s="1210">
        <f t="shared" si="37"/>
        <v>80084.15</v>
      </c>
      <c r="AA67" s="1209">
        <f t="shared" si="37"/>
        <v>33650</v>
      </c>
      <c r="AB67" s="1209">
        <f t="shared" si="37"/>
        <v>0</v>
      </c>
      <c r="AC67" s="1209">
        <f>SUM(AC57:AC62)</f>
        <v>0</v>
      </c>
      <c r="AD67" s="1210">
        <f>SUM(AD57:AD62)</f>
        <v>0</v>
      </c>
      <c r="AE67" s="1209">
        <f>SUM(AE57:AE66)</f>
        <v>149660</v>
      </c>
      <c r="AF67" s="1209">
        <f>SUM(AF57:AF66)</f>
        <v>74845</v>
      </c>
      <c r="AG67" s="1209">
        <f>SUM(AG57:AG66)</f>
        <v>5239.150000000001</v>
      </c>
      <c r="AH67" s="1214">
        <f>SUM(AH57:AH66)</f>
        <v>80084.15</v>
      </c>
      <c r="AI67" s="1440"/>
      <c r="AJ67" s="1440"/>
      <c r="AK67" s="1445"/>
      <c r="AL67" s="786"/>
      <c r="AM67" s="776"/>
      <c r="AN67" s="776"/>
      <c r="AO67" s="776"/>
      <c r="AP67" s="1126"/>
      <c r="AQ67" s="1126"/>
      <c r="AR67" s="1126"/>
      <c r="AS67" s="1126"/>
    </row>
    <row r="68" spans="1:45" s="617" customFormat="1" ht="48.75" customHeight="1" hidden="1" outlineLevel="1">
      <c r="A68" s="2117" t="s">
        <v>426</v>
      </c>
      <c r="B68" s="2118"/>
      <c r="C68" s="2118"/>
      <c r="D68" s="2118"/>
      <c r="E68" s="2118"/>
      <c r="F68" s="2118"/>
      <c r="G68" s="944">
        <v>113709</v>
      </c>
      <c r="H68" s="839">
        <f>135020-3999</f>
        <v>131021</v>
      </c>
      <c r="I68" s="1182">
        <f>H68*7%</f>
        <v>9171.470000000001</v>
      </c>
      <c r="J68" s="1577">
        <f>SUM(H68:I68)</f>
        <v>140192.47</v>
      </c>
      <c r="K68" s="943">
        <f>SUM(L$26,L$40)</f>
        <v>30884</v>
      </c>
      <c r="L68" s="1182">
        <f>SUM(M$26,M$40)</f>
        <v>41625</v>
      </c>
      <c r="M68" s="1182">
        <f>L68*7%</f>
        <v>2913.7500000000005</v>
      </c>
      <c r="N68" s="1577">
        <f>SUM(L68:M68)</f>
        <v>44538.75</v>
      </c>
      <c r="O68" s="943">
        <f>SUM(O$26,O$40)</f>
        <v>16425</v>
      </c>
      <c r="P68" s="1182">
        <f>SUM(P$26,P$40)</f>
        <v>13127</v>
      </c>
      <c r="Q68" s="1182">
        <f>P68*7%-111</f>
        <v>807.8900000000001</v>
      </c>
      <c r="R68" s="1580">
        <f>SUM(P68:Q68)</f>
        <v>13934.89</v>
      </c>
      <c r="S68" s="1184">
        <f t="shared" si="23"/>
        <v>14459</v>
      </c>
      <c r="T68" s="1184">
        <f t="shared" si="24"/>
        <v>28498</v>
      </c>
      <c r="U68" s="1184">
        <f t="shared" si="19"/>
        <v>2105.8600000000006</v>
      </c>
      <c r="V68" s="1577">
        <f>SUM(T68:U68)</f>
        <v>30603.86</v>
      </c>
      <c r="W68" s="943">
        <f>SUM(V$26,V$40)</f>
        <v>66122.66</v>
      </c>
      <c r="X68" s="1182">
        <f>SUM(W$26,W$40)</f>
        <v>65621</v>
      </c>
      <c r="Y68" s="1182">
        <f>X68*7%</f>
        <v>4593.47</v>
      </c>
      <c r="Z68" s="1580">
        <f t="shared" si="26"/>
        <v>70214.47</v>
      </c>
      <c r="AA68" s="1182">
        <f>SUM(Y$26,Y$40)</f>
        <v>7110</v>
      </c>
      <c r="AB68" s="1182">
        <f>SUM(Z$26,Z$40)</f>
        <v>10356</v>
      </c>
      <c r="AC68" s="1182">
        <f>AB68*7%</f>
        <v>724.9200000000001</v>
      </c>
      <c r="AD68" s="1580">
        <f>SUM(AB68:AC68)</f>
        <v>11080.92</v>
      </c>
      <c r="AE68" s="1182">
        <f>SUM(W68,AA68)</f>
        <v>73232.66</v>
      </c>
      <c r="AF68" s="1182">
        <f>SUM(X68,AB68)</f>
        <v>75977</v>
      </c>
      <c r="AG68" s="1182">
        <f>SUM(Y68,AC68)</f>
        <v>5318.39</v>
      </c>
      <c r="AH68" s="1581">
        <f>SUM(AF68:AG68)</f>
        <v>81295.39</v>
      </c>
      <c r="AI68" s="1733">
        <f>X88</f>
        <v>81294.11</v>
      </c>
      <c r="AJ68" s="1732"/>
      <c r="AK68" s="1793"/>
      <c r="AL68" s="847"/>
      <c r="AM68" s="725"/>
      <c r="AN68" s="725"/>
      <c r="AO68" s="725"/>
      <c r="AP68" s="635"/>
      <c r="AQ68" s="635"/>
      <c r="AR68" s="635"/>
      <c r="AS68" s="635"/>
    </row>
    <row r="69" spans="1:45" s="1777" customFormat="1" ht="49.5" customHeight="1" hidden="1" outlineLevel="1">
      <c r="A69" s="2203" t="s">
        <v>427</v>
      </c>
      <c r="B69" s="2204"/>
      <c r="C69" s="2204"/>
      <c r="D69" s="2204"/>
      <c r="E69" s="2204"/>
      <c r="F69" s="2204"/>
      <c r="G69" s="1147">
        <f>SUM(G67:G68)</f>
        <v>561374</v>
      </c>
      <c r="H69" s="1148">
        <v>0</v>
      </c>
      <c r="I69" s="1149">
        <f>ROUND(G69*7%,1)</f>
        <v>39296.2</v>
      </c>
      <c r="J69" s="1163">
        <f>SUM(G69:I69)</f>
        <v>600670.2</v>
      </c>
      <c r="K69" s="1150">
        <f>K67+K68</f>
        <v>134873</v>
      </c>
      <c r="L69" s="1151"/>
      <c r="M69" s="1151">
        <f>K69*7%</f>
        <v>9441.11</v>
      </c>
      <c r="N69" s="1152">
        <f>SUM(K69:M69)</f>
        <v>144314.11</v>
      </c>
      <c r="O69" s="1150">
        <f>O67+O68</f>
        <v>98735</v>
      </c>
      <c r="P69" s="1151">
        <v>0</v>
      </c>
      <c r="Q69" s="1151">
        <f>O69*7%</f>
        <v>6911.450000000001</v>
      </c>
      <c r="R69" s="1153">
        <f>SUM(O69:Q69)</f>
        <v>105646.45</v>
      </c>
      <c r="S69" s="1154">
        <f t="shared" si="23"/>
        <v>36138</v>
      </c>
      <c r="T69" s="1154">
        <f t="shared" si="24"/>
        <v>0</v>
      </c>
      <c r="U69" s="1154">
        <f t="shared" si="19"/>
        <v>2529.66</v>
      </c>
      <c r="V69" s="1152">
        <f>SUM(S69:U69)</f>
        <v>38667.66</v>
      </c>
      <c r="W69" s="1150">
        <f>SUM(W67:W68)</f>
        <v>182132.66</v>
      </c>
      <c r="X69" s="1151">
        <v>0</v>
      </c>
      <c r="Y69" s="1151">
        <f>W69*7%</f>
        <v>12749.286200000002</v>
      </c>
      <c r="Z69" s="1153">
        <f>SUM(W69:Y69)</f>
        <v>194881.9462</v>
      </c>
      <c r="AA69" s="1151">
        <f>SUM(AA67:AA68)</f>
        <v>40760</v>
      </c>
      <c r="AB69" s="1151"/>
      <c r="AC69" s="1151">
        <f>AA69*7%</f>
        <v>2853.2000000000003</v>
      </c>
      <c r="AD69" s="1153">
        <f>SUM(AA69:AC69)</f>
        <v>43613.2</v>
      </c>
      <c r="AE69" s="1151">
        <f>SUM(AE67:AE68)</f>
        <v>222892.66</v>
      </c>
      <c r="AF69" s="1151">
        <v>0</v>
      </c>
      <c r="AG69" s="1151">
        <f>AE69*7%</f>
        <v>15602.486200000001</v>
      </c>
      <c r="AH69" s="1156">
        <f>SUM(AE69:AG69)</f>
        <v>238495.14620000002</v>
      </c>
      <c r="AI69" s="1734">
        <f>P88</f>
        <v>238498.46</v>
      </c>
      <c r="AJ69" s="1734"/>
      <c r="AK69" s="1793"/>
      <c r="AL69" s="779"/>
      <c r="AM69" s="1145"/>
      <c r="AN69" s="1145"/>
      <c r="AO69" s="1145"/>
      <c r="AP69" s="1769"/>
      <c r="AQ69" s="1769"/>
      <c r="AR69" s="1769"/>
      <c r="AS69" s="1769"/>
    </row>
    <row r="70" spans="1:45" s="1040" customFormat="1" ht="66" customHeight="1" hidden="1" outlineLevel="1" thickBot="1">
      <c r="A70" s="2119" t="s">
        <v>362</v>
      </c>
      <c r="B70" s="2120"/>
      <c r="C70" s="2120"/>
      <c r="D70" s="2120"/>
      <c r="E70" s="2120"/>
      <c r="F70" s="2120"/>
      <c r="G70" s="1778">
        <f>SUM(G69)</f>
        <v>561374</v>
      </c>
      <c r="H70" s="1778">
        <f>SUM(H68:H69)</f>
        <v>131021</v>
      </c>
      <c r="I70" s="1779">
        <f>SUM(I68:I69)</f>
        <v>48467.67</v>
      </c>
      <c r="J70" s="1780">
        <f>SUM(J68:J69)</f>
        <v>740862.6699999999</v>
      </c>
      <c r="K70" s="1781">
        <f>SUM(K69)</f>
        <v>134873</v>
      </c>
      <c r="L70" s="1779">
        <f>SUM(L68)</f>
        <v>41625</v>
      </c>
      <c r="M70" s="1779">
        <f>SUM(M68:M69)</f>
        <v>12354.86</v>
      </c>
      <c r="N70" s="1782">
        <f>SUM(K70:M70)</f>
        <v>188852.86</v>
      </c>
      <c r="O70" s="1783">
        <f>SUM(O69)</f>
        <v>98735</v>
      </c>
      <c r="P70" s="1778">
        <f>SUM(P68:P69)</f>
        <v>13127</v>
      </c>
      <c r="Q70" s="1779">
        <f>SUM(Q68:Q69)</f>
        <v>7719.340000000001</v>
      </c>
      <c r="R70" s="1784">
        <f>SUM(R68:R69)</f>
        <v>119581.34</v>
      </c>
      <c r="S70" s="1111">
        <f t="shared" si="23"/>
        <v>36138</v>
      </c>
      <c r="T70" s="1111">
        <f t="shared" si="24"/>
        <v>28498</v>
      </c>
      <c r="U70" s="1111">
        <f t="shared" si="19"/>
        <v>4635.5199999999995</v>
      </c>
      <c r="V70" s="1591">
        <f>SUM(S70:U70)</f>
        <v>69271.52</v>
      </c>
      <c r="W70" s="1781">
        <f>SUM(W69)</f>
        <v>182132.66</v>
      </c>
      <c r="X70" s="1779">
        <f>X68</f>
        <v>65621</v>
      </c>
      <c r="Y70" s="1779">
        <f>SUM(Y68:Y69)</f>
        <v>17342.756200000003</v>
      </c>
      <c r="Z70" s="1785">
        <f>SUM(W70:Y70)</f>
        <v>265096.4162</v>
      </c>
      <c r="AA70" s="1779">
        <f>SUM(AA69)</f>
        <v>40760</v>
      </c>
      <c r="AB70" s="1779">
        <f>AB68</f>
        <v>10356</v>
      </c>
      <c r="AC70" s="1779">
        <f>SUM(AC68:AC69)</f>
        <v>3578.1200000000003</v>
      </c>
      <c r="AD70" s="1785">
        <f>SUM(AA70:AC70)</f>
        <v>54694.12</v>
      </c>
      <c r="AE70" s="1779">
        <f>SUM(AE69)</f>
        <v>222892.66</v>
      </c>
      <c r="AF70" s="1779">
        <f>AF68</f>
        <v>75977</v>
      </c>
      <c r="AG70" s="1779">
        <f>AG68+AG69</f>
        <v>20920.876200000002</v>
      </c>
      <c r="AH70" s="1786">
        <f>SUM(AE70:AG70)</f>
        <v>319790.53620000003</v>
      </c>
      <c r="AI70" s="1448">
        <f>Y88</f>
        <v>319792.57</v>
      </c>
      <c r="AJ70" s="1448"/>
      <c r="AK70" s="1445"/>
      <c r="AL70" s="1121"/>
      <c r="AM70" s="776"/>
      <c r="AN70" s="776"/>
      <c r="AO70" s="776"/>
      <c r="AP70" s="1038"/>
      <c r="AQ70" s="1038"/>
      <c r="AR70" s="1038"/>
      <c r="AS70" s="1038"/>
    </row>
    <row r="71" spans="1:45" s="1040" customFormat="1" ht="41.25" customHeight="1" hidden="1" outlineLevel="1" thickBot="1" thickTop="1">
      <c r="A71" s="2121" t="s">
        <v>146</v>
      </c>
      <c r="B71" s="2122"/>
      <c r="C71" s="2122"/>
      <c r="D71" s="2122"/>
      <c r="E71" s="2122"/>
      <c r="F71" s="2122"/>
      <c r="G71" s="1787">
        <f>G70</f>
        <v>561374</v>
      </c>
      <c r="H71" s="1787">
        <f>H70+H67</f>
        <v>431459</v>
      </c>
      <c r="I71" s="1787">
        <f>SUM(I70+I67)</f>
        <v>69498.33</v>
      </c>
      <c r="J71" s="1788">
        <f>SUM(J70,J67)</f>
        <v>1062331.33</v>
      </c>
      <c r="K71" s="1720">
        <f>SUM(K70)</f>
        <v>134873</v>
      </c>
      <c r="L71" s="1713">
        <f>SUM(L67+L70)</f>
        <v>182025</v>
      </c>
      <c r="M71" s="1713">
        <f>SUM(M67+M70)</f>
        <v>22182.86</v>
      </c>
      <c r="N71" s="1714">
        <f>SUM(K71:M71)</f>
        <v>339080.86</v>
      </c>
      <c r="O71" s="1720">
        <f>O70</f>
        <v>98735</v>
      </c>
      <c r="P71" s="1713">
        <f>SUM(P67:P68)</f>
        <v>105100</v>
      </c>
      <c r="Q71" s="1713">
        <f>SUM(Q67:Q69)</f>
        <v>14157.45</v>
      </c>
      <c r="R71" s="1189">
        <f>SUM(O71:Q71)</f>
        <v>217992.45</v>
      </c>
      <c r="S71" s="1789">
        <f t="shared" si="23"/>
        <v>36138</v>
      </c>
      <c r="T71" s="1789">
        <f t="shared" si="24"/>
        <v>76925</v>
      </c>
      <c r="U71" s="1789">
        <f t="shared" si="19"/>
        <v>8025.41</v>
      </c>
      <c r="V71" s="1790">
        <f>SUM(V67:V69)</f>
        <v>121088.41</v>
      </c>
      <c r="W71" s="1720">
        <f>SUM(W70)</f>
        <v>182132.66</v>
      </c>
      <c r="X71" s="1713">
        <f>SUM(X67:X68)</f>
        <v>140466</v>
      </c>
      <c r="Y71" s="1713">
        <f>SUM(Y70+Y67)</f>
        <v>22581.906200000005</v>
      </c>
      <c r="Z71" s="1718">
        <f>SUM(Z70+Z67)</f>
        <v>345180.5662</v>
      </c>
      <c r="AA71" s="1720">
        <f>SUM(AA70)</f>
        <v>40760</v>
      </c>
      <c r="AB71" s="1713">
        <f>AB67+AB68</f>
        <v>10356</v>
      </c>
      <c r="AC71" s="1713">
        <f>AC67+AC68+AC69</f>
        <v>3578.1200000000003</v>
      </c>
      <c r="AD71" s="1718">
        <f>SUM(AD70+AD67)</f>
        <v>54694.12</v>
      </c>
      <c r="AE71" s="1720">
        <f>SUM(AE70)</f>
        <v>222892.66</v>
      </c>
      <c r="AF71" s="1713">
        <f>AF67+AF68</f>
        <v>150822</v>
      </c>
      <c r="AG71" s="1713">
        <f>SUM(AG67:AG69)</f>
        <v>26160.0262</v>
      </c>
      <c r="AH71" s="1791">
        <f>SUM(AE71:AG71)</f>
        <v>399874.68620000005</v>
      </c>
      <c r="AI71" s="776"/>
      <c r="AJ71" s="776"/>
      <c r="AK71" s="786"/>
      <c r="AL71" s="1121"/>
      <c r="AM71" s="776"/>
      <c r="AN71" s="776"/>
      <c r="AO71" s="776"/>
      <c r="AP71" s="1038"/>
      <c r="AQ71" s="1038"/>
      <c r="AR71" s="1038"/>
      <c r="AS71" s="1038"/>
    </row>
    <row r="72" spans="1:41" ht="15" customHeight="1" collapsed="1">
      <c r="A72" s="626"/>
      <c r="B72" s="626"/>
      <c r="C72" s="789"/>
      <c r="D72" s="789"/>
      <c r="E72" s="789"/>
      <c r="F72" s="789"/>
      <c r="G72" s="789"/>
      <c r="H72" s="791"/>
      <c r="I72" s="791"/>
      <c r="J72" s="792"/>
      <c r="K72" s="626"/>
      <c r="L72" s="626"/>
      <c r="M72" s="626"/>
      <c r="N72" s="626"/>
      <c r="O72" s="794"/>
      <c r="P72" s="794"/>
      <c r="Q72" s="794"/>
      <c r="R72" s="989"/>
      <c r="S72" s="794"/>
      <c r="T72" s="794"/>
      <c r="U72" s="794"/>
      <c r="X72" s="794"/>
      <c r="Y72" s="989"/>
      <c r="AE72" s="794"/>
      <c r="AF72" s="794"/>
      <c r="AG72" s="794"/>
      <c r="AI72" s="793"/>
      <c r="AJ72" s="793"/>
      <c r="AK72" s="793"/>
      <c r="AL72" s="793"/>
      <c r="AM72" s="793"/>
      <c r="AN72" s="793"/>
      <c r="AO72" s="793"/>
    </row>
    <row r="73" spans="7:37" ht="15" hidden="1" outlineLevel="1">
      <c r="G73" s="817" t="s">
        <v>123</v>
      </c>
      <c r="H73" s="815" t="s">
        <v>531</v>
      </c>
      <c r="R73" s="989" t="s">
        <v>132</v>
      </c>
      <c r="AI73" s="793"/>
      <c r="AJ73" s="793"/>
      <c r="AK73" s="793"/>
    </row>
    <row r="74" spans="3:42" s="797" customFormat="1" ht="76.5" customHeight="1" hidden="1" outlineLevel="1">
      <c r="C74" s="798"/>
      <c r="D74" s="798"/>
      <c r="E74" s="798"/>
      <c r="G74" s="799"/>
      <c r="H74" s="1222" t="s">
        <v>106</v>
      </c>
      <c r="I74" s="1222" t="s">
        <v>107</v>
      </c>
      <c r="J74" s="1222" t="s">
        <v>116</v>
      </c>
      <c r="K74" s="1222" t="s">
        <v>459</v>
      </c>
      <c r="L74" s="1222" t="s">
        <v>111</v>
      </c>
      <c r="M74" s="1222" t="s">
        <v>110</v>
      </c>
      <c r="N74" s="1222" t="s">
        <v>108</v>
      </c>
      <c r="O74" s="1222" t="s">
        <v>109</v>
      </c>
      <c r="P74" s="1221" t="s">
        <v>118</v>
      </c>
      <c r="Q74" s="1083"/>
      <c r="R74" s="1221"/>
      <c r="S74" s="1222" t="s">
        <v>106</v>
      </c>
      <c r="T74" s="1222" t="s">
        <v>107</v>
      </c>
      <c r="U74" s="1222" t="s">
        <v>116</v>
      </c>
      <c r="V74" s="1222" t="s">
        <v>108</v>
      </c>
      <c r="W74" s="1222" t="s">
        <v>109</v>
      </c>
      <c r="X74" s="1221" t="s">
        <v>118</v>
      </c>
      <c r="Y74" s="1221" t="s">
        <v>484</v>
      </c>
      <c r="Z74" s="1084"/>
      <c r="AA74" s="800"/>
      <c r="AB74" s="800"/>
      <c r="AC74" s="800"/>
      <c r="AD74" s="800"/>
      <c r="AE74" s="800"/>
      <c r="AF74" s="800"/>
      <c r="AG74" s="800"/>
      <c r="AH74" s="800"/>
      <c r="AI74" s="994"/>
      <c r="AJ74" s="994"/>
      <c r="AK74" s="994"/>
      <c r="AL74" s="800"/>
      <c r="AM74" s="800"/>
      <c r="AN74" s="800"/>
      <c r="AO74" s="800"/>
      <c r="AP74" s="800"/>
    </row>
    <row r="75" spans="3:42" s="797" customFormat="1" ht="27.75" customHeight="1" hidden="1" outlineLevel="1">
      <c r="C75" s="798"/>
      <c r="D75" s="798"/>
      <c r="E75" s="798"/>
      <c r="G75" s="799"/>
      <c r="H75" s="1628" t="s">
        <v>112</v>
      </c>
      <c r="I75" s="1628" t="s">
        <v>113</v>
      </c>
      <c r="J75" s="1628" t="s">
        <v>114</v>
      </c>
      <c r="K75" s="1628" t="s">
        <v>115</v>
      </c>
      <c r="L75" s="1628" t="s">
        <v>117</v>
      </c>
      <c r="M75" s="1628" t="s">
        <v>125</v>
      </c>
      <c r="N75" s="1628" t="s">
        <v>126</v>
      </c>
      <c r="O75" s="1628" t="s">
        <v>127</v>
      </c>
      <c r="P75" s="1629" t="s">
        <v>128</v>
      </c>
      <c r="R75" s="1221"/>
      <c r="S75" s="1736" t="s">
        <v>112</v>
      </c>
      <c r="T75" s="1736" t="s">
        <v>113</v>
      </c>
      <c r="U75" s="1736" t="s">
        <v>114</v>
      </c>
      <c r="V75" s="1736" t="s">
        <v>115</v>
      </c>
      <c r="W75" s="1736" t="s">
        <v>129</v>
      </c>
      <c r="X75" s="1739" t="s">
        <v>130</v>
      </c>
      <c r="Y75" s="1792"/>
      <c r="Z75" s="1084"/>
      <c r="AA75" s="800"/>
      <c r="AB75" s="800"/>
      <c r="AC75" s="800"/>
      <c r="AD75" s="800"/>
      <c r="AE75" s="800"/>
      <c r="AF75" s="800"/>
      <c r="AG75" s="800"/>
      <c r="AH75" s="800"/>
      <c r="AI75" s="994"/>
      <c r="AJ75" s="994"/>
      <c r="AK75" s="994"/>
      <c r="AL75" s="800"/>
      <c r="AM75" s="800"/>
      <c r="AN75" s="800"/>
      <c r="AO75" s="800"/>
      <c r="AP75" s="800"/>
    </row>
    <row r="76" spans="3:42" s="615" customFormat="1" ht="30" customHeight="1" hidden="1" outlineLevel="1">
      <c r="C76" s="1085"/>
      <c r="D76" s="1085"/>
      <c r="E76" s="1085"/>
      <c r="G76" s="726" t="s">
        <v>358</v>
      </c>
      <c r="H76" s="1086">
        <v>16500</v>
      </c>
      <c r="I76" s="1086">
        <v>2503.43</v>
      </c>
      <c r="J76" s="1086">
        <v>1000</v>
      </c>
      <c r="K76" s="1086">
        <v>540.18</v>
      </c>
      <c r="L76" s="1087">
        <f>O49</f>
        <v>691</v>
      </c>
      <c r="M76" s="659">
        <f aca="true" t="shared" si="38" ref="M76:M87">L76-K76</f>
        <v>150.82000000000005</v>
      </c>
      <c r="N76" s="659">
        <f aca="true" t="shared" si="39" ref="N76:N87">K76+M76</f>
        <v>691</v>
      </c>
      <c r="O76" s="659">
        <f aca="true" t="shared" si="40" ref="O76:O87">J76-N76</f>
        <v>309</v>
      </c>
      <c r="P76" s="1088">
        <f aca="true" t="shared" si="41" ref="P76:P87">H76-I76-N76</f>
        <v>13305.57</v>
      </c>
      <c r="R76" s="996" t="s">
        <v>358</v>
      </c>
      <c r="S76" s="805">
        <v>1500</v>
      </c>
      <c r="T76" s="805">
        <v>711</v>
      </c>
      <c r="U76" s="805">
        <v>500</v>
      </c>
      <c r="V76" s="701">
        <f>P49</f>
        <v>289</v>
      </c>
      <c r="W76" s="701">
        <f>U76-V76</f>
        <v>211</v>
      </c>
      <c r="X76" s="806">
        <f>S76-T76-V76</f>
        <v>500</v>
      </c>
      <c r="Y76" s="807">
        <f>P76+X76</f>
        <v>13805.57</v>
      </c>
      <c r="Z76" s="619"/>
      <c r="AA76" s="618"/>
      <c r="AB76" s="618"/>
      <c r="AC76" s="618"/>
      <c r="AD76" s="618"/>
      <c r="AE76" s="618"/>
      <c r="AF76" s="618"/>
      <c r="AG76" s="618"/>
      <c r="AH76" s="618"/>
      <c r="AI76" s="725"/>
      <c r="AJ76" s="725"/>
      <c r="AK76" s="725"/>
      <c r="AL76" s="618"/>
      <c r="AM76" s="618"/>
      <c r="AN76" s="618"/>
      <c r="AO76" s="618"/>
      <c r="AP76" s="618"/>
    </row>
    <row r="77" spans="3:42" s="615" customFormat="1" ht="30" customHeight="1" hidden="1" outlineLevel="1">
      <c r="C77" s="1085"/>
      <c r="D77" s="1085"/>
      <c r="E77" s="1085"/>
      <c r="G77" s="639" t="s">
        <v>357</v>
      </c>
      <c r="H77" s="1089">
        <v>97300</v>
      </c>
      <c r="I77" s="1089">
        <v>6280.1</v>
      </c>
      <c r="J77" s="1089">
        <v>27384</v>
      </c>
      <c r="K77" s="1089">
        <v>18767.26</v>
      </c>
      <c r="L77" s="1090">
        <f>O42</f>
        <v>14659</v>
      </c>
      <c r="M77" s="713">
        <f t="shared" si="38"/>
        <v>-4108.259999999998</v>
      </c>
      <c r="N77" s="713">
        <f t="shared" si="39"/>
        <v>14659</v>
      </c>
      <c r="O77" s="713">
        <f t="shared" si="40"/>
        <v>12725</v>
      </c>
      <c r="P77" s="1091">
        <f t="shared" si="41"/>
        <v>76360.9</v>
      </c>
      <c r="R77" s="996" t="s">
        <v>357</v>
      </c>
      <c r="S77" s="805">
        <v>68066</v>
      </c>
      <c r="T77" s="805">
        <f>24210+8615</f>
        <v>32825</v>
      </c>
      <c r="U77" s="805">
        <v>38200</v>
      </c>
      <c r="V77" s="701">
        <f>P42</f>
        <v>12838</v>
      </c>
      <c r="W77" s="701">
        <f>U77-V77</f>
        <v>25362</v>
      </c>
      <c r="X77" s="806">
        <f>S77-T77-V77</f>
        <v>22403</v>
      </c>
      <c r="Y77" s="807">
        <f aca="true" t="shared" si="42" ref="Y77:Y88">P77+X77</f>
        <v>98763.9</v>
      </c>
      <c r="Z77" s="619"/>
      <c r="AA77" s="618"/>
      <c r="AB77" s="618"/>
      <c r="AC77" s="618"/>
      <c r="AD77" s="618"/>
      <c r="AE77" s="618"/>
      <c r="AF77" s="618"/>
      <c r="AG77" s="618"/>
      <c r="AH77" s="618"/>
      <c r="AI77" s="725"/>
      <c r="AJ77" s="725"/>
      <c r="AK77" s="725"/>
      <c r="AL77" s="618"/>
      <c r="AM77" s="618"/>
      <c r="AN77" s="618"/>
      <c r="AO77" s="618"/>
      <c r="AP77" s="618"/>
    </row>
    <row r="78" spans="3:42" s="615" customFormat="1" ht="30" customHeight="1" hidden="1" outlineLevel="1">
      <c r="C78" s="1085"/>
      <c r="D78" s="1085"/>
      <c r="E78" s="1085"/>
      <c r="G78" s="639" t="s">
        <v>423</v>
      </c>
      <c r="H78" s="1089">
        <v>0</v>
      </c>
      <c r="I78" s="1089">
        <v>0</v>
      </c>
      <c r="J78" s="1089">
        <v>0</v>
      </c>
      <c r="K78" s="1089">
        <v>0</v>
      </c>
      <c r="L78" s="1090">
        <f>O48</f>
        <v>0</v>
      </c>
      <c r="M78" s="713">
        <f t="shared" si="38"/>
        <v>0</v>
      </c>
      <c r="N78" s="713">
        <f t="shared" si="39"/>
        <v>0</v>
      </c>
      <c r="O78" s="713">
        <f t="shared" si="40"/>
        <v>0</v>
      </c>
      <c r="P78" s="1091">
        <f t="shared" si="41"/>
        <v>0</v>
      </c>
      <c r="R78" s="996" t="s">
        <v>423</v>
      </c>
      <c r="S78" s="805">
        <v>3000</v>
      </c>
      <c r="T78" s="805">
        <v>0</v>
      </c>
      <c r="U78" s="805">
        <v>1000</v>
      </c>
      <c r="V78" s="701"/>
      <c r="W78" s="701">
        <f aca="true" t="shared" si="43" ref="W78:W87">U78-V78</f>
        <v>1000</v>
      </c>
      <c r="X78" s="806">
        <f aca="true" t="shared" si="44" ref="X78:X87">S78-T78-V78</f>
        <v>3000</v>
      </c>
      <c r="Y78" s="807">
        <f t="shared" si="42"/>
        <v>3000</v>
      </c>
      <c r="Z78" s="619"/>
      <c r="AA78" s="618"/>
      <c r="AB78" s="618"/>
      <c r="AC78" s="618"/>
      <c r="AD78" s="618"/>
      <c r="AE78" s="618"/>
      <c r="AF78" s="618"/>
      <c r="AG78" s="618"/>
      <c r="AH78" s="618"/>
      <c r="AI78" s="725"/>
      <c r="AJ78" s="725"/>
      <c r="AK78" s="725"/>
      <c r="AL78" s="618"/>
      <c r="AM78" s="618"/>
      <c r="AN78" s="618"/>
      <c r="AO78" s="618"/>
      <c r="AP78" s="618"/>
    </row>
    <row r="79" spans="3:42" s="615" customFormat="1" ht="30" customHeight="1" hidden="1" outlineLevel="1">
      <c r="C79" s="1085"/>
      <c r="D79" s="1085"/>
      <c r="E79" s="1085"/>
      <c r="G79" s="639" t="s">
        <v>334</v>
      </c>
      <c r="H79" s="1089">
        <v>0</v>
      </c>
      <c r="I79" s="1089">
        <v>0</v>
      </c>
      <c r="J79" s="1089">
        <v>0</v>
      </c>
      <c r="K79" s="1089">
        <v>0</v>
      </c>
      <c r="L79" s="1090">
        <f>0</f>
        <v>0</v>
      </c>
      <c r="M79" s="713">
        <f t="shared" si="38"/>
        <v>0</v>
      </c>
      <c r="N79" s="713">
        <f t="shared" si="39"/>
        <v>0</v>
      </c>
      <c r="O79" s="713">
        <f t="shared" si="40"/>
        <v>0</v>
      </c>
      <c r="P79" s="1091">
        <f t="shared" si="41"/>
        <v>0</v>
      </c>
      <c r="R79" s="996" t="s">
        <v>334</v>
      </c>
      <c r="S79" s="805">
        <v>0</v>
      </c>
      <c r="T79" s="805">
        <v>0</v>
      </c>
      <c r="U79" s="805">
        <v>0</v>
      </c>
      <c r="V79" s="701"/>
      <c r="W79" s="701">
        <f t="shared" si="43"/>
        <v>0</v>
      </c>
      <c r="X79" s="806">
        <f t="shared" si="44"/>
        <v>0</v>
      </c>
      <c r="Y79" s="807">
        <f t="shared" si="42"/>
        <v>0</v>
      </c>
      <c r="Z79" s="619"/>
      <c r="AA79" s="618"/>
      <c r="AB79" s="618"/>
      <c r="AC79" s="618"/>
      <c r="AD79" s="618"/>
      <c r="AE79" s="618"/>
      <c r="AF79" s="618"/>
      <c r="AG79" s="618"/>
      <c r="AH79" s="618"/>
      <c r="AI79" s="725"/>
      <c r="AJ79" s="725"/>
      <c r="AK79" s="725"/>
      <c r="AL79" s="618"/>
      <c r="AM79" s="618"/>
      <c r="AN79" s="618"/>
      <c r="AO79" s="618"/>
      <c r="AP79" s="618"/>
    </row>
    <row r="80" spans="3:42" s="615" customFormat="1" ht="30" customHeight="1" hidden="1" outlineLevel="1">
      <c r="C80" s="1085"/>
      <c r="D80" s="1085"/>
      <c r="E80" s="1085"/>
      <c r="G80" s="639" t="s">
        <v>120</v>
      </c>
      <c r="H80" s="1089">
        <v>0</v>
      </c>
      <c r="I80" s="1089">
        <v>0</v>
      </c>
      <c r="J80" s="1089">
        <v>0</v>
      </c>
      <c r="K80" s="1089">
        <v>0</v>
      </c>
      <c r="L80" s="1090">
        <v>0</v>
      </c>
      <c r="M80" s="713">
        <f t="shared" si="38"/>
        <v>0</v>
      </c>
      <c r="N80" s="713">
        <f t="shared" si="39"/>
        <v>0</v>
      </c>
      <c r="O80" s="713">
        <f t="shared" si="40"/>
        <v>0</v>
      </c>
      <c r="P80" s="1091">
        <f t="shared" si="41"/>
        <v>0</v>
      </c>
      <c r="R80" s="996" t="s">
        <v>120</v>
      </c>
      <c r="S80" s="805">
        <v>0</v>
      </c>
      <c r="T80" s="805">
        <v>0</v>
      </c>
      <c r="U80" s="805">
        <v>0</v>
      </c>
      <c r="V80" s="701"/>
      <c r="W80" s="701">
        <f t="shared" si="43"/>
        <v>0</v>
      </c>
      <c r="X80" s="806">
        <f t="shared" si="44"/>
        <v>0</v>
      </c>
      <c r="Y80" s="807">
        <f t="shared" si="42"/>
        <v>0</v>
      </c>
      <c r="Z80" s="619"/>
      <c r="AA80" s="618"/>
      <c r="AB80" s="618"/>
      <c r="AC80" s="618"/>
      <c r="AD80" s="618"/>
      <c r="AE80" s="618"/>
      <c r="AF80" s="618"/>
      <c r="AG80" s="618"/>
      <c r="AH80" s="618"/>
      <c r="AI80" s="725"/>
      <c r="AJ80" s="725"/>
      <c r="AK80" s="725"/>
      <c r="AL80" s="618"/>
      <c r="AM80" s="618"/>
      <c r="AN80" s="618"/>
      <c r="AO80" s="618"/>
      <c r="AP80" s="618"/>
    </row>
    <row r="81" spans="3:42" s="615" customFormat="1" ht="30" customHeight="1" hidden="1" outlineLevel="1">
      <c r="C81" s="1085"/>
      <c r="D81" s="1085"/>
      <c r="E81" s="1085"/>
      <c r="G81" s="639" t="s">
        <v>373</v>
      </c>
      <c r="H81" s="1089">
        <v>103400</v>
      </c>
      <c r="I81" s="1089">
        <v>12775.29</v>
      </c>
      <c r="J81" s="1089">
        <v>5459</v>
      </c>
      <c r="K81" s="1089">
        <v>3715.39</v>
      </c>
      <c r="L81" s="1090">
        <f>O24+O26</f>
        <v>4584</v>
      </c>
      <c r="M81" s="713">
        <f t="shared" si="38"/>
        <v>868.6100000000001</v>
      </c>
      <c r="N81" s="713">
        <f t="shared" si="39"/>
        <v>4584</v>
      </c>
      <c r="O81" s="713">
        <f t="shared" si="40"/>
        <v>875</v>
      </c>
      <c r="P81" s="1091">
        <f t="shared" si="41"/>
        <v>86040.70999999999</v>
      </c>
      <c r="R81" s="996" t="s">
        <v>373</v>
      </c>
      <c r="S81" s="805">
        <v>6988</v>
      </c>
      <c r="T81" s="805">
        <v>7451</v>
      </c>
      <c r="U81" s="805">
        <v>0</v>
      </c>
      <c r="V81" s="701"/>
      <c r="W81" s="701">
        <f t="shared" si="43"/>
        <v>0</v>
      </c>
      <c r="X81" s="806">
        <f t="shared" si="44"/>
        <v>-463</v>
      </c>
      <c r="Y81" s="807">
        <f t="shared" si="42"/>
        <v>85577.70999999999</v>
      </c>
      <c r="Z81" s="619"/>
      <c r="AA81" s="618"/>
      <c r="AB81" s="618"/>
      <c r="AC81" s="618"/>
      <c r="AD81" s="618"/>
      <c r="AE81" s="618"/>
      <c r="AF81" s="618"/>
      <c r="AG81" s="618"/>
      <c r="AH81" s="618"/>
      <c r="AI81" s="725"/>
      <c r="AJ81" s="725"/>
      <c r="AK81" s="725"/>
      <c r="AL81" s="618"/>
      <c r="AM81" s="618"/>
      <c r="AN81" s="618"/>
      <c r="AO81" s="618"/>
      <c r="AP81" s="618"/>
    </row>
    <row r="82" spans="3:42" s="615" customFormat="1" ht="30" customHeight="1" hidden="1" outlineLevel="1">
      <c r="C82" s="1085"/>
      <c r="D82" s="1085"/>
      <c r="E82" s="1085"/>
      <c r="G82" s="639" t="s">
        <v>335</v>
      </c>
      <c r="H82" s="1089">
        <v>0</v>
      </c>
      <c r="I82" s="1089">
        <v>0</v>
      </c>
      <c r="J82" s="1089">
        <v>0</v>
      </c>
      <c r="K82" s="1089">
        <v>0</v>
      </c>
      <c r="L82" s="1090">
        <v>0</v>
      </c>
      <c r="M82" s="713">
        <f t="shared" si="38"/>
        <v>0</v>
      </c>
      <c r="N82" s="713">
        <f t="shared" si="39"/>
        <v>0</v>
      </c>
      <c r="O82" s="713">
        <f t="shared" si="40"/>
        <v>0</v>
      </c>
      <c r="P82" s="1091">
        <f t="shared" si="41"/>
        <v>0</v>
      </c>
      <c r="R82" s="996" t="s">
        <v>335</v>
      </c>
      <c r="S82" s="805">
        <v>0</v>
      </c>
      <c r="T82" s="805">
        <v>0</v>
      </c>
      <c r="U82" s="805">
        <v>0</v>
      </c>
      <c r="V82" s="701"/>
      <c r="W82" s="701">
        <f t="shared" si="43"/>
        <v>0</v>
      </c>
      <c r="X82" s="806">
        <f t="shared" si="44"/>
        <v>0</v>
      </c>
      <c r="Y82" s="807">
        <f t="shared" si="42"/>
        <v>0</v>
      </c>
      <c r="Z82" s="619"/>
      <c r="AA82" s="618"/>
      <c r="AB82" s="618"/>
      <c r="AC82" s="618"/>
      <c r="AD82" s="618"/>
      <c r="AE82" s="618"/>
      <c r="AF82" s="618"/>
      <c r="AG82" s="618"/>
      <c r="AH82" s="618"/>
      <c r="AI82" s="725"/>
      <c r="AJ82" s="725"/>
      <c r="AK82" s="725"/>
      <c r="AL82" s="618"/>
      <c r="AM82" s="618"/>
      <c r="AN82" s="618"/>
      <c r="AO82" s="618"/>
      <c r="AP82" s="618"/>
    </row>
    <row r="83" spans="3:42" s="615" customFormat="1" ht="30" customHeight="1" hidden="1" outlineLevel="1">
      <c r="C83" s="1085"/>
      <c r="D83" s="1085"/>
      <c r="E83" s="1085"/>
      <c r="G83" s="639" t="s">
        <v>345</v>
      </c>
      <c r="H83" s="1089">
        <v>0</v>
      </c>
      <c r="I83" s="1089">
        <v>0</v>
      </c>
      <c r="J83" s="1089">
        <v>0</v>
      </c>
      <c r="K83" s="1089">
        <v>0</v>
      </c>
      <c r="L83" s="1090">
        <v>0</v>
      </c>
      <c r="M83" s="713">
        <f t="shared" si="38"/>
        <v>0</v>
      </c>
      <c r="N83" s="713">
        <f t="shared" si="39"/>
        <v>0</v>
      </c>
      <c r="O83" s="713">
        <f t="shared" si="40"/>
        <v>0</v>
      </c>
      <c r="P83" s="1091">
        <f t="shared" si="41"/>
        <v>0</v>
      </c>
      <c r="R83" s="996" t="s">
        <v>345</v>
      </c>
      <c r="S83" s="805">
        <v>0</v>
      </c>
      <c r="T83" s="805">
        <v>0</v>
      </c>
      <c r="U83" s="805">
        <v>0</v>
      </c>
      <c r="V83" s="701"/>
      <c r="W83" s="701">
        <f t="shared" si="43"/>
        <v>0</v>
      </c>
      <c r="X83" s="806">
        <f t="shared" si="44"/>
        <v>0</v>
      </c>
      <c r="Y83" s="807">
        <f t="shared" si="42"/>
        <v>0</v>
      </c>
      <c r="Z83" s="619"/>
      <c r="AA83" s="618"/>
      <c r="AB83" s="618"/>
      <c r="AC83" s="618"/>
      <c r="AD83" s="618"/>
      <c r="AE83" s="618"/>
      <c r="AF83" s="618"/>
      <c r="AG83" s="618"/>
      <c r="AH83" s="618"/>
      <c r="AI83" s="725"/>
      <c r="AJ83" s="725"/>
      <c r="AK83" s="725"/>
      <c r="AL83" s="618"/>
      <c r="AM83" s="618"/>
      <c r="AN83" s="618"/>
      <c r="AO83" s="618"/>
      <c r="AP83" s="618"/>
    </row>
    <row r="84" spans="3:42" s="615" customFormat="1" ht="30" customHeight="1" hidden="1" outlineLevel="1">
      <c r="C84" s="1085"/>
      <c r="D84" s="1085"/>
      <c r="E84" s="1085"/>
      <c r="G84" s="639" t="s">
        <v>363</v>
      </c>
      <c r="H84" s="1089">
        <v>331515</v>
      </c>
      <c r="I84" s="1089">
        <v>215861.65</v>
      </c>
      <c r="J84" s="1089">
        <v>98530</v>
      </c>
      <c r="K84" s="1089">
        <v>35054.64</v>
      </c>
      <c r="L84" s="1090">
        <f>O13+O15+O18+O22+O29+O31+O34+O36+O38</f>
        <v>77726</v>
      </c>
      <c r="M84" s="713">
        <f t="shared" si="38"/>
        <v>42671.36</v>
      </c>
      <c r="N84" s="713">
        <f t="shared" si="39"/>
        <v>77726</v>
      </c>
      <c r="O84" s="713">
        <f t="shared" si="40"/>
        <v>20804</v>
      </c>
      <c r="P84" s="1091">
        <f t="shared" si="41"/>
        <v>37927.350000000006</v>
      </c>
      <c r="R84" s="996" t="s">
        <v>363</v>
      </c>
      <c r="S84" s="805">
        <v>30715</v>
      </c>
      <c r="T84" s="805">
        <v>0</v>
      </c>
      <c r="U84" s="805">
        <v>0</v>
      </c>
      <c r="V84" s="701"/>
      <c r="W84" s="701">
        <f t="shared" si="43"/>
        <v>0</v>
      </c>
      <c r="X84" s="806">
        <f t="shared" si="44"/>
        <v>30715</v>
      </c>
      <c r="Y84" s="807">
        <f t="shared" si="42"/>
        <v>68642.35</v>
      </c>
      <c r="Z84" s="619"/>
      <c r="AA84" s="618"/>
      <c r="AB84" s="618"/>
      <c r="AC84" s="618"/>
      <c r="AD84" s="618"/>
      <c r="AE84" s="618"/>
      <c r="AF84" s="618"/>
      <c r="AG84" s="618"/>
      <c r="AH84" s="618"/>
      <c r="AI84" s="725"/>
      <c r="AJ84" s="725"/>
      <c r="AK84" s="725"/>
      <c r="AL84" s="618"/>
      <c r="AM84" s="618"/>
      <c r="AN84" s="618"/>
      <c r="AO84" s="618"/>
      <c r="AP84" s="618"/>
    </row>
    <row r="85" spans="3:42" s="615" customFormat="1" ht="30" customHeight="1" hidden="1" outlineLevel="1">
      <c r="C85" s="1085"/>
      <c r="D85" s="1085"/>
      <c r="E85" s="1085"/>
      <c r="G85" s="639" t="s">
        <v>359</v>
      </c>
      <c r="H85" s="1089">
        <v>2459</v>
      </c>
      <c r="I85" s="1089">
        <v>1758.98</v>
      </c>
      <c r="J85" s="1089">
        <v>1500</v>
      </c>
      <c r="K85" s="1089">
        <v>478.94</v>
      </c>
      <c r="L85" s="1090">
        <f>O50</f>
        <v>1075</v>
      </c>
      <c r="M85" s="713">
        <f t="shared" si="38"/>
        <v>596.06</v>
      </c>
      <c r="N85" s="713">
        <f t="shared" si="39"/>
        <v>1075</v>
      </c>
      <c r="O85" s="713">
        <f t="shared" si="40"/>
        <v>425</v>
      </c>
      <c r="P85" s="1091">
        <f t="shared" si="41"/>
        <v>-374.98</v>
      </c>
      <c r="R85" s="996" t="s">
        <v>359</v>
      </c>
      <c r="S85" s="805">
        <v>4201</v>
      </c>
      <c r="T85" s="805">
        <v>1317</v>
      </c>
      <c r="U85" s="805">
        <v>625</v>
      </c>
      <c r="V85" s="701"/>
      <c r="W85" s="701">
        <f t="shared" si="43"/>
        <v>625</v>
      </c>
      <c r="X85" s="806">
        <f t="shared" si="44"/>
        <v>2884</v>
      </c>
      <c r="Y85" s="807">
        <f t="shared" si="42"/>
        <v>2509.02</v>
      </c>
      <c r="Z85" s="619"/>
      <c r="AA85" s="618"/>
      <c r="AB85" s="618"/>
      <c r="AC85" s="618"/>
      <c r="AD85" s="618"/>
      <c r="AE85" s="618"/>
      <c r="AF85" s="618"/>
      <c r="AG85" s="618"/>
      <c r="AH85" s="618"/>
      <c r="AI85" s="725"/>
      <c r="AJ85" s="725"/>
      <c r="AK85" s="725"/>
      <c r="AL85" s="618"/>
      <c r="AM85" s="618"/>
      <c r="AN85" s="618"/>
      <c r="AO85" s="618"/>
      <c r="AP85" s="618"/>
    </row>
    <row r="86" spans="3:42" s="615" customFormat="1" ht="30" customHeight="1" hidden="1" outlineLevel="1">
      <c r="C86" s="1085"/>
      <c r="D86" s="1085"/>
      <c r="E86" s="1085"/>
      <c r="G86" s="639" t="s">
        <v>86</v>
      </c>
      <c r="H86" s="1089">
        <v>10200</v>
      </c>
      <c r="I86" s="1089">
        <v>0</v>
      </c>
      <c r="J86" s="1089">
        <v>1000</v>
      </c>
      <c r="K86" s="1089">
        <v>0</v>
      </c>
      <c r="L86" s="1090">
        <f>O41</f>
        <v>0</v>
      </c>
      <c r="M86" s="713">
        <f t="shared" si="38"/>
        <v>0</v>
      </c>
      <c r="N86" s="713">
        <f t="shared" si="39"/>
        <v>0</v>
      </c>
      <c r="O86" s="713">
        <f t="shared" si="40"/>
        <v>1000</v>
      </c>
      <c r="P86" s="1091">
        <f t="shared" si="41"/>
        <v>10200</v>
      </c>
      <c r="R86" s="996" t="s">
        <v>86</v>
      </c>
      <c r="S86" s="805">
        <v>16550</v>
      </c>
      <c r="T86" s="805">
        <v>0</v>
      </c>
      <c r="U86" s="805">
        <v>1300</v>
      </c>
      <c r="V86" s="701"/>
      <c r="W86" s="701">
        <f t="shared" si="43"/>
        <v>1300</v>
      </c>
      <c r="X86" s="806">
        <f t="shared" si="44"/>
        <v>16550</v>
      </c>
      <c r="Y86" s="807">
        <f t="shared" si="42"/>
        <v>26750</v>
      </c>
      <c r="Z86" s="619"/>
      <c r="AA86" s="618"/>
      <c r="AB86" s="618"/>
      <c r="AC86" s="618"/>
      <c r="AD86" s="618"/>
      <c r="AE86" s="618"/>
      <c r="AF86" s="618"/>
      <c r="AG86" s="618"/>
      <c r="AH86" s="618"/>
      <c r="AI86" s="725"/>
      <c r="AJ86" s="725"/>
      <c r="AK86" s="725"/>
      <c r="AL86" s="618"/>
      <c r="AM86" s="618"/>
      <c r="AN86" s="618"/>
      <c r="AO86" s="618"/>
      <c r="AP86" s="618"/>
    </row>
    <row r="87" spans="3:42" s="615" customFormat="1" ht="30" customHeight="1" hidden="1" outlineLevel="1">
      <c r="C87" s="1085"/>
      <c r="D87" s="1085"/>
      <c r="E87" s="1085"/>
      <c r="G87" s="639" t="s">
        <v>87</v>
      </c>
      <c r="H87" s="1089">
        <v>39296</v>
      </c>
      <c r="I87" s="1089">
        <v>17345.64</v>
      </c>
      <c r="J87" s="1089">
        <v>9441</v>
      </c>
      <c r="K87" s="1089">
        <v>4098.95</v>
      </c>
      <c r="L87" s="1090">
        <f>O52</f>
        <v>6911.450000000001</v>
      </c>
      <c r="M87" s="713">
        <f t="shared" si="38"/>
        <v>2812.500000000001</v>
      </c>
      <c r="N87" s="713">
        <f t="shared" si="39"/>
        <v>6911.450000000001</v>
      </c>
      <c r="O87" s="713">
        <f t="shared" si="40"/>
        <v>2529.5499999999993</v>
      </c>
      <c r="P87" s="1091">
        <f t="shared" si="41"/>
        <v>15038.91</v>
      </c>
      <c r="R87" s="996" t="s">
        <v>87</v>
      </c>
      <c r="S87" s="805">
        <v>9171</v>
      </c>
      <c r="T87" s="805">
        <v>2658</v>
      </c>
      <c r="U87" s="805">
        <v>2914</v>
      </c>
      <c r="V87" s="1092">
        <f>SUM(V76:V86)*7%-111</f>
        <v>807.8900000000001</v>
      </c>
      <c r="W87" s="701">
        <f t="shared" si="43"/>
        <v>2106.1099999999997</v>
      </c>
      <c r="X87" s="806">
        <f t="shared" si="44"/>
        <v>5705.11</v>
      </c>
      <c r="Y87" s="807">
        <f t="shared" si="42"/>
        <v>20744.02</v>
      </c>
      <c r="Z87" s="619"/>
      <c r="AA87" s="618"/>
      <c r="AB87" s="618"/>
      <c r="AC87" s="618"/>
      <c r="AD87" s="618"/>
      <c r="AE87" s="618"/>
      <c r="AF87" s="618"/>
      <c r="AG87" s="618"/>
      <c r="AH87" s="618"/>
      <c r="AI87" s="725"/>
      <c r="AJ87" s="725"/>
      <c r="AK87" s="725"/>
      <c r="AL87" s="618"/>
      <c r="AM87" s="618"/>
      <c r="AN87" s="618"/>
      <c r="AO87" s="618"/>
      <c r="AP87" s="618"/>
    </row>
    <row r="88" spans="3:42" s="615" customFormat="1" ht="30" customHeight="1" hidden="1" outlineLevel="1">
      <c r="C88" s="1085"/>
      <c r="D88" s="1085"/>
      <c r="E88" s="1085"/>
      <c r="G88" s="755" t="s">
        <v>88</v>
      </c>
      <c r="H88" s="1093">
        <f aca="true" t="shared" si="45" ref="H88:P88">SUM(H76:H87)</f>
        <v>600670</v>
      </c>
      <c r="I88" s="1093">
        <f t="shared" si="45"/>
        <v>256525.09000000003</v>
      </c>
      <c r="J88" s="1093">
        <f t="shared" si="45"/>
        <v>144314</v>
      </c>
      <c r="K88" s="1093">
        <f t="shared" si="45"/>
        <v>62655.36</v>
      </c>
      <c r="L88" s="1094">
        <f t="shared" si="45"/>
        <v>105646.45</v>
      </c>
      <c r="M88" s="1095">
        <f t="shared" si="45"/>
        <v>42991.09</v>
      </c>
      <c r="N88" s="1095">
        <f t="shared" si="45"/>
        <v>105646.45</v>
      </c>
      <c r="O88" s="1095">
        <f t="shared" si="45"/>
        <v>38667.55</v>
      </c>
      <c r="P88" s="1096">
        <f t="shared" si="45"/>
        <v>238498.46</v>
      </c>
      <c r="R88" s="996" t="s">
        <v>88</v>
      </c>
      <c r="S88" s="811">
        <f aca="true" t="shared" si="46" ref="S88:X88">SUM(S76:S87)</f>
        <v>140191</v>
      </c>
      <c r="T88" s="811">
        <f t="shared" si="46"/>
        <v>44962</v>
      </c>
      <c r="U88" s="811">
        <f t="shared" si="46"/>
        <v>44539</v>
      </c>
      <c r="V88" s="1045">
        <f t="shared" si="46"/>
        <v>13934.89</v>
      </c>
      <c r="W88" s="1046">
        <f t="shared" si="46"/>
        <v>30604.11</v>
      </c>
      <c r="X88" s="1048">
        <f t="shared" si="46"/>
        <v>81294.11</v>
      </c>
      <c r="Y88" s="1097">
        <f t="shared" si="42"/>
        <v>319792.57</v>
      </c>
      <c r="Z88" s="619"/>
      <c r="AA88" s="618"/>
      <c r="AB88" s="618"/>
      <c r="AC88" s="618"/>
      <c r="AD88" s="618"/>
      <c r="AE88" s="618"/>
      <c r="AF88" s="618"/>
      <c r="AG88" s="618"/>
      <c r="AH88" s="618"/>
      <c r="AI88" s="725"/>
      <c r="AJ88" s="725"/>
      <c r="AK88" s="725"/>
      <c r="AL88" s="618"/>
      <c r="AM88" s="618"/>
      <c r="AN88" s="618"/>
      <c r="AO88" s="618"/>
      <c r="AP88" s="618"/>
    </row>
    <row r="89" spans="7:37" ht="15" hidden="1" outlineLevel="1">
      <c r="G89" s="817"/>
      <c r="H89" s="817"/>
      <c r="I89" s="817"/>
      <c r="J89" s="625"/>
      <c r="S89" s="817"/>
      <c r="AI89" s="793"/>
      <c r="AJ89" s="793"/>
      <c r="AK89" s="793"/>
    </row>
    <row r="90" spans="7:24" ht="15" hidden="1" outlineLevel="1">
      <c r="G90" s="635" t="s">
        <v>133</v>
      </c>
      <c r="H90" s="1098">
        <f aca="true" t="shared" si="47" ref="H90:P90">SUM(H76:H86)</f>
        <v>561374</v>
      </c>
      <c r="I90" s="1098">
        <f t="shared" si="47"/>
        <v>239179.45</v>
      </c>
      <c r="J90" s="1099">
        <f t="shared" si="47"/>
        <v>134873</v>
      </c>
      <c r="K90" s="1098">
        <f t="shared" si="47"/>
        <v>58556.41</v>
      </c>
      <c r="L90" s="1099">
        <f t="shared" si="47"/>
        <v>98735</v>
      </c>
      <c r="M90" s="1098">
        <f t="shared" si="47"/>
        <v>40178.59</v>
      </c>
      <c r="N90" s="1098">
        <f t="shared" si="47"/>
        <v>98735</v>
      </c>
      <c r="O90" s="1098">
        <f t="shared" si="47"/>
        <v>36138</v>
      </c>
      <c r="P90" s="1098">
        <f t="shared" si="47"/>
        <v>223459.55</v>
      </c>
      <c r="S90" s="1098">
        <f aca="true" t="shared" si="48" ref="S90:X90">SUM(S76:S86)</f>
        <v>131020</v>
      </c>
      <c r="T90" s="1098">
        <f t="shared" si="48"/>
        <v>42304</v>
      </c>
      <c r="U90" s="1098">
        <f t="shared" si="48"/>
        <v>41625</v>
      </c>
      <c r="V90" s="1098">
        <f t="shared" si="48"/>
        <v>13127</v>
      </c>
      <c r="W90" s="1098">
        <f t="shared" si="48"/>
        <v>28498</v>
      </c>
      <c r="X90" s="1098">
        <f t="shared" si="48"/>
        <v>75589</v>
      </c>
    </row>
    <row r="91" ht="15" hidden="1" outlineLevel="1"/>
    <row r="92" spans="3:45" s="1052" customFormat="1" ht="15" hidden="1" outlineLevel="1">
      <c r="C92" s="1100"/>
      <c r="D92" s="1100"/>
      <c r="E92" s="1100"/>
      <c r="F92" s="817"/>
      <c r="G92" s="817"/>
      <c r="H92" s="817"/>
      <c r="I92" s="625"/>
      <c r="J92" s="625"/>
      <c r="O92" s="1101"/>
      <c r="R92" s="1102"/>
      <c r="V92" s="1103"/>
      <c r="W92" s="1103"/>
      <c r="X92" s="1103"/>
      <c r="Y92" s="1104"/>
      <c r="Z92" s="1104"/>
      <c r="AA92" s="1103"/>
      <c r="AB92" s="1104"/>
      <c r="AC92" s="1104"/>
      <c r="AD92" s="1103"/>
      <c r="AE92" s="1103"/>
      <c r="AF92" s="1103"/>
      <c r="AG92" s="1103"/>
      <c r="AH92" s="1103"/>
      <c r="AI92" s="1103"/>
      <c r="AJ92" s="1103"/>
      <c r="AK92" s="1103"/>
      <c r="AL92" s="1103"/>
      <c r="AM92" s="1103"/>
      <c r="AN92" s="1103"/>
      <c r="AO92" s="1103"/>
      <c r="AP92" s="1103"/>
      <c r="AQ92" s="1103"/>
      <c r="AR92" s="1103"/>
      <c r="AS92" s="1103"/>
    </row>
    <row r="93" spans="3:45" s="1052" customFormat="1" ht="26.25" customHeight="1" collapsed="1">
      <c r="C93" s="1100"/>
      <c r="D93" s="1100"/>
      <c r="E93" s="1100"/>
      <c r="F93" s="1105"/>
      <c r="G93" s="1105"/>
      <c r="H93" s="1105"/>
      <c r="O93" s="1101"/>
      <c r="P93" s="1106"/>
      <c r="Q93" s="1106"/>
      <c r="R93" s="1108" t="s">
        <v>444</v>
      </c>
      <c r="S93" s="1110">
        <f>SUM(H88+S88)</f>
        <v>740861</v>
      </c>
      <c r="T93" s="1106"/>
      <c r="V93" s="1103"/>
      <c r="W93" s="1103"/>
      <c r="X93" s="1107">
        <f>SUM(P88+X88)</f>
        <v>319792.57</v>
      </c>
      <c r="Y93" s="1104"/>
      <c r="Z93" s="1104"/>
      <c r="AA93" s="1103"/>
      <c r="AB93" s="1104"/>
      <c r="AC93" s="1104"/>
      <c r="AD93" s="1103"/>
      <c r="AE93" s="1103"/>
      <c r="AF93" s="1103"/>
      <c r="AG93" s="1103"/>
      <c r="AH93" s="1103"/>
      <c r="AI93" s="1103"/>
      <c r="AJ93" s="1103"/>
      <c r="AK93" s="1103"/>
      <c r="AL93" s="1103"/>
      <c r="AM93" s="1103"/>
      <c r="AN93" s="1103"/>
      <c r="AO93" s="1103"/>
      <c r="AP93" s="1103"/>
      <c r="AQ93" s="1103"/>
      <c r="AR93" s="1103"/>
      <c r="AS93" s="1103"/>
    </row>
    <row r="94" spans="1:45" s="1052" customFormat="1" ht="30" customHeight="1">
      <c r="A94" s="1875" t="s">
        <v>202</v>
      </c>
      <c r="B94" s="1876"/>
      <c r="C94" s="1876"/>
      <c r="D94" s="1876"/>
      <c r="E94" s="1876"/>
      <c r="F94" s="1876"/>
      <c r="G94" s="1876"/>
      <c r="H94" s="1877"/>
      <c r="I94" s="1878"/>
      <c r="J94" s="1877"/>
      <c r="K94" s="1876"/>
      <c r="L94" s="1876"/>
      <c r="M94" s="1876"/>
      <c r="N94" s="1876"/>
      <c r="O94" s="1876"/>
      <c r="P94" s="1877"/>
      <c r="Q94" s="1877"/>
      <c r="R94" s="1878"/>
      <c r="S94" s="1878"/>
      <c r="T94" s="1878"/>
      <c r="U94" s="1878"/>
      <c r="V94" s="1878"/>
      <c r="W94" s="1878"/>
      <c r="X94" s="1878"/>
      <c r="Y94" s="1877"/>
      <c r="Z94" s="1877"/>
      <c r="AA94" s="1879"/>
      <c r="AB94" s="1877"/>
      <c r="AC94" s="1877"/>
      <c r="AD94" s="1877"/>
      <c r="AE94" s="1103"/>
      <c r="AF94" s="1103"/>
      <c r="AG94" s="1103"/>
      <c r="AH94" s="1103"/>
      <c r="AI94" s="1103"/>
      <c r="AJ94" s="1103"/>
      <c r="AK94" s="1103"/>
      <c r="AL94" s="1103"/>
      <c r="AM94" s="1103"/>
      <c r="AN94" s="1103"/>
      <c r="AO94" s="1103"/>
      <c r="AP94" s="1103"/>
      <c r="AQ94" s="1103"/>
      <c r="AR94" s="1103"/>
      <c r="AS94" s="1103"/>
    </row>
    <row r="95" spans="1:45" s="1052" customFormat="1" ht="30" customHeight="1">
      <c r="A95" s="1875" t="s">
        <v>532</v>
      </c>
      <c r="B95" s="1876"/>
      <c r="C95" s="1876"/>
      <c r="D95" s="1876"/>
      <c r="E95" s="1876"/>
      <c r="F95" s="1876"/>
      <c r="G95" s="1876"/>
      <c r="H95" s="1876"/>
      <c r="I95" s="1880"/>
      <c r="J95" s="1881"/>
      <c r="K95" s="1876"/>
      <c r="L95" s="1876"/>
      <c r="M95" s="1876"/>
      <c r="N95" s="1876"/>
      <c r="O95" s="1882"/>
      <c r="P95" s="1876"/>
      <c r="Q95" s="1876"/>
      <c r="R95" s="1875"/>
      <c r="S95" s="1876"/>
      <c r="T95" s="1876"/>
      <c r="U95" s="1875"/>
      <c r="V95" s="1877"/>
      <c r="W95" s="1877"/>
      <c r="X95" s="1878"/>
      <c r="Y95" s="1878"/>
      <c r="Z95" s="1878"/>
      <c r="AA95" s="1879"/>
      <c r="AB95" s="1875" t="s">
        <v>545</v>
      </c>
      <c r="AC95" s="1876"/>
      <c r="AD95" s="1876"/>
      <c r="AE95" s="1103"/>
      <c r="AF95" s="1103"/>
      <c r="AG95" s="1103"/>
      <c r="AH95" s="1103"/>
      <c r="AI95" s="1103"/>
      <c r="AJ95" s="1103"/>
      <c r="AK95" s="1103"/>
      <c r="AL95" s="1103"/>
      <c r="AM95" s="1103"/>
      <c r="AN95" s="1103"/>
      <c r="AO95" s="1103"/>
      <c r="AP95" s="1103"/>
      <c r="AQ95" s="1103"/>
      <c r="AR95" s="1103"/>
      <c r="AS95" s="1103"/>
    </row>
    <row r="96" spans="1:30" ht="30" customHeight="1">
      <c r="A96" s="1876"/>
      <c r="B96" s="1876"/>
      <c r="C96" s="1876"/>
      <c r="D96" s="1876"/>
      <c r="E96" s="1876"/>
      <c r="F96" s="1876"/>
      <c r="G96" s="1876"/>
      <c r="H96" s="1876"/>
      <c r="I96" s="1880"/>
      <c r="J96" s="1881"/>
      <c r="K96" s="1876"/>
      <c r="L96" s="1876"/>
      <c r="M96" s="1876"/>
      <c r="N96" s="1876"/>
      <c r="O96" s="1882"/>
      <c r="P96" s="1876"/>
      <c r="Q96" s="1876"/>
      <c r="R96" s="1875"/>
      <c r="S96" s="1876"/>
      <c r="T96" s="1876"/>
      <c r="U96" s="1875"/>
      <c r="V96" s="1877"/>
      <c r="W96" s="1877"/>
      <c r="X96" s="1878"/>
      <c r="Y96" s="1878"/>
      <c r="Z96" s="1878"/>
      <c r="AA96" s="1879"/>
      <c r="AB96" s="1875" t="s">
        <v>546</v>
      </c>
      <c r="AC96" s="1876"/>
      <c r="AD96" s="1876"/>
    </row>
    <row r="97" spans="1:30" ht="30" customHeight="1">
      <c r="A97" s="1876"/>
      <c r="B97" s="1876"/>
      <c r="C97" s="1876"/>
      <c r="D97" s="1876"/>
      <c r="E97" s="1876"/>
      <c r="F97" s="1876"/>
      <c r="G97" s="1876"/>
      <c r="H97" s="1876"/>
      <c r="I97" s="1880"/>
      <c r="J97" s="1881"/>
      <c r="K97" s="1876"/>
      <c r="L97" s="1876"/>
      <c r="M97" s="1876"/>
      <c r="N97" s="1876"/>
      <c r="O97" s="1882"/>
      <c r="P97" s="1876"/>
      <c r="Q97" s="1876"/>
      <c r="R97" s="1875"/>
      <c r="S97" s="1876"/>
      <c r="T97" s="1876"/>
      <c r="U97" s="1875"/>
      <c r="V97" s="1877"/>
      <c r="W97" s="1877"/>
      <c r="X97" s="1878"/>
      <c r="Y97" s="1878"/>
      <c r="Z97" s="1878"/>
      <c r="AA97" s="1879"/>
      <c r="AB97" s="1876"/>
      <c r="AC97" s="1876"/>
      <c r="AD97" s="1876"/>
    </row>
    <row r="98" spans="1:30" ht="30" customHeight="1">
      <c r="A98" s="1876"/>
      <c r="B98" s="1876"/>
      <c r="C98" s="1876"/>
      <c r="D98" s="1876"/>
      <c r="E98" s="1876"/>
      <c r="F98" s="1876"/>
      <c r="G98" s="1876"/>
      <c r="H98" s="1876"/>
      <c r="I98" s="1880"/>
      <c r="J98" s="1881"/>
      <c r="K98" s="1876"/>
      <c r="L98" s="1876"/>
      <c r="M98" s="1876"/>
      <c r="N98" s="1876"/>
      <c r="O98" s="1882"/>
      <c r="P98" s="1876"/>
      <c r="Q98" s="1876"/>
      <c r="R98" s="1875"/>
      <c r="S98" s="1876"/>
      <c r="T98" s="1876"/>
      <c r="U98" s="1875"/>
      <c r="V98" s="1877"/>
      <c r="W98" s="1877"/>
      <c r="X98" s="1878"/>
      <c r="Y98" s="1878"/>
      <c r="Z98" s="1878"/>
      <c r="AA98" s="1879"/>
      <c r="AB98" s="1876"/>
      <c r="AC98" s="1876"/>
      <c r="AD98" s="1876"/>
    </row>
    <row r="99" spans="1:30" ht="30" customHeight="1">
      <c r="A99" s="1876"/>
      <c r="B99" s="1876"/>
      <c r="C99" s="1876"/>
      <c r="D99" s="1876"/>
      <c r="E99" s="1876"/>
      <c r="F99" s="1876"/>
      <c r="G99" s="1876"/>
      <c r="H99" s="1876"/>
      <c r="I99" s="1880"/>
      <c r="J99" s="1881"/>
      <c r="K99" s="1876"/>
      <c r="L99" s="1876"/>
      <c r="M99" s="1876"/>
      <c r="N99" s="1876"/>
      <c r="O99" s="1882"/>
      <c r="P99" s="1876"/>
      <c r="Q99" s="1876"/>
      <c r="R99" s="1875"/>
      <c r="S99" s="1876"/>
      <c r="T99" s="1876"/>
      <c r="U99" s="1875"/>
      <c r="V99" s="1877"/>
      <c r="W99" s="1877"/>
      <c r="X99" s="1878"/>
      <c r="Y99" s="1878"/>
      <c r="Z99" s="1878"/>
      <c r="AA99" s="1879"/>
      <c r="AB99" s="1876"/>
      <c r="AC99" s="1876"/>
      <c r="AD99" s="1876"/>
    </row>
    <row r="100" spans="1:30" ht="30" customHeight="1">
      <c r="A100" s="1875" t="s">
        <v>533</v>
      </c>
      <c r="B100" s="1876"/>
      <c r="C100" s="1883"/>
      <c r="D100" s="1883"/>
      <c r="E100" s="1883"/>
      <c r="F100" s="1883"/>
      <c r="G100" s="1883"/>
      <c r="H100" s="1884"/>
      <c r="I100" s="1880"/>
      <c r="J100" s="1881"/>
      <c r="K100" s="1876"/>
      <c r="L100" s="1876"/>
      <c r="M100" s="1876"/>
      <c r="N100" s="1876"/>
      <c r="O100" s="1882"/>
      <c r="P100" s="1876"/>
      <c r="Q100" s="1876"/>
      <c r="R100" s="1875"/>
      <c r="S100" s="1876"/>
      <c r="T100" s="1876"/>
      <c r="U100" s="1875"/>
      <c r="V100" s="1877"/>
      <c r="W100" s="1877"/>
      <c r="X100" s="1878"/>
      <c r="Y100" s="1878"/>
      <c r="Z100" s="1878"/>
      <c r="AA100" s="1879"/>
      <c r="AB100" s="1875" t="s">
        <v>547</v>
      </c>
      <c r="AC100" s="1881"/>
      <c r="AD100" s="1876"/>
    </row>
    <row r="101" spans="1:30" ht="30" customHeight="1">
      <c r="A101" s="1875" t="s">
        <v>534</v>
      </c>
      <c r="B101" s="1876"/>
      <c r="C101" s="1883"/>
      <c r="D101" s="1883"/>
      <c r="E101" s="1883"/>
      <c r="F101" s="1883"/>
      <c r="G101" s="1883"/>
      <c r="H101" s="1884"/>
      <c r="I101" s="1880"/>
      <c r="J101" s="1881"/>
      <c r="K101" s="1876"/>
      <c r="L101" s="1876"/>
      <c r="M101" s="1876"/>
      <c r="N101" s="1876"/>
      <c r="O101" s="1882"/>
      <c r="P101" s="1876"/>
      <c r="Q101" s="1876"/>
      <c r="R101" s="1875"/>
      <c r="S101" s="1876"/>
      <c r="T101" s="1876"/>
      <c r="U101" s="1875"/>
      <c r="V101" s="1877"/>
      <c r="W101" s="1877"/>
      <c r="X101" s="1878"/>
      <c r="Y101" s="1878"/>
      <c r="Z101" s="1878"/>
      <c r="AA101" s="1879"/>
      <c r="AB101" s="1875" t="s">
        <v>612</v>
      </c>
      <c r="AC101" s="1881"/>
      <c r="AD101" s="1876"/>
    </row>
    <row r="102" spans="1:30" ht="30" customHeight="1">
      <c r="A102" s="1876" t="s">
        <v>535</v>
      </c>
      <c r="B102" s="1876"/>
      <c r="C102" s="1883"/>
      <c r="D102" s="1883"/>
      <c r="E102" s="1883"/>
      <c r="F102" s="1883"/>
      <c r="G102" s="1883"/>
      <c r="H102" s="1884"/>
      <c r="I102" s="1880"/>
      <c r="J102" s="1881"/>
      <c r="K102" s="1876"/>
      <c r="L102" s="1876"/>
      <c r="M102" s="1876"/>
      <c r="N102" s="1876"/>
      <c r="O102" s="1882"/>
      <c r="P102" s="1876"/>
      <c r="Q102" s="1876"/>
      <c r="R102" s="1875"/>
      <c r="S102" s="1876"/>
      <c r="T102" s="1876"/>
      <c r="U102" s="1875"/>
      <c r="V102" s="1877"/>
      <c r="W102" s="1877"/>
      <c r="X102" s="1878"/>
      <c r="Y102" s="1878"/>
      <c r="Z102" s="1878"/>
      <c r="AA102" s="1879"/>
      <c r="AB102" s="1876" t="s">
        <v>535</v>
      </c>
      <c r="AC102" s="1881"/>
      <c r="AD102" s="1876"/>
    </row>
    <row r="103" spans="1:30" ht="30" customHeight="1">
      <c r="A103" s="1876"/>
      <c r="B103" s="1876"/>
      <c r="C103" s="1883"/>
      <c r="D103" s="1883"/>
      <c r="E103" s="1883"/>
      <c r="F103" s="1883"/>
      <c r="G103" s="1883"/>
      <c r="H103" s="1884"/>
      <c r="I103" s="1880"/>
      <c r="J103" s="1881"/>
      <c r="K103" s="1876"/>
      <c r="L103" s="1876"/>
      <c r="M103" s="1876"/>
      <c r="N103" s="1876"/>
      <c r="O103" s="1882"/>
      <c r="P103" s="1876"/>
      <c r="Q103" s="1876"/>
      <c r="R103" s="1875"/>
      <c r="S103" s="1876"/>
      <c r="T103" s="1876"/>
      <c r="U103" s="1875"/>
      <c r="V103" s="1877"/>
      <c r="W103" s="1877"/>
      <c r="X103" s="1878"/>
      <c r="Y103" s="1878"/>
      <c r="Z103" s="1878"/>
      <c r="AA103" s="1879"/>
      <c r="AB103" s="1878"/>
      <c r="AC103" s="1878"/>
      <c r="AD103" s="1877"/>
    </row>
    <row r="104" ht="30" customHeight="1"/>
    <row r="105" ht="30" customHeight="1"/>
    <row r="106" ht="30" customHeight="1"/>
    <row r="107" ht="30" customHeight="1"/>
    <row r="108" ht="30" customHeight="1"/>
    <row r="109" ht="30" customHeight="1"/>
    <row r="110" ht="30" customHeight="1"/>
    <row r="293" ht="15"/>
  </sheetData>
  <sheetProtection/>
  <mergeCells count="52">
    <mergeCell ref="A68:F68"/>
    <mergeCell ref="A69:F69"/>
    <mergeCell ref="A70:F70"/>
    <mergeCell ref="A71:F71"/>
    <mergeCell ref="A55:F56"/>
    <mergeCell ref="A62:F62"/>
    <mergeCell ref="A63:F63"/>
    <mergeCell ref="A64:F64"/>
    <mergeCell ref="A65:F65"/>
    <mergeCell ref="A66:F66"/>
    <mergeCell ref="A67:F67"/>
    <mergeCell ref="A57:F57"/>
    <mergeCell ref="A58:F58"/>
    <mergeCell ref="A59:F59"/>
    <mergeCell ref="A60:F60"/>
    <mergeCell ref="A61:F61"/>
    <mergeCell ref="A12:A15"/>
    <mergeCell ref="AI5:AK6"/>
    <mergeCell ref="AF5:AH6"/>
    <mergeCell ref="W55:Z55"/>
    <mergeCell ref="AA55:AD55"/>
    <mergeCell ref="L6:N6"/>
    <mergeCell ref="O6:Q6"/>
    <mergeCell ref="A11:J11"/>
    <mergeCell ref="A9:A10"/>
    <mergeCell ref="H5:J6"/>
    <mergeCell ref="A2:B2"/>
    <mergeCell ref="A3:K3"/>
    <mergeCell ref="A33:A38"/>
    <mergeCell ref="C5:G6"/>
    <mergeCell ref="A17:A26"/>
    <mergeCell ref="A1:J1"/>
    <mergeCell ref="A4:K4"/>
    <mergeCell ref="A5:A7"/>
    <mergeCell ref="B5:B7"/>
    <mergeCell ref="A8:J8"/>
    <mergeCell ref="AI65:AK65"/>
    <mergeCell ref="A28:A30"/>
    <mergeCell ref="AB6:AD6"/>
    <mergeCell ref="G55:J55"/>
    <mergeCell ref="AB2:AD2"/>
    <mergeCell ref="K55:N55"/>
    <mergeCell ref="AE55:AH55"/>
    <mergeCell ref="O55:R55"/>
    <mergeCell ref="S55:V55"/>
    <mergeCell ref="K5:K7"/>
    <mergeCell ref="L5:AD5"/>
    <mergeCell ref="R6:R7"/>
    <mergeCell ref="S6:U6"/>
    <mergeCell ref="V6:X6"/>
    <mergeCell ref="Y6:AA6"/>
  </mergeCells>
  <printOptions horizontalCentered="1"/>
  <pageMargins left="0.14" right="0" top="0.46" bottom="0.39" header="0.49" footer="0.23"/>
  <pageSetup horizontalDpi="600" verticalDpi="600" orientation="landscape" paperSize="9" scale="40" r:id="rId3"/>
  <headerFooter alignWithMargins="0">
    <oddFooter>&amp;RJPGE - AWP 2011 - March 2012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dc:creator>
  <cp:keywords/>
  <dc:description/>
  <cp:lastModifiedBy>nguyen.nhu.nguyet</cp:lastModifiedBy>
  <cp:lastPrinted>2011-08-15T02:38:11Z</cp:lastPrinted>
  <dcterms:created xsi:type="dcterms:W3CDTF">2008-11-06T12:15:41Z</dcterms:created>
  <dcterms:modified xsi:type="dcterms:W3CDTF">2011-08-15T02:39:29Z</dcterms:modified>
  <cp:category/>
  <cp:version/>
  <cp:contentType/>
  <cp:contentStatus/>
</cp:coreProperties>
</file>