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-135" windowWidth="15480" windowHeight="7485" activeTab="2"/>
  </bookViews>
  <sheets>
    <sheet name="FAO" sheetId="8" r:id="rId1"/>
    <sheet name="PMA" sheetId="7" r:id="rId2"/>
    <sheet name="OPS-OMS" sheetId="4" r:id="rId3"/>
    <sheet name="UNODC" sheetId="5" r:id="rId4"/>
    <sheet name="UNICEF" sheetId="6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D17" i="7" l="1"/>
  <c r="G16" i="7"/>
  <c r="F16" i="7"/>
  <c r="H16" i="7" s="1"/>
  <c r="F15" i="7"/>
  <c r="H15" i="7" s="1"/>
  <c r="G15" i="7"/>
  <c r="G14" i="7"/>
  <c r="F14" i="7"/>
  <c r="H14" i="7" s="1"/>
  <c r="F13" i="7"/>
  <c r="H13" i="7" s="1"/>
  <c r="G13" i="7"/>
  <c r="G12" i="7"/>
  <c r="E17" i="7"/>
  <c r="E18" i="7" s="1"/>
  <c r="F11" i="7"/>
  <c r="C17" i="7"/>
  <c r="C18" i="7" s="1"/>
  <c r="E19" i="7" l="1"/>
  <c r="D18" i="7"/>
  <c r="G18" i="7" s="1"/>
  <c r="C19" i="7"/>
  <c r="G17" i="7"/>
  <c r="H11" i="7"/>
  <c r="G11" i="7"/>
  <c r="F12" i="7"/>
  <c r="H12" i="7" s="1"/>
  <c r="E16" i="8"/>
  <c r="D16" i="8"/>
  <c r="D17" i="8" s="1"/>
  <c r="B16" i="8"/>
  <c r="B17" i="8" s="1"/>
  <c r="F15" i="8"/>
  <c r="C15" i="8"/>
  <c r="G15" i="8" s="1"/>
  <c r="G14" i="8"/>
  <c r="F14" i="8"/>
  <c r="H14" i="8" s="1"/>
  <c r="F13" i="8"/>
  <c r="C13" i="8"/>
  <c r="G13" i="8" s="1"/>
  <c r="G12" i="8"/>
  <c r="F12" i="8"/>
  <c r="H12" i="8" s="1"/>
  <c r="G11" i="8"/>
  <c r="F11" i="8"/>
  <c r="H11" i="8" s="1"/>
  <c r="F10" i="8"/>
  <c r="C10" i="8"/>
  <c r="C16" i="8" s="1"/>
  <c r="F16" i="8" l="1"/>
  <c r="H13" i="8"/>
  <c r="H15" i="8"/>
  <c r="D19" i="7"/>
  <c r="G19" i="7" s="1"/>
  <c r="F18" i="7"/>
  <c r="H18" i="7" s="1"/>
  <c r="F17" i="7"/>
  <c r="C17" i="8"/>
  <c r="C18" i="8" s="1"/>
  <c r="H16" i="8"/>
  <c r="H10" i="8"/>
  <c r="E17" i="8"/>
  <c r="F17" i="8" s="1"/>
  <c r="F18" i="8" s="1"/>
  <c r="B18" i="8"/>
  <c r="D18" i="8"/>
  <c r="G10" i="8"/>
  <c r="G16" i="8"/>
  <c r="M15" i="4"/>
  <c r="N17" i="4"/>
  <c r="L17" i="4"/>
  <c r="K17" i="4"/>
  <c r="K18" i="4"/>
  <c r="I17" i="4"/>
  <c r="F17" i="4"/>
  <c r="D17" i="4"/>
  <c r="J16" i="4"/>
  <c r="M16" i="4" s="1"/>
  <c r="C16" i="4"/>
  <c r="G16" i="4"/>
  <c r="O15" i="4"/>
  <c r="G15" i="4"/>
  <c r="J14" i="4"/>
  <c r="M14" i="4"/>
  <c r="C14" i="4"/>
  <c r="B14" i="4"/>
  <c r="B17" i="4" s="1"/>
  <c r="J13" i="4"/>
  <c r="H13" i="4"/>
  <c r="H17" i="4" s="1"/>
  <c r="C13" i="4"/>
  <c r="G13" i="4" s="1"/>
  <c r="J12" i="4"/>
  <c r="M12" i="4"/>
  <c r="P12" i="4" s="1"/>
  <c r="G12" i="4"/>
  <c r="O11" i="4"/>
  <c r="M11" i="4"/>
  <c r="J11" i="4"/>
  <c r="J17" i="4" s="1"/>
  <c r="E11" i="4"/>
  <c r="E17" i="4" s="1"/>
  <c r="C11" i="4"/>
  <c r="C17" i="4" s="1"/>
  <c r="O12" i="4"/>
  <c r="Q12" i="4" s="1"/>
  <c r="I18" i="4"/>
  <c r="I19" i="4" s="1"/>
  <c r="K19" i="4"/>
  <c r="M13" i="4"/>
  <c r="G14" i="4"/>
  <c r="L18" i="4"/>
  <c r="L19" i="4" s="1"/>
  <c r="N18" i="4"/>
  <c r="N19" i="4" s="1"/>
  <c r="B29" i="5"/>
  <c r="E28" i="5"/>
  <c r="D28" i="5"/>
  <c r="C28" i="5"/>
  <c r="E27" i="5"/>
  <c r="D27" i="5"/>
  <c r="C27" i="5"/>
  <c r="E26" i="5"/>
  <c r="D26" i="5"/>
  <c r="C26" i="5"/>
  <c r="E25" i="5"/>
  <c r="D25" i="5"/>
  <c r="C25" i="5"/>
  <c r="E24" i="5"/>
  <c r="E29" i="5" s="1"/>
  <c r="D24" i="5"/>
  <c r="C24" i="5"/>
  <c r="C29" i="5" s="1"/>
  <c r="M16" i="5"/>
  <c r="L16" i="5"/>
  <c r="L17" i="5"/>
  <c r="J16" i="5"/>
  <c r="J17" i="5"/>
  <c r="I16" i="5"/>
  <c r="I18" i="5" s="1"/>
  <c r="K18" i="5" s="1"/>
  <c r="G16" i="5"/>
  <c r="G17" i="5" s="1"/>
  <c r="F16" i="5"/>
  <c r="H16" i="5"/>
  <c r="E16" i="5"/>
  <c r="E17" i="5" s="1"/>
  <c r="E18" i="5" s="1"/>
  <c r="D16" i="5"/>
  <c r="C16" i="5"/>
  <c r="C17" i="5" s="1"/>
  <c r="B16" i="5"/>
  <c r="N15" i="5"/>
  <c r="K15" i="5"/>
  <c r="H15" i="5"/>
  <c r="N14" i="5"/>
  <c r="K14" i="5"/>
  <c r="H14" i="5"/>
  <c r="N13" i="5"/>
  <c r="K13" i="5"/>
  <c r="H13" i="5"/>
  <c r="N12" i="5"/>
  <c r="K12" i="5"/>
  <c r="H12" i="5"/>
  <c r="N11" i="5"/>
  <c r="K11" i="5"/>
  <c r="H11" i="5"/>
  <c r="E17" i="6"/>
  <c r="E19" i="6" s="1"/>
  <c r="C17" i="6"/>
  <c r="B17" i="6"/>
  <c r="G16" i="6"/>
  <c r="F16" i="6"/>
  <c r="H16" i="6"/>
  <c r="D15" i="6"/>
  <c r="F15" i="6" s="1"/>
  <c r="H15" i="6" s="1"/>
  <c r="D14" i="6"/>
  <c r="F14" i="6" s="1"/>
  <c r="H14" i="6" s="1"/>
  <c r="D13" i="6"/>
  <c r="F13" i="6" s="1"/>
  <c r="H13" i="6" s="1"/>
  <c r="D12" i="6"/>
  <c r="F12" i="6" s="1"/>
  <c r="D11" i="6"/>
  <c r="D17" i="6"/>
  <c r="G15" i="6"/>
  <c r="G11" i="6"/>
  <c r="G12" i="6"/>
  <c r="G13" i="6"/>
  <c r="G14" i="6"/>
  <c r="F11" i="6"/>
  <c r="H11" i="6" s="1"/>
  <c r="K17" i="5"/>
  <c r="K16" i="5"/>
  <c r="B17" i="5"/>
  <c r="B18" i="5"/>
  <c r="D17" i="5"/>
  <c r="D18" i="5"/>
  <c r="F17" i="5"/>
  <c r="M17" i="5"/>
  <c r="E30" i="5" s="1"/>
  <c r="F18" i="5"/>
  <c r="J18" i="5"/>
  <c r="L18" i="5"/>
  <c r="F24" i="5"/>
  <c r="H24" i="5" s="1"/>
  <c r="B30" i="5"/>
  <c r="B31" i="5" s="1"/>
  <c r="N16" i="5"/>
  <c r="D30" i="5"/>
  <c r="N17" i="5"/>
  <c r="C30" i="5" l="1"/>
  <c r="C31" i="5"/>
  <c r="H18" i="4"/>
  <c r="H19" i="4" s="1"/>
  <c r="E31" i="5"/>
  <c r="D19" i="6"/>
  <c r="D18" i="6"/>
  <c r="F18" i="6" s="1"/>
  <c r="B19" i="6"/>
  <c r="B18" i="6"/>
  <c r="G24" i="5"/>
  <c r="F25" i="5"/>
  <c r="H25" i="5" s="1"/>
  <c r="G25" i="5"/>
  <c r="F27" i="5"/>
  <c r="H27" i="5" s="1"/>
  <c r="G27" i="5"/>
  <c r="O14" i="4"/>
  <c r="Q14" i="4" s="1"/>
  <c r="P14" i="4"/>
  <c r="O16" i="4"/>
  <c r="Q16" i="4" s="1"/>
  <c r="P16" i="4"/>
  <c r="P15" i="4"/>
  <c r="C18" i="6"/>
  <c r="C19" i="6" s="1"/>
  <c r="G19" i="6" s="1"/>
  <c r="D29" i="5"/>
  <c r="F26" i="5"/>
  <c r="H26" i="5" s="1"/>
  <c r="G26" i="5"/>
  <c r="F28" i="5"/>
  <c r="H28" i="5" s="1"/>
  <c r="G28" i="5"/>
  <c r="O13" i="4"/>
  <c r="Q13" i="4" s="1"/>
  <c r="P13" i="4"/>
  <c r="Q15" i="4"/>
  <c r="H12" i="6"/>
  <c r="F17" i="6"/>
  <c r="G17" i="6"/>
  <c r="F30" i="5"/>
  <c r="G18" i="5"/>
  <c r="H18" i="5" s="1"/>
  <c r="H17" i="5"/>
  <c r="M18" i="5"/>
  <c r="N18" i="5" s="1"/>
  <c r="C18" i="5"/>
  <c r="E18" i="4"/>
  <c r="E19" i="4" s="1"/>
  <c r="C18" i="4"/>
  <c r="C19" i="4" s="1"/>
  <c r="J18" i="4"/>
  <c r="J19" i="4" s="1"/>
  <c r="B18" i="4"/>
  <c r="B19" i="4" s="1"/>
  <c r="M17" i="4"/>
  <c r="G11" i="4"/>
  <c r="G17" i="4" s="1"/>
  <c r="D18" i="4"/>
  <c r="D19" i="4" s="1"/>
  <c r="F19" i="7"/>
  <c r="H19" i="7" s="1"/>
  <c r="H17" i="7"/>
  <c r="G18" i="8"/>
  <c r="E18" i="8"/>
  <c r="H18" i="8"/>
  <c r="P17" i="4" l="1"/>
  <c r="G29" i="5"/>
  <c r="F29" i="5"/>
  <c r="H29" i="5" s="1"/>
  <c r="D31" i="5"/>
  <c r="Q11" i="4"/>
  <c r="P11" i="4"/>
  <c r="O17" i="4"/>
  <c r="F19" i="6"/>
  <c r="H19" i="6" s="1"/>
  <c r="H17" i="6"/>
  <c r="G18" i="4"/>
  <c r="G19" i="4"/>
  <c r="M18" i="4"/>
  <c r="M19" i="4"/>
  <c r="P19" i="4" s="1"/>
  <c r="F31" i="5" l="1"/>
  <c r="H31" i="5" s="1"/>
  <c r="G31" i="5"/>
  <c r="Q17" i="4"/>
  <c r="O18" i="4"/>
  <c r="O19" i="4" s="1"/>
  <c r="Q19" i="4" s="1"/>
</calcChain>
</file>

<file path=xl/sharedStrings.xml><?xml version="1.0" encoding="utf-8"?>
<sst xmlns="http://schemas.openxmlformats.org/spreadsheetml/2006/main" count="174" uniqueCount="83">
  <si>
    <t>F-ODM</t>
  </si>
  <si>
    <t>Organización de Naciones Unidas Participante</t>
  </si>
  <si>
    <t>Programa No:</t>
  </si>
  <si>
    <t>Presupuesto aprobado 
(total PC para Agencia)</t>
  </si>
  <si>
    <t>Total</t>
  </si>
  <si>
    <t>Gastos del programa</t>
  </si>
  <si>
    <t>Contratos</t>
  </si>
  <si>
    <t>Capacitación</t>
  </si>
  <si>
    <t>Viajes</t>
  </si>
  <si>
    <t>Gastos totales del programa</t>
  </si>
  <si>
    <t>Gastos indirectos de apoyo (7%)</t>
  </si>
  <si>
    <t xml:space="preserve">Gastos totales  </t>
  </si>
  <si>
    <t>Nombre del programa conjunto</t>
  </si>
  <si>
    <t>Misceláneos</t>
  </si>
  <si>
    <t>Mejorando la nutrición y la seguridad alimentaria de la niñez del Perú: Un enfoque de desarrollo de capacidades</t>
  </si>
  <si>
    <t>MDGF-2024</t>
  </si>
  <si>
    <r>
      <t>INFORME FINANCIERO</t>
    </r>
    <r>
      <rPr>
        <b/>
        <vertAlign val="superscript"/>
        <sz val="10"/>
        <color indexed="8"/>
        <rFont val="Arial Narrow"/>
        <family val="2"/>
      </rPr>
      <t xml:space="preserve"> (1)</t>
    </r>
  </si>
  <si>
    <t>Ratio total (E+C) / transferido</t>
  </si>
  <si>
    <t>Partida</t>
  </si>
  <si>
    <t xml:space="preserve">Monto total transferido  </t>
  </si>
  <si>
    <t>Monto ejecutado (desembolsado / gastado)</t>
  </si>
  <si>
    <t>Personal</t>
  </si>
  <si>
    <t>Bienes, suministros y equipos</t>
  </si>
  <si>
    <t>Ratio ejecución /  transferido</t>
  </si>
  <si>
    <t>Monto comprometido (*)</t>
  </si>
  <si>
    <t>FAO</t>
  </si>
  <si>
    <t>Al 31 marzo 2012</t>
  </si>
  <si>
    <t>INFORME FINANCIERO</t>
  </si>
  <si>
    <t>al 31 de Marzo 2012</t>
  </si>
  <si>
    <t>UNICEF</t>
  </si>
  <si>
    <t>Monto comprometido</t>
  </si>
  <si>
    <t>Gastos del programa *</t>
  </si>
  <si>
    <t>al 31 de marzo del 2012</t>
  </si>
  <si>
    <t>PRIMER AÑO</t>
  </si>
  <si>
    <t>30 Noviembre - SEGUNDO AÑO</t>
  </si>
  <si>
    <t>31 Marzo - TERCER AÑO</t>
  </si>
  <si>
    <t>Presupuesto Primer Ano</t>
  </si>
  <si>
    <t>Presupuesto Segundo Ano</t>
  </si>
  <si>
    <t>Presupuesto Tercer Ano</t>
  </si>
  <si>
    <t>1.1 Supplies, commodities, equipment and transport</t>
  </si>
  <si>
    <t>1.2 Personnel (staff, consultants, travel and training)</t>
  </si>
  <si>
    <t>1.3. Training of counterparts</t>
  </si>
  <si>
    <t>1.4 Contracts</t>
  </si>
  <si>
    <t>1.5. Other Direct Costs</t>
  </si>
  <si>
    <t>Total Direct Costs</t>
  </si>
  <si>
    <t>2.0. UN Agency Indirect Cost</t>
  </si>
  <si>
    <t>Grand Total</t>
  </si>
  <si>
    <t>Al 31 de marzo 2012</t>
  </si>
  <si>
    <t>PMA</t>
  </si>
  <si>
    <t xml:space="preserve">Ejecución (E) </t>
  </si>
  <si>
    <t>Total (E+C)</t>
  </si>
  <si>
    <t>Ratio ejecución / transferido (E/A)</t>
  </si>
  <si>
    <r>
      <t>Personal</t>
    </r>
    <r>
      <rPr>
        <vertAlign val="superscript"/>
        <sz val="10"/>
        <color indexed="8"/>
        <rFont val="Arial Narrow"/>
        <family val="2"/>
      </rPr>
      <t xml:space="preserve"> </t>
    </r>
  </si>
  <si>
    <t>Bienes, suministros y equipo</t>
  </si>
  <si>
    <t>OPS/OMS</t>
  </si>
  <si>
    <r>
      <t xml:space="preserve">Presupuesto total aprobado  para OPS/OMS </t>
    </r>
    <r>
      <rPr>
        <b/>
        <vertAlign val="superscript"/>
        <sz val="10"/>
        <color indexed="8"/>
        <rFont val="Arial Narrow"/>
        <family val="2"/>
      </rPr>
      <t>(2)</t>
    </r>
  </si>
  <si>
    <t>Presupuesto aprobado para año 1</t>
  </si>
  <si>
    <t>Presupuesto aprobado para año 2</t>
  </si>
  <si>
    <t>Presupuesto aprobado para año 3</t>
  </si>
  <si>
    <t>Ajustes en el presupuesto</t>
  </si>
  <si>
    <r>
      <t xml:space="preserve">Fondos recibidos para OPS/OMS años 1 al 3 </t>
    </r>
    <r>
      <rPr>
        <b/>
        <vertAlign val="superscript"/>
        <sz val="10"/>
        <rFont val="Arial Narrow"/>
        <family val="2"/>
      </rPr>
      <t>(4)</t>
    </r>
  </si>
  <si>
    <t>Total bienio 10-11</t>
  </si>
  <si>
    <t>Ejecutado</t>
  </si>
  <si>
    <r>
      <t>Personal</t>
    </r>
    <r>
      <rPr>
        <vertAlign val="superscript"/>
        <sz val="10"/>
        <color indexed="8"/>
        <rFont val="Arial Narrow"/>
        <family val="2"/>
      </rPr>
      <t xml:space="preserve"> (3)</t>
    </r>
  </si>
  <si>
    <t>Bienes y suministros y equipos</t>
  </si>
  <si>
    <t>Notas:</t>
  </si>
  <si>
    <t>(1)Este informe es referencial, el reporte financiero oficial será preparado por PAHO-HQ</t>
  </si>
  <si>
    <t>(2) En el año 1 se transfirieron US$32,100 a FAO para la adquisición de un vehículo. Este reporte refleja la transferencia efectuada.</t>
  </si>
  <si>
    <t>(3) Incluye viajes</t>
  </si>
  <si>
    <t>(4) Esta cifra incluye los siguientes ajustes presupuestarios para reflejar la cifra real estimada en el POA del Año 2:</t>
  </si>
  <si>
    <t>Bienes, suministros y equipos del proyecto: $40,000. La diferencia corresponde a gastos de capacitación del segundo año US$45,000</t>
  </si>
  <si>
    <t>Misceláneos: $39,522. La diferencia corresponde a gastos de personal del segundo año US$115,074</t>
  </si>
  <si>
    <t>(*) Se refiere a lo comprometido no desembolsado.</t>
  </si>
  <si>
    <t>Al 31 MARZO  2012</t>
  </si>
  <si>
    <t>MDGF-2012</t>
  </si>
  <si>
    <t>Presupuesto Transferido (A)</t>
  </si>
  <si>
    <t>Comprometido (*) (C)</t>
  </si>
  <si>
    <t>Comprometido (*)</t>
  </si>
  <si>
    <t xml:space="preserve">Ratio ejecución / transferido </t>
  </si>
  <si>
    <t>Ratio total / transferido</t>
  </si>
  <si>
    <t>UNODC</t>
  </si>
  <si>
    <t>REPORTE FINANCIERO CONSOLIDADO AL 31 MAR 2012</t>
  </si>
  <si>
    <t>(*) Comprometido = desembolsado.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</si>
</sst>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[$-409]d\-mmm\-yy;@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10"/>
      <name val="Calibri"/>
      <family val="2"/>
    </font>
    <font>
      <vertAlign val="superscript"/>
      <sz val="10"/>
      <color indexed="8"/>
      <name val="Arial Narrow"/>
      <family val="2"/>
    </font>
    <font>
      <b/>
      <vertAlign val="superscript"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9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46"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0" xfId="0" applyFont="1"/>
    <xf numFmtId="0" fontId="3" fillId="0" borderId="1" xfId="0" applyFont="1" applyBorder="1"/>
    <xf numFmtId="0" fontId="5" fillId="0" borderId="1" xfId="0" applyFont="1" applyBorder="1"/>
    <xf numFmtId="4" fontId="3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3" fillId="6" borderId="2" xfId="0" applyNumberFormat="1" applyFont="1" applyFill="1" applyBorder="1"/>
    <xf numFmtId="4" fontId="4" fillId="6" borderId="1" xfId="2" applyNumberFormat="1" applyFont="1" applyFill="1" applyBorder="1"/>
    <xf numFmtId="4" fontId="3" fillId="6" borderId="1" xfId="0" applyNumberFormat="1" applyFont="1" applyFill="1" applyBorder="1"/>
    <xf numFmtId="10" fontId="3" fillId="6" borderId="1" xfId="0" applyNumberFormat="1" applyFont="1" applyFill="1" applyBorder="1"/>
    <xf numFmtId="0" fontId="3" fillId="6" borderId="1" xfId="0" applyFont="1" applyFill="1" applyBorder="1"/>
    <xf numFmtId="0" fontId="11" fillId="6" borderId="1" xfId="0" applyFont="1" applyFill="1" applyBorder="1"/>
    <xf numFmtId="0" fontId="5" fillId="0" borderId="0" xfId="4" applyFont="1"/>
    <xf numFmtId="0" fontId="3" fillId="0" borderId="0" xfId="4" applyFont="1"/>
    <xf numFmtId="0" fontId="15" fillId="0" borderId="0" xfId="4"/>
    <xf numFmtId="0" fontId="6" fillId="0" borderId="0" xfId="4" applyFont="1"/>
    <xf numFmtId="0" fontId="5" fillId="2" borderId="1" xfId="4" applyFont="1" applyFill="1" applyBorder="1" applyAlignment="1">
      <alignment horizontal="center" vertical="center"/>
    </xf>
    <xf numFmtId="0" fontId="5" fillId="0" borderId="1" xfId="4" applyFont="1" applyBorder="1"/>
    <xf numFmtId="4" fontId="3" fillId="0" borderId="0" xfId="4" applyNumberFormat="1" applyFont="1"/>
    <xf numFmtId="0" fontId="12" fillId="0" borderId="0" xfId="4" applyFont="1"/>
    <xf numFmtId="0" fontId="3" fillId="0" borderId="1" xfId="4" applyFont="1" applyBorder="1"/>
    <xf numFmtId="4" fontId="3" fillId="0" borderId="2" xfId="4" applyNumberFormat="1" applyFont="1" applyBorder="1"/>
    <xf numFmtId="4" fontId="4" fillId="0" borderId="4" xfId="4" applyNumberFormat="1" applyFont="1" applyBorder="1"/>
    <xf numFmtId="4" fontId="4" fillId="0" borderId="1" xfId="4" applyNumberFormat="1" applyFont="1" applyBorder="1"/>
    <xf numFmtId="4" fontId="3" fillId="0" borderId="1" xfId="4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4" fontId="3" fillId="0" borderId="7" xfId="0" applyNumberFormat="1" applyFont="1" applyBorder="1"/>
    <xf numFmtId="0" fontId="12" fillId="0" borderId="0" xfId="0" applyFont="1" applyBorder="1"/>
    <xf numFmtId="0" fontId="3" fillId="0" borderId="8" xfId="0" applyFont="1" applyBorder="1"/>
    <xf numFmtId="0" fontId="3" fillId="0" borderId="7" xfId="0" applyFont="1" applyBorder="1"/>
    <xf numFmtId="0" fontId="0" fillId="0" borderId="0" xfId="0" applyBorder="1"/>
    <xf numFmtId="0" fontId="0" fillId="0" borderId="8" xfId="0" applyBorder="1"/>
    <xf numFmtId="0" fontId="3" fillId="3" borderId="1" xfId="0" applyFont="1" applyFill="1" applyBorder="1" applyAlignment="1">
      <alignment horizontal="left" vertical="top" wrapText="1" indent="1"/>
    </xf>
    <xf numFmtId="41" fontId="16" fillId="6" borderId="1" xfId="0" applyNumberFormat="1" applyFont="1" applyFill="1" applyBorder="1" applyAlignment="1" applyProtection="1">
      <alignment vertical="top" wrapText="1"/>
      <protection locked="0"/>
    </xf>
    <xf numFmtId="41" fontId="3" fillId="3" borderId="1" xfId="0" applyNumberFormat="1" applyFont="1" applyFill="1" applyBorder="1" applyAlignment="1" applyProtection="1">
      <alignment vertical="top" wrapText="1"/>
      <protection locked="0"/>
    </xf>
    <xf numFmtId="41" fontId="3" fillId="3" borderId="3" xfId="0" applyNumberFormat="1" applyFont="1" applyFill="1" applyBorder="1" applyAlignment="1" applyProtection="1">
      <alignment vertical="top" wrapText="1"/>
      <protection locked="0"/>
    </xf>
    <xf numFmtId="41" fontId="3" fillId="3" borderId="6" xfId="0" applyNumberFormat="1" applyFont="1" applyFill="1" applyBorder="1" applyAlignment="1" applyProtection="1">
      <alignment vertical="top" wrapText="1"/>
      <protection locked="0"/>
    </xf>
    <xf numFmtId="4" fontId="3" fillId="3" borderId="5" xfId="0" applyNumberFormat="1" applyFont="1" applyFill="1" applyBorder="1" applyAlignment="1" applyProtection="1">
      <alignment horizontal="center" vertical="top" wrapText="1"/>
      <protection locked="0"/>
    </xf>
    <xf numFmtId="4" fontId="16" fillId="0" borderId="1" xfId="0" applyNumberFormat="1" applyFont="1" applyBorder="1" applyAlignment="1">
      <alignment horizontal="center"/>
    </xf>
    <xf numFmtId="4" fontId="16" fillId="0" borderId="6" xfId="0" applyNumberFormat="1" applyFont="1" applyBorder="1" applyAlignment="1">
      <alignment horizontal="center"/>
    </xf>
    <xf numFmtId="4" fontId="16" fillId="0" borderId="5" xfId="0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left" vertical="top" wrapText="1" indent="1"/>
    </xf>
    <xf numFmtId="41" fontId="16" fillId="6" borderId="9" xfId="0" applyNumberFormat="1" applyFont="1" applyFill="1" applyBorder="1" applyAlignment="1" applyProtection="1">
      <alignment vertical="top" wrapText="1"/>
      <protection locked="0"/>
    </xf>
    <xf numFmtId="41" fontId="3" fillId="3" borderId="9" xfId="0" applyNumberFormat="1" applyFont="1" applyFill="1" applyBorder="1" applyAlignment="1" applyProtection="1">
      <alignment vertical="top" wrapText="1"/>
      <protection locked="0"/>
    </xf>
    <xf numFmtId="41" fontId="3" fillId="3" borderId="10" xfId="0" applyNumberFormat="1" applyFont="1" applyFill="1" applyBorder="1" applyAlignment="1" applyProtection="1">
      <alignment horizontal="center" vertical="top" wrapText="1"/>
      <protection locked="0"/>
    </xf>
    <xf numFmtId="41" fontId="3" fillId="3" borderId="11" xfId="0" applyNumberFormat="1" applyFont="1" applyFill="1" applyBorder="1" applyAlignment="1" applyProtection="1">
      <alignment horizontal="center" vertical="top" wrapText="1"/>
      <protection locked="0"/>
    </xf>
    <xf numFmtId="4" fontId="3" fillId="3" borderId="12" xfId="0" applyNumberFormat="1" applyFont="1" applyFill="1" applyBorder="1" applyAlignment="1" applyProtection="1">
      <alignment horizontal="center" vertical="top" wrapText="1"/>
      <protection locked="0"/>
    </xf>
    <xf numFmtId="4" fontId="16" fillId="0" borderId="9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0" fontId="5" fillId="4" borderId="13" xfId="0" applyFont="1" applyFill="1" applyBorder="1" applyAlignment="1">
      <alignment horizontal="left" vertical="top" wrapText="1" indent="1"/>
    </xf>
    <xf numFmtId="41" fontId="17" fillId="0" borderId="14" xfId="0" applyNumberFormat="1" applyFont="1" applyBorder="1"/>
    <xf numFmtId="41" fontId="17" fillId="0" borderId="15" xfId="0" applyNumberFormat="1" applyFont="1" applyBorder="1"/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0" fontId="3" fillId="4" borderId="17" xfId="0" applyFont="1" applyFill="1" applyBorder="1" applyAlignment="1">
      <alignment horizontal="left" vertical="top" wrapText="1" indent="1"/>
    </xf>
    <xf numFmtId="164" fontId="16" fillId="0" borderId="17" xfId="0" applyNumberFormat="1" applyFont="1" applyBorder="1"/>
    <xf numFmtId="164" fontId="16" fillId="0" borderId="18" xfId="0" applyNumberFormat="1" applyFont="1" applyBorder="1"/>
    <xf numFmtId="4" fontId="16" fillId="0" borderId="19" xfId="0" applyNumberFormat="1" applyFont="1" applyBorder="1" applyAlignment="1">
      <alignment horizontal="center"/>
    </xf>
    <xf numFmtId="4" fontId="16" fillId="0" borderId="17" xfId="0" applyNumberFormat="1" applyFont="1" applyBorder="1" applyAlignment="1">
      <alignment horizontal="center"/>
    </xf>
    <xf numFmtId="4" fontId="16" fillId="0" borderId="20" xfId="0" applyNumberFormat="1" applyFont="1" applyBorder="1" applyAlignment="1">
      <alignment horizontal="center"/>
    </xf>
    <xf numFmtId="0" fontId="5" fillId="4" borderId="17" xfId="0" applyFont="1" applyFill="1" applyBorder="1" applyAlignment="1">
      <alignment horizontal="left" indent="1"/>
    </xf>
    <xf numFmtId="41" fontId="16" fillId="0" borderId="17" xfId="0" applyNumberFormat="1" applyFont="1" applyBorder="1"/>
    <xf numFmtId="41" fontId="16" fillId="0" borderId="18" xfId="0" applyNumberFormat="1" applyFont="1" applyBorder="1"/>
    <xf numFmtId="41" fontId="0" fillId="0" borderId="0" xfId="0" applyNumberFormat="1"/>
    <xf numFmtId="4" fontId="0" fillId="0" borderId="0" xfId="0" applyNumberFormat="1"/>
    <xf numFmtId="0" fontId="0" fillId="0" borderId="1" xfId="0" applyBorder="1"/>
    <xf numFmtId="41" fontId="16" fillId="6" borderId="1" xfId="0" applyNumberFormat="1" applyFont="1" applyFill="1" applyBorder="1" applyAlignment="1" applyProtection="1">
      <alignment horizontal="center" vertical="top" wrapText="1"/>
      <protection locked="0"/>
    </xf>
    <xf numFmtId="41" fontId="16" fillId="0" borderId="1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0" fillId="0" borderId="0" xfId="0" applyNumberFormat="1" applyBorder="1"/>
    <xf numFmtId="3" fontId="0" fillId="0" borderId="0" xfId="0" applyNumberFormat="1"/>
    <xf numFmtId="4" fontId="0" fillId="0" borderId="0" xfId="0" applyNumberFormat="1" applyBorder="1" applyAlignment="1">
      <alignment vertical="top" wrapText="1"/>
    </xf>
    <xf numFmtId="164" fontId="16" fillId="0" borderId="1" xfId="0" applyNumberFormat="1" applyFont="1" applyBorder="1" applyAlignment="1">
      <alignment horizontal="center"/>
    </xf>
    <xf numFmtId="3" fontId="0" fillId="0" borderId="0" xfId="0" applyNumberFormat="1" applyBorder="1"/>
    <xf numFmtId="0" fontId="5" fillId="2" borderId="1" xfId="0" applyFont="1" applyFill="1" applyBorder="1"/>
    <xf numFmtId="4" fontId="3" fillId="0" borderId="1" xfId="0" applyNumberFormat="1" applyFont="1" applyBorder="1"/>
    <xf numFmtId="0" fontId="12" fillId="0" borderId="1" xfId="0" applyFont="1" applyBorder="1"/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1" xfId="0" applyNumberFormat="1" applyFont="1" applyFill="1" applyBorder="1"/>
    <xf numFmtId="4" fontId="3" fillId="5" borderId="1" xfId="0" applyNumberFormat="1" applyFont="1" applyFill="1" applyBorder="1"/>
    <xf numFmtId="43" fontId="3" fillId="0" borderId="1" xfId="3" applyFont="1" applyBorder="1"/>
    <xf numFmtId="43" fontId="4" fillId="5" borderId="1" xfId="3" applyFont="1" applyFill="1" applyBorder="1"/>
    <xf numFmtId="43" fontId="3" fillId="5" borderId="1" xfId="3" applyFont="1" applyFill="1" applyBorder="1"/>
    <xf numFmtId="4" fontId="4" fillId="5" borderId="1" xfId="0" applyNumberFormat="1" applyFont="1" applyFill="1" applyBorder="1"/>
    <xf numFmtId="165" fontId="4" fillId="0" borderId="1" xfId="3" applyNumberFormat="1" applyFont="1" applyBorder="1"/>
    <xf numFmtId="165" fontId="4" fillId="0" borderId="1" xfId="3" applyNumberFormat="1" applyFont="1" applyFill="1" applyBorder="1"/>
    <xf numFmtId="165" fontId="3" fillId="0" borderId="1" xfId="3" applyNumberFormat="1" applyFont="1" applyBorder="1"/>
    <xf numFmtId="165" fontId="3" fillId="0" borderId="1" xfId="3" applyNumberFormat="1" applyFont="1" applyFill="1" applyBorder="1"/>
    <xf numFmtId="43" fontId="5" fillId="0" borderId="1" xfId="3" applyFont="1" applyBorder="1"/>
    <xf numFmtId="43" fontId="5" fillId="5" borderId="1" xfId="3" applyFont="1" applyFill="1" applyBorder="1"/>
    <xf numFmtId="43" fontId="5" fillId="0" borderId="1" xfId="3" applyFont="1" applyFill="1" applyBorder="1"/>
    <xf numFmtId="165" fontId="5" fillId="0" borderId="1" xfId="3" applyNumberFormat="1" applyFont="1" applyBorder="1"/>
    <xf numFmtId="43" fontId="3" fillId="0" borderId="0" xfId="0" applyNumberFormat="1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6" fontId="3" fillId="0" borderId="0" xfId="0" applyNumberFormat="1" applyFont="1" applyAlignment="1">
      <alignment horizontal="left"/>
    </xf>
    <xf numFmtId="4" fontId="4" fillId="6" borderId="4" xfId="0" applyNumberFormat="1" applyFont="1" applyFill="1" applyBorder="1"/>
    <xf numFmtId="4" fontId="3" fillId="6" borderId="4" xfId="0" applyNumberFormat="1" applyFont="1" applyFill="1" applyBorder="1"/>
    <xf numFmtId="4" fontId="4" fillId="6" borderId="1" xfId="1" applyNumberFormat="1" applyFont="1" applyFill="1" applyBorder="1"/>
    <xf numFmtId="0" fontId="18" fillId="0" borderId="1" xfId="0" applyFont="1" applyBorder="1"/>
    <xf numFmtId="4" fontId="18" fillId="6" borderId="2" xfId="0" applyNumberFormat="1" applyFont="1" applyFill="1" applyBorder="1"/>
    <xf numFmtId="10" fontId="18" fillId="6" borderId="1" xfId="0" applyNumberFormat="1" applyFont="1" applyFill="1" applyBorder="1"/>
    <xf numFmtId="9" fontId="3" fillId="0" borderId="1" xfId="6" applyNumberFormat="1" applyFont="1" applyFill="1" applyBorder="1"/>
    <xf numFmtId="9" fontId="5" fillId="0" borderId="1" xfId="6" applyNumberFormat="1" applyFont="1" applyFill="1" applyBorder="1"/>
    <xf numFmtId="4" fontId="18" fillId="0" borderId="1" xfId="0" applyNumberFormat="1" applyFont="1" applyBorder="1"/>
    <xf numFmtId="9" fontId="18" fillId="0" borderId="1" xfId="6" applyNumberFormat="1" applyFont="1" applyFill="1" applyBorder="1"/>
    <xf numFmtId="0" fontId="16" fillId="0" borderId="0" xfId="0" quotePrefix="1" applyFont="1"/>
    <xf numFmtId="43" fontId="18" fillId="0" borderId="1" xfId="3" applyFont="1" applyBorder="1"/>
    <xf numFmtId="43" fontId="18" fillId="5" borderId="1" xfId="3" applyFont="1" applyFill="1" applyBorder="1"/>
    <xf numFmtId="43" fontId="18" fillId="0" borderId="1" xfId="3" applyFont="1" applyFill="1" applyBorder="1"/>
    <xf numFmtId="165" fontId="18" fillId="0" borderId="1" xfId="3" applyNumberFormat="1" applyFont="1" applyBorder="1"/>
    <xf numFmtId="0" fontId="17" fillId="0" borderId="0" xfId="0" applyFont="1"/>
    <xf numFmtId="10" fontId="16" fillId="0" borderId="1" xfId="0" applyNumberFormat="1" applyFont="1" applyBorder="1"/>
    <xf numFmtId="0" fontId="3" fillId="6" borderId="9" xfId="0" applyFont="1" applyFill="1" applyBorder="1" applyAlignment="1">
      <alignment horizontal="left" vertical="top" wrapText="1" indent="1"/>
    </xf>
    <xf numFmtId="0" fontId="18" fillId="6" borderId="1" xfId="0" applyFont="1" applyFill="1" applyBorder="1" applyAlignment="1">
      <alignment horizontal="left" vertical="top" wrapText="1" indent="1"/>
    </xf>
    <xf numFmtId="41" fontId="18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4" fontId="18" fillId="0" borderId="3" xfId="0" applyNumberFormat="1" applyFont="1" applyBorder="1" applyAlignment="1">
      <alignment horizontal="center"/>
    </xf>
    <xf numFmtId="10" fontId="18" fillId="0" borderId="1" xfId="0" applyNumberFormat="1" applyFont="1" applyBorder="1"/>
    <xf numFmtId="0" fontId="18" fillId="6" borderId="21" xfId="0" applyFont="1" applyFill="1" applyBorder="1" applyAlignment="1">
      <alignment horizontal="left" indent="1"/>
    </xf>
    <xf numFmtId="0" fontId="18" fillId="0" borderId="1" xfId="4" applyFont="1" applyBorder="1"/>
    <xf numFmtId="4" fontId="18" fillId="0" borderId="1" xfId="4" applyNumberFormat="1" applyFont="1" applyBorder="1"/>
    <xf numFmtId="4" fontId="18" fillId="0" borderId="4" xfId="4" applyNumberFormat="1" applyFont="1" applyBorder="1"/>
    <xf numFmtId="10" fontId="3" fillId="0" borderId="1" xfId="5" applyNumberFormat="1" applyFont="1" applyBorder="1"/>
    <xf numFmtId="10" fontId="18" fillId="0" borderId="1" xfId="5" applyNumberFormat="1" applyFont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 indent="2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7">
    <cellStyle name="Comma" xfId="3" builtinId="3"/>
    <cellStyle name="Comma 2" xfId="1"/>
    <cellStyle name="Currency 2" xfId="2"/>
    <cellStyle name="Normal" xfId="0" builtinId="0"/>
    <cellStyle name="Normal 2" xfId="4"/>
    <cellStyle name="Percent" xfId="6" builtinId="5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ias/AppData/Local/Temp/notesBB3A57/PC%20Rep%20finan%2030%20sep%20full%20arc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 Rep 31 Mar 11"/>
      <sheetName val="Resumen 31Mar11"/>
      <sheetName val="Inf Fin al 31Mar2011"/>
      <sheetName val="Util Rep 30 Jun 11"/>
      <sheetName val="Resumen 30 Jun 11"/>
      <sheetName val="Inf Fin al 30 Jun 2011"/>
      <sheetName val="Util Rep 28 Set 2011"/>
      <sheetName val="Resumen 28 Set 2011"/>
      <sheetName val="Sheet1"/>
      <sheetName val="Resumen 30 Set"/>
      <sheetName val="Inf Fin al 30 Set 2011"/>
      <sheetName val="Utiliz 09Dic11"/>
      <sheetName val="Sheet3"/>
      <sheetName val="Resumen 30 Nov 2011"/>
      <sheetName val="Inf Fin al 30 Nov 2011"/>
      <sheetName val="Inf Fin al 31 Mar 2012"/>
      <sheetName val="Utiliz 31Dic11"/>
      <sheetName val="Resumen 31 Mar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56">
          <cell r="C56">
            <v>22900.11</v>
          </cell>
          <cell r="D56">
            <v>465675.94000000006</v>
          </cell>
          <cell r="E56">
            <v>123348.76</v>
          </cell>
          <cell r="F56">
            <v>291170.61</v>
          </cell>
          <cell r="G56">
            <v>34660.51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O30" sqref="O30"/>
    </sheetView>
  </sheetViews>
  <sheetFormatPr defaultColWidth="11.42578125" defaultRowHeight="15" x14ac:dyDescent="0.25"/>
  <cols>
    <col min="1" max="1" width="26.5703125" customWidth="1"/>
    <col min="2" max="2" width="14.7109375" customWidth="1"/>
    <col min="4" max="4" width="14.28515625" customWidth="1"/>
    <col min="5" max="5" width="13.42578125" customWidth="1"/>
    <col min="7" max="7" width="13.5703125" customWidth="1"/>
    <col min="8" max="8" width="13.7109375" customWidth="1"/>
  </cols>
  <sheetData>
    <row r="1" spans="1:9" ht="15.75" x14ac:dyDescent="0.25">
      <c r="A1" s="1" t="s">
        <v>16</v>
      </c>
      <c r="B1" s="2"/>
      <c r="C1" s="2"/>
      <c r="D1" s="2"/>
      <c r="E1" s="2"/>
      <c r="F1" s="2"/>
      <c r="G1" s="2"/>
    </row>
    <row r="2" spans="1:9" x14ac:dyDescent="0.25">
      <c r="A2" s="1" t="s">
        <v>26</v>
      </c>
      <c r="B2" s="2"/>
      <c r="C2" s="2"/>
      <c r="D2" s="2"/>
      <c r="E2" s="2"/>
      <c r="F2" s="2"/>
      <c r="G2" s="2"/>
    </row>
    <row r="3" spans="1:9" x14ac:dyDescent="0.25">
      <c r="A3" s="2"/>
      <c r="B3" s="3"/>
      <c r="C3" s="3"/>
      <c r="D3" s="3"/>
      <c r="E3" s="3"/>
      <c r="F3" s="3"/>
      <c r="G3" s="3"/>
    </row>
    <row r="4" spans="1:9" x14ac:dyDescent="0.25">
      <c r="A4" s="2" t="s">
        <v>1</v>
      </c>
      <c r="B4" s="1" t="s">
        <v>25</v>
      </c>
      <c r="C4" s="2"/>
      <c r="D4" s="2"/>
      <c r="E4" s="2"/>
      <c r="F4" s="2"/>
      <c r="G4" s="2"/>
    </row>
    <row r="5" spans="1:9" x14ac:dyDescent="0.25">
      <c r="A5" s="2" t="s">
        <v>12</v>
      </c>
      <c r="B5" s="1" t="s">
        <v>14</v>
      </c>
      <c r="C5" s="2"/>
      <c r="D5" s="2"/>
      <c r="E5" s="2"/>
      <c r="F5" s="2"/>
      <c r="G5" s="2"/>
    </row>
    <row r="6" spans="1:9" x14ac:dyDescent="0.25">
      <c r="A6" s="2" t="s">
        <v>2</v>
      </c>
      <c r="B6" s="1" t="s">
        <v>15</v>
      </c>
      <c r="C6" s="2"/>
      <c r="D6" s="2"/>
      <c r="E6" s="2"/>
      <c r="F6" s="2"/>
      <c r="G6" s="2"/>
    </row>
    <row r="7" spans="1:9" x14ac:dyDescent="0.25">
      <c r="A7" s="2"/>
      <c r="B7" s="1"/>
      <c r="C7" s="2"/>
      <c r="D7" s="2"/>
      <c r="E7" s="2"/>
      <c r="F7" s="2"/>
      <c r="G7" s="2"/>
    </row>
    <row r="8" spans="1:9" ht="51" x14ac:dyDescent="0.3">
      <c r="A8" s="7" t="s">
        <v>18</v>
      </c>
      <c r="B8" s="8" t="s">
        <v>3</v>
      </c>
      <c r="C8" s="9" t="s">
        <v>19</v>
      </c>
      <c r="D8" s="9" t="s">
        <v>20</v>
      </c>
      <c r="E8" s="10" t="s">
        <v>24</v>
      </c>
      <c r="F8" s="7" t="s">
        <v>4</v>
      </c>
      <c r="G8" s="13" t="s">
        <v>23</v>
      </c>
      <c r="H8" s="13" t="s">
        <v>17</v>
      </c>
      <c r="I8" s="11"/>
    </row>
    <row r="9" spans="1:9" ht="16.5" x14ac:dyDescent="0.3">
      <c r="A9" s="5" t="s">
        <v>5</v>
      </c>
      <c r="B9" s="6"/>
      <c r="C9" s="6"/>
      <c r="D9" s="6"/>
      <c r="E9" s="12"/>
      <c r="F9" s="2"/>
      <c r="G9" s="2"/>
      <c r="H9" s="11"/>
      <c r="I9" s="11"/>
    </row>
    <row r="10" spans="1:9" ht="16.5" x14ac:dyDescent="0.3">
      <c r="A10" s="4" t="s">
        <v>21</v>
      </c>
      <c r="B10" s="14">
        <v>558457</v>
      </c>
      <c r="C10" s="14">
        <f>484887+2445</f>
        <v>487332</v>
      </c>
      <c r="D10" s="112">
        <v>373789</v>
      </c>
      <c r="E10" s="15">
        <v>114228</v>
      </c>
      <c r="F10" s="16">
        <f>+E10+D10</f>
        <v>488017</v>
      </c>
      <c r="G10" s="17">
        <f>+D10/C10</f>
        <v>0.76701099045414622</v>
      </c>
      <c r="H10" s="17">
        <f>+F10/C10</f>
        <v>1.0014056126008553</v>
      </c>
      <c r="I10" s="11"/>
    </row>
    <row r="11" spans="1:9" ht="16.5" x14ac:dyDescent="0.3">
      <c r="A11" s="4" t="s">
        <v>6</v>
      </c>
      <c r="B11" s="14">
        <v>88845</v>
      </c>
      <c r="C11" s="14">
        <v>158298</v>
      </c>
      <c r="D11" s="112">
        <v>94952</v>
      </c>
      <c r="E11" s="15">
        <v>64383</v>
      </c>
      <c r="F11" s="16">
        <f t="shared" ref="F11:F17" si="0">+E11+D11</f>
        <v>159335</v>
      </c>
      <c r="G11" s="17">
        <f t="shared" ref="G11:G16" si="1">+D11/C11</f>
        <v>0.59983069906126418</v>
      </c>
      <c r="H11" s="17">
        <f t="shared" ref="H11:H16" si="2">+F11/C11</f>
        <v>1.0065509355772024</v>
      </c>
      <c r="I11" s="11"/>
    </row>
    <row r="12" spans="1:9" ht="16.5" x14ac:dyDescent="0.3">
      <c r="A12" s="4" t="s">
        <v>7</v>
      </c>
      <c r="B12" s="14">
        <v>357889</v>
      </c>
      <c r="C12" s="14">
        <v>314127</v>
      </c>
      <c r="D12" s="113">
        <v>300229</v>
      </c>
      <c r="E12" s="114">
        <v>0</v>
      </c>
      <c r="F12" s="16">
        <f t="shared" si="0"/>
        <v>300229</v>
      </c>
      <c r="G12" s="17">
        <f t="shared" si="1"/>
        <v>0.95575674806686473</v>
      </c>
      <c r="H12" s="17">
        <f t="shared" si="2"/>
        <v>0.95575674806686473</v>
      </c>
      <c r="I12" s="11"/>
    </row>
    <row r="13" spans="1:9" ht="16.5" x14ac:dyDescent="0.3">
      <c r="A13" s="4" t="s">
        <v>22</v>
      </c>
      <c r="B13" s="14">
        <v>98990</v>
      </c>
      <c r="C13" s="14">
        <f>47298+47386</f>
        <v>94684</v>
      </c>
      <c r="D13" s="112">
        <v>80818</v>
      </c>
      <c r="E13" s="15">
        <v>11987</v>
      </c>
      <c r="F13" s="16">
        <f t="shared" si="0"/>
        <v>92805</v>
      </c>
      <c r="G13" s="17">
        <f t="shared" si="1"/>
        <v>0.85355498289045673</v>
      </c>
      <c r="H13" s="17">
        <f t="shared" si="2"/>
        <v>0.98015504203455706</v>
      </c>
      <c r="I13" s="11"/>
    </row>
    <row r="14" spans="1:9" ht="16.5" x14ac:dyDescent="0.3">
      <c r="A14" s="4" t="s">
        <v>8</v>
      </c>
      <c r="B14" s="14">
        <v>72261</v>
      </c>
      <c r="C14" s="14">
        <v>95994</v>
      </c>
      <c r="D14" s="113">
        <v>86247</v>
      </c>
      <c r="E14" s="15">
        <v>0</v>
      </c>
      <c r="F14" s="16">
        <f t="shared" si="0"/>
        <v>86247</v>
      </c>
      <c r="G14" s="17">
        <f t="shared" si="1"/>
        <v>0.89846240390024379</v>
      </c>
      <c r="H14" s="17">
        <f t="shared" si="2"/>
        <v>0.89846240390024379</v>
      </c>
      <c r="I14" s="11"/>
    </row>
    <row r="15" spans="1:9" ht="16.5" x14ac:dyDescent="0.3">
      <c r="A15" s="4" t="s">
        <v>13</v>
      </c>
      <c r="B15" s="14">
        <v>57374</v>
      </c>
      <c r="C15" s="14">
        <f>52334+31047</f>
        <v>83381</v>
      </c>
      <c r="D15" s="113">
        <v>66706</v>
      </c>
      <c r="E15" s="15">
        <v>3685</v>
      </c>
      <c r="F15" s="16">
        <f t="shared" si="0"/>
        <v>70391</v>
      </c>
      <c r="G15" s="17">
        <f t="shared" si="1"/>
        <v>0.80001439176790878</v>
      </c>
      <c r="H15" s="17">
        <f t="shared" si="2"/>
        <v>0.84420911238771423</v>
      </c>
      <c r="I15" s="11"/>
    </row>
    <row r="16" spans="1:9" ht="16.5" x14ac:dyDescent="0.3">
      <c r="A16" s="115" t="s">
        <v>9</v>
      </c>
      <c r="B16" s="116">
        <f>+SUM(B10:B15)</f>
        <v>1233816</v>
      </c>
      <c r="C16" s="116">
        <f>+SUM(C10:C15)</f>
        <v>1233816</v>
      </c>
      <c r="D16" s="116">
        <f>SUM(D10:D15)</f>
        <v>1002741</v>
      </c>
      <c r="E16" s="116">
        <f>SUM(E10:E15)</f>
        <v>194283</v>
      </c>
      <c r="F16" s="116">
        <f>+SUM(F10:F15)</f>
        <v>1197024</v>
      </c>
      <c r="G16" s="117">
        <f t="shared" si="1"/>
        <v>0.81271518605691606</v>
      </c>
      <c r="H16" s="117">
        <f t="shared" si="2"/>
        <v>0.97018031862125309</v>
      </c>
      <c r="I16" s="11"/>
    </row>
    <row r="17" spans="1:9" ht="16.5" x14ac:dyDescent="0.3">
      <c r="A17" s="5" t="s">
        <v>10</v>
      </c>
      <c r="B17" s="14">
        <f>+B16*0.07</f>
        <v>86367.12000000001</v>
      </c>
      <c r="C17" s="14">
        <f>+C16*0.07</f>
        <v>86367.12000000001</v>
      </c>
      <c r="D17" s="14">
        <f>+D16*0.07</f>
        <v>70191.87000000001</v>
      </c>
      <c r="E17" s="14">
        <f>+E16*0.07</f>
        <v>13599.810000000001</v>
      </c>
      <c r="F17" s="16">
        <f t="shared" si="0"/>
        <v>83791.680000000008</v>
      </c>
      <c r="G17" s="18"/>
      <c r="H17" s="19"/>
      <c r="I17" s="11"/>
    </row>
    <row r="18" spans="1:9" ht="16.5" x14ac:dyDescent="0.3">
      <c r="A18" s="115" t="s">
        <v>11</v>
      </c>
      <c r="B18" s="116">
        <f>+B16+B17</f>
        <v>1320183.1200000001</v>
      </c>
      <c r="C18" s="116">
        <f>+C16+C17</f>
        <v>1320183.1200000001</v>
      </c>
      <c r="D18" s="116">
        <f>D16+D17</f>
        <v>1072932.8700000001</v>
      </c>
      <c r="E18" s="116">
        <f>E16+E17</f>
        <v>207882.81</v>
      </c>
      <c r="F18" s="116">
        <f>+F16+F17</f>
        <v>1280815.68</v>
      </c>
      <c r="G18" s="117">
        <f>+D18/C18</f>
        <v>0.81271518605691617</v>
      </c>
      <c r="H18" s="117">
        <f>+F18/C18</f>
        <v>0.97018031862125298</v>
      </c>
      <c r="I18" s="11"/>
    </row>
    <row r="19" spans="1:9" ht="16.5" x14ac:dyDescent="0.3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6.5" x14ac:dyDescent="0.3">
      <c r="A20" s="2" t="s">
        <v>72</v>
      </c>
      <c r="B20" s="11"/>
      <c r="C20" s="11"/>
      <c r="D20" s="11"/>
      <c r="E20" s="11"/>
      <c r="F20" s="11"/>
      <c r="G20" s="11"/>
      <c r="H20" s="11"/>
      <c r="I20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9" sqref="B9:H9"/>
    </sheetView>
  </sheetViews>
  <sheetFormatPr defaultColWidth="11.42578125" defaultRowHeight="15" x14ac:dyDescent="0.25"/>
  <cols>
    <col min="1" max="1" width="31.85546875" customWidth="1"/>
    <col min="2" max="2" width="14" customWidth="1"/>
    <col min="5" max="5" width="13.42578125" customWidth="1"/>
    <col min="7" max="7" width="14.140625" customWidth="1"/>
    <col min="8" max="8" width="11.425781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16</v>
      </c>
      <c r="B2" s="2"/>
      <c r="C2" s="2"/>
      <c r="D2" s="2"/>
      <c r="E2" s="2"/>
      <c r="F2" s="2"/>
      <c r="G2" s="2"/>
      <c r="H2" s="2"/>
    </row>
    <row r="3" spans="1:8" x14ac:dyDescent="0.25">
      <c r="A3" s="1" t="s">
        <v>73</v>
      </c>
      <c r="B3" s="2"/>
      <c r="C3" s="2"/>
      <c r="D3" s="2"/>
      <c r="E3" s="2"/>
      <c r="F3" s="2"/>
      <c r="G3" s="2"/>
      <c r="H3" s="2"/>
    </row>
    <row r="4" spans="1:8" x14ac:dyDescent="0.25">
      <c r="A4" s="2"/>
      <c r="B4" s="3"/>
      <c r="C4" s="3"/>
      <c r="D4" s="3"/>
      <c r="E4" s="3"/>
      <c r="F4" s="3"/>
      <c r="G4" s="3"/>
      <c r="H4" s="3"/>
    </row>
    <row r="5" spans="1:8" x14ac:dyDescent="0.25">
      <c r="A5" s="2" t="s">
        <v>1</v>
      </c>
      <c r="B5" s="1" t="s">
        <v>48</v>
      </c>
      <c r="C5" s="2"/>
      <c r="D5" s="2"/>
      <c r="E5" s="2"/>
      <c r="F5" s="2"/>
      <c r="G5" s="2"/>
      <c r="H5" s="2"/>
    </row>
    <row r="6" spans="1:8" x14ac:dyDescent="0.25">
      <c r="A6" s="2" t="s">
        <v>12</v>
      </c>
      <c r="B6" s="1" t="s">
        <v>14</v>
      </c>
      <c r="C6" s="2"/>
      <c r="D6" s="2"/>
      <c r="E6" s="2"/>
      <c r="F6" s="2"/>
      <c r="G6" s="2"/>
      <c r="H6" s="2"/>
    </row>
    <row r="7" spans="1:8" x14ac:dyDescent="0.25">
      <c r="A7" s="2" t="s">
        <v>2</v>
      </c>
      <c r="B7" s="1" t="s">
        <v>74</v>
      </c>
      <c r="C7" s="2"/>
      <c r="D7" s="2"/>
      <c r="E7" s="2"/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ht="51" x14ac:dyDescent="0.25">
      <c r="A9" s="88"/>
      <c r="B9" s="13" t="s">
        <v>3</v>
      </c>
      <c r="C9" s="9" t="s">
        <v>75</v>
      </c>
      <c r="D9" s="9" t="s">
        <v>49</v>
      </c>
      <c r="E9" s="9" t="s">
        <v>76</v>
      </c>
      <c r="F9" s="7" t="s">
        <v>50</v>
      </c>
      <c r="G9" s="13" t="s">
        <v>51</v>
      </c>
      <c r="H9" s="9" t="s">
        <v>17</v>
      </c>
    </row>
    <row r="10" spans="1:8" x14ac:dyDescent="0.25">
      <c r="A10" s="5" t="s">
        <v>5</v>
      </c>
      <c r="B10" s="89"/>
      <c r="C10" s="89"/>
      <c r="D10" s="89"/>
      <c r="E10" s="90"/>
      <c r="F10" s="4"/>
      <c r="G10" s="4"/>
      <c r="H10" s="90"/>
    </row>
    <row r="11" spans="1:8" ht="15.75" x14ac:dyDescent="0.25">
      <c r="A11" s="4" t="s">
        <v>52</v>
      </c>
      <c r="B11" s="89">
        <v>516423</v>
      </c>
      <c r="C11" s="91">
        <v>417990.9</v>
      </c>
      <c r="D11" s="91">
        <v>312291.89</v>
      </c>
      <c r="E11" s="91">
        <v>0</v>
      </c>
      <c r="F11" s="89">
        <f t="shared" ref="F11:F16" si="0">D11+E11</f>
        <v>312291.89</v>
      </c>
      <c r="G11" s="118">
        <f>+D11/C11</f>
        <v>0.74712604987333453</v>
      </c>
      <c r="H11" s="118">
        <f>+F11/C11</f>
        <v>0.74712604987333453</v>
      </c>
    </row>
    <row r="12" spans="1:8" x14ac:dyDescent="0.25">
      <c r="A12" s="4" t="s">
        <v>6</v>
      </c>
      <c r="B12" s="89">
        <v>12500</v>
      </c>
      <c r="C12" s="91">
        <v>4500</v>
      </c>
      <c r="D12" s="91">
        <v>36866.480000000003</v>
      </c>
      <c r="E12" s="91">
        <v>0</v>
      </c>
      <c r="F12" s="89">
        <f t="shared" si="0"/>
        <v>36866.480000000003</v>
      </c>
      <c r="G12" s="118">
        <f t="shared" ref="G12:G19" si="1">+D12/C12</f>
        <v>8.1925511111111113</v>
      </c>
      <c r="H12" s="118">
        <f t="shared" ref="H12:H19" si="2">+F12/C12</f>
        <v>8.1925511111111113</v>
      </c>
    </row>
    <row r="13" spans="1:8" x14ac:dyDescent="0.25">
      <c r="A13" s="4" t="s">
        <v>7</v>
      </c>
      <c r="B13" s="89">
        <v>261580</v>
      </c>
      <c r="C13" s="91">
        <v>251580</v>
      </c>
      <c r="D13" s="91">
        <v>291656.39</v>
      </c>
      <c r="E13" s="91">
        <v>20435.169999999998</v>
      </c>
      <c r="F13" s="89">
        <f t="shared" si="0"/>
        <v>312091.56</v>
      </c>
      <c r="G13" s="118">
        <f t="shared" si="1"/>
        <v>1.1592987916368551</v>
      </c>
      <c r="H13" s="118">
        <f t="shared" si="2"/>
        <v>1.2405261149534939</v>
      </c>
    </row>
    <row r="14" spans="1:8" x14ac:dyDescent="0.25">
      <c r="A14" s="4" t="s">
        <v>53</v>
      </c>
      <c r="B14" s="89">
        <v>105000</v>
      </c>
      <c r="C14" s="91">
        <v>153489.1</v>
      </c>
      <c r="D14" s="91">
        <v>85277.17</v>
      </c>
      <c r="E14" s="91">
        <v>1728</v>
      </c>
      <c r="F14" s="89">
        <f t="shared" si="0"/>
        <v>87005.17</v>
      </c>
      <c r="G14" s="118">
        <f t="shared" si="1"/>
        <v>0.55559104848487606</v>
      </c>
      <c r="H14" s="118">
        <f t="shared" si="2"/>
        <v>0.56684917691223669</v>
      </c>
    </row>
    <row r="15" spans="1:8" x14ac:dyDescent="0.25">
      <c r="A15" s="4" t="s">
        <v>8</v>
      </c>
      <c r="B15" s="89"/>
      <c r="C15" s="91">
        <v>67943</v>
      </c>
      <c r="D15" s="91">
        <v>14771.82</v>
      </c>
      <c r="E15" s="91">
        <v>0</v>
      </c>
      <c r="F15" s="89">
        <f t="shared" si="0"/>
        <v>14771.82</v>
      </c>
      <c r="G15" s="118">
        <f t="shared" si="1"/>
        <v>0.21741489189467642</v>
      </c>
      <c r="H15" s="118">
        <f t="shared" si="2"/>
        <v>0.21741489189467642</v>
      </c>
    </row>
    <row r="16" spans="1:8" x14ac:dyDescent="0.25">
      <c r="A16" s="4" t="s">
        <v>13</v>
      </c>
      <c r="B16" s="89">
        <v>17000</v>
      </c>
      <c r="C16" s="91">
        <v>17000</v>
      </c>
      <c r="D16" s="91">
        <v>1819.67</v>
      </c>
      <c r="E16" s="91">
        <v>0</v>
      </c>
      <c r="F16" s="89">
        <f t="shared" si="0"/>
        <v>1819.67</v>
      </c>
      <c r="G16" s="118">
        <f t="shared" si="1"/>
        <v>0.10703941176470588</v>
      </c>
      <c r="H16" s="118">
        <f t="shared" si="2"/>
        <v>0.10703941176470588</v>
      </c>
    </row>
    <row r="17" spans="1:8" x14ac:dyDescent="0.25">
      <c r="A17" s="5" t="s">
        <v>9</v>
      </c>
      <c r="B17" s="92">
        <v>912503</v>
      </c>
      <c r="C17" s="93">
        <f>SUM(C11:C16)</f>
        <v>912503</v>
      </c>
      <c r="D17" s="93">
        <f>SUM(D11:D16)</f>
        <v>742683.42</v>
      </c>
      <c r="E17" s="93">
        <f>SUM(E11:E16)</f>
        <v>22163.17</v>
      </c>
      <c r="F17" s="93">
        <f>SUM(F11:F16)</f>
        <v>764846.59</v>
      </c>
      <c r="G17" s="119">
        <f t="shared" si="1"/>
        <v>0.81389696253053423</v>
      </c>
      <c r="H17" s="119">
        <f t="shared" si="2"/>
        <v>0.83818528815795668</v>
      </c>
    </row>
    <row r="18" spans="1:8" x14ac:dyDescent="0.25">
      <c r="A18" s="5" t="s">
        <v>10</v>
      </c>
      <c r="B18" s="89">
        <v>63875</v>
      </c>
      <c r="C18" s="91">
        <f>+C17*0.07</f>
        <v>63875.210000000006</v>
      </c>
      <c r="D18" s="91">
        <f>+D17*0.07</f>
        <v>51987.839400000004</v>
      </c>
      <c r="E18" s="91">
        <f>+E17*0.07</f>
        <v>1551.4219000000001</v>
      </c>
      <c r="F18" s="89">
        <f>D18+E18</f>
        <v>53539.261300000006</v>
      </c>
      <c r="G18" s="118">
        <f t="shared" si="1"/>
        <v>0.81389696253053412</v>
      </c>
      <c r="H18" s="118">
        <f t="shared" si="2"/>
        <v>0.83818528815795679</v>
      </c>
    </row>
    <row r="19" spans="1:8" x14ac:dyDescent="0.25">
      <c r="A19" s="115" t="s">
        <v>11</v>
      </c>
      <c r="B19" s="120">
        <v>976378</v>
      </c>
      <c r="C19" s="120">
        <f>SUM(C17:C18)</f>
        <v>976378.21</v>
      </c>
      <c r="D19" s="120">
        <f>SUM(D17:D18)</f>
        <v>794671.2594000001</v>
      </c>
      <c r="E19" s="120">
        <f>SUM(E17:E18)</f>
        <v>23714.591899999999</v>
      </c>
      <c r="F19" s="120">
        <f>SUM(F17:F18)</f>
        <v>818385.85129999998</v>
      </c>
      <c r="G19" s="121">
        <f t="shared" si="1"/>
        <v>0.81389696253053423</v>
      </c>
      <c r="H19" s="121">
        <f t="shared" si="2"/>
        <v>0.83818528815795679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" workbookViewId="0">
      <selection activeCell="A28" sqref="A28"/>
    </sheetView>
  </sheetViews>
  <sheetFormatPr defaultColWidth="9.140625" defaultRowHeight="15" x14ac:dyDescent="0.25"/>
  <cols>
    <col min="1" max="1" width="33" customWidth="1"/>
    <col min="2" max="2" width="17.140625" customWidth="1"/>
    <col min="3" max="3" width="13.42578125" hidden="1" customWidth="1"/>
    <col min="4" max="4" width="13.28515625" hidden="1" customWidth="1"/>
    <col min="5" max="5" width="13.5703125" hidden="1" customWidth="1"/>
    <col min="6" max="6" width="10.42578125" hidden="1" customWidth="1"/>
    <col min="7" max="7" width="19.5703125" customWidth="1"/>
    <col min="8" max="8" width="8.140625" hidden="1" customWidth="1"/>
    <col min="9" max="12" width="9.85546875" hidden="1" customWidth="1"/>
    <col min="13" max="13" width="14.85546875" customWidth="1"/>
    <col min="14" max="14" width="15.5703125" customWidth="1"/>
    <col min="15" max="15" width="15.42578125" customWidth="1"/>
    <col min="16" max="16" width="13.5703125" customWidth="1"/>
    <col min="17" max="17" width="14" customWidth="1"/>
  </cols>
  <sheetData>
    <row r="1" spans="1: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x14ac:dyDescent="0.25">
      <c r="A2" s="1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1" t="s">
        <v>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</row>
    <row r="5" spans="1:21" x14ac:dyDescent="0.25">
      <c r="A5" s="2" t="s">
        <v>1</v>
      </c>
      <c r="B5" s="1" t="s">
        <v>54</v>
      </c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2" t="s">
        <v>12</v>
      </c>
      <c r="B6" s="1" t="s">
        <v>14</v>
      </c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2" t="s">
        <v>2</v>
      </c>
      <c r="B7" s="1" t="s">
        <v>15</v>
      </c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42" customHeight="1" x14ac:dyDescent="0.25">
      <c r="A9" s="88"/>
      <c r="B9" s="13" t="s">
        <v>55</v>
      </c>
      <c r="C9" s="7" t="s">
        <v>56</v>
      </c>
      <c r="D9" s="7" t="s">
        <v>57</v>
      </c>
      <c r="E9" s="7" t="s">
        <v>58</v>
      </c>
      <c r="F9" s="7" t="s">
        <v>59</v>
      </c>
      <c r="G9" s="13" t="s">
        <v>60</v>
      </c>
      <c r="H9" s="7">
        <v>2009</v>
      </c>
      <c r="I9" s="7">
        <v>2010</v>
      </c>
      <c r="J9" s="7">
        <v>2011</v>
      </c>
      <c r="K9" s="7" t="s">
        <v>61</v>
      </c>
      <c r="L9" s="7">
        <v>2012</v>
      </c>
      <c r="M9" s="13" t="s">
        <v>62</v>
      </c>
      <c r="N9" s="7" t="s">
        <v>77</v>
      </c>
      <c r="O9" s="7" t="s">
        <v>4</v>
      </c>
      <c r="P9" s="13" t="s">
        <v>78</v>
      </c>
      <c r="Q9" s="9" t="s">
        <v>79</v>
      </c>
      <c r="R9" s="2"/>
      <c r="S9" s="2"/>
      <c r="T9" s="2"/>
      <c r="U9" s="2"/>
    </row>
    <row r="10" spans="1:21" x14ac:dyDescent="0.25">
      <c r="A10" s="5" t="s">
        <v>5</v>
      </c>
      <c r="B10" s="89"/>
      <c r="C10" s="94"/>
      <c r="D10" s="94"/>
      <c r="E10" s="94"/>
      <c r="F10" s="94"/>
      <c r="G10" s="78"/>
      <c r="H10" s="94"/>
      <c r="I10" s="94"/>
      <c r="J10" s="94"/>
      <c r="K10" s="94"/>
      <c r="L10" s="94"/>
      <c r="M10" s="89"/>
      <c r="N10" s="90"/>
      <c r="O10" s="4"/>
      <c r="P10" s="4"/>
      <c r="Q10" s="90"/>
      <c r="R10" s="2"/>
      <c r="S10" s="2"/>
      <c r="T10" s="2"/>
      <c r="U10" s="2"/>
    </row>
    <row r="11" spans="1:21" ht="15.75" x14ac:dyDescent="0.25">
      <c r="A11" s="4" t="s">
        <v>63</v>
      </c>
      <c r="B11" s="95">
        <v>376790</v>
      </c>
      <c r="C11" s="96">
        <f>173119</f>
        <v>173119</v>
      </c>
      <c r="D11" s="97">
        <v>36000</v>
      </c>
      <c r="E11" s="97">
        <f>42200+35700+22000</f>
        <v>99900</v>
      </c>
      <c r="F11" s="97">
        <v>115074</v>
      </c>
      <c r="G11" s="95">
        <f>+C11+D11+E11+F11</f>
        <v>424093</v>
      </c>
      <c r="H11" s="96">
        <v>952.25</v>
      </c>
      <c r="I11" s="98">
        <v>90204.14</v>
      </c>
      <c r="J11" s="98">
        <f>+K11-I11</f>
        <v>154704.95000000001</v>
      </c>
      <c r="K11" s="98">
        <v>244909.09</v>
      </c>
      <c r="L11" s="98">
        <v>39428.01</v>
      </c>
      <c r="M11" s="99">
        <f>+H11+K11+L11</f>
        <v>285289.34999999998</v>
      </c>
      <c r="N11" s="100">
        <v>60769.59</v>
      </c>
      <c r="O11" s="101">
        <f t="shared" ref="O11:O16" si="0">+M11+N11</f>
        <v>346058.93999999994</v>
      </c>
      <c r="P11" s="118">
        <f>+M11/G11</f>
        <v>0.67270468977323361</v>
      </c>
      <c r="Q11" s="118">
        <f>+O11/G11</f>
        <v>0.81599776464124596</v>
      </c>
      <c r="R11" s="2"/>
      <c r="S11" s="2"/>
      <c r="T11" s="2"/>
      <c r="U11" s="2"/>
    </row>
    <row r="12" spans="1:21" x14ac:dyDescent="0.25">
      <c r="A12" s="4" t="s">
        <v>6</v>
      </c>
      <c r="B12" s="95">
        <v>148422</v>
      </c>
      <c r="C12" s="96">
        <v>96000</v>
      </c>
      <c r="D12" s="97">
        <v>290000</v>
      </c>
      <c r="E12" s="97">
        <v>214890</v>
      </c>
      <c r="F12" s="97"/>
      <c r="G12" s="95">
        <f>+C12+D12+E12</f>
        <v>600890</v>
      </c>
      <c r="H12" s="96"/>
      <c r="I12" s="98">
        <v>76789.22</v>
      </c>
      <c r="J12" s="98">
        <f>+K12-I12</f>
        <v>314032.12</v>
      </c>
      <c r="K12" s="98">
        <v>390821.34</v>
      </c>
      <c r="L12" s="98">
        <v>107866.61</v>
      </c>
      <c r="M12" s="99">
        <f>+H12+I12+J12+L12</f>
        <v>498687.94999999995</v>
      </c>
      <c r="N12" s="100">
        <v>39124.22</v>
      </c>
      <c r="O12" s="101">
        <f t="shared" si="0"/>
        <v>537812.16999999993</v>
      </c>
      <c r="P12" s="118">
        <f t="shared" ref="P12:P17" si="1">+M12/G12</f>
        <v>0.82991554194611317</v>
      </c>
      <c r="Q12" s="118">
        <f t="shared" ref="Q12:Q17" si="2">+O12/G12</f>
        <v>0.8950259947744178</v>
      </c>
      <c r="R12" s="2"/>
      <c r="S12" s="2"/>
      <c r="T12" s="2"/>
      <c r="U12" s="2"/>
    </row>
    <row r="13" spans="1:21" x14ac:dyDescent="0.25">
      <c r="A13" s="4" t="s">
        <v>7</v>
      </c>
      <c r="B13" s="95">
        <v>775970</v>
      </c>
      <c r="C13" s="97">
        <f>80500</f>
        <v>80500</v>
      </c>
      <c r="D13" s="97">
        <v>108000</v>
      </c>
      <c r="E13" s="97">
        <v>89500</v>
      </c>
      <c r="F13" s="97">
        <v>45000</v>
      </c>
      <c r="G13" s="95">
        <f>+C13+D13+E13+F13</f>
        <v>323000</v>
      </c>
      <c r="H13" s="96">
        <f>610.55+1947.67+3212.36+570</f>
        <v>6340.58</v>
      </c>
      <c r="I13" s="94">
        <v>8571.2900000000009</v>
      </c>
      <c r="J13" s="98">
        <f>+K13-I13</f>
        <v>63440.07</v>
      </c>
      <c r="K13" s="94">
        <v>72011.360000000001</v>
      </c>
      <c r="L13" s="94">
        <v>3460.22</v>
      </c>
      <c r="M13" s="99">
        <f>+H13+I13+J13+L13</f>
        <v>81812.160000000003</v>
      </c>
      <c r="N13" s="100">
        <v>855.58</v>
      </c>
      <c r="O13" s="101">
        <f t="shared" si="0"/>
        <v>82667.740000000005</v>
      </c>
      <c r="P13" s="118">
        <f t="shared" si="1"/>
        <v>0.25328842105263161</v>
      </c>
      <c r="Q13" s="118">
        <f t="shared" si="2"/>
        <v>0.25593727554179568</v>
      </c>
      <c r="R13" s="2"/>
      <c r="S13" s="2"/>
      <c r="T13" s="2"/>
      <c r="U13" s="2"/>
    </row>
    <row r="14" spans="1:21" x14ac:dyDescent="0.25">
      <c r="A14" s="4" t="s">
        <v>64</v>
      </c>
      <c r="B14" s="95">
        <f>141323-30000</f>
        <v>111323</v>
      </c>
      <c r="C14" s="96">
        <f>75000-30000</f>
        <v>45000</v>
      </c>
      <c r="D14" s="97">
        <v>40000</v>
      </c>
      <c r="E14" s="97">
        <v>0</v>
      </c>
      <c r="F14" s="97">
        <v>-45000</v>
      </c>
      <c r="G14" s="95">
        <f>+C14+D14+E14+F14</f>
        <v>40000</v>
      </c>
      <c r="H14" s="96"/>
      <c r="I14" s="98">
        <v>2669.66</v>
      </c>
      <c r="J14" s="98">
        <f>+K14-I14</f>
        <v>12911.65</v>
      </c>
      <c r="K14" s="98">
        <v>15581.31</v>
      </c>
      <c r="L14" s="98">
        <v>790.54</v>
      </c>
      <c r="M14" s="99">
        <f>+H14+I14+J14+L14</f>
        <v>16371.849999999999</v>
      </c>
      <c r="N14" s="100">
        <v>0</v>
      </c>
      <c r="O14" s="101">
        <f t="shared" si="0"/>
        <v>16371.849999999999</v>
      </c>
      <c r="P14" s="118">
        <f t="shared" si="1"/>
        <v>0.40929624999999997</v>
      </c>
      <c r="Q14" s="118">
        <f t="shared" si="2"/>
        <v>0.40929624999999997</v>
      </c>
      <c r="R14" s="2"/>
      <c r="S14" s="2"/>
      <c r="T14" s="2"/>
      <c r="U14" s="2"/>
    </row>
    <row r="15" spans="1:21" x14ac:dyDescent="0.25">
      <c r="A15" s="4" t="s">
        <v>8</v>
      </c>
      <c r="B15" s="95"/>
      <c r="C15" s="97"/>
      <c r="D15" s="97"/>
      <c r="E15" s="97">
        <v>15000</v>
      </c>
      <c r="F15" s="97"/>
      <c r="G15" s="95">
        <f>+C15+D15+E15</f>
        <v>15000</v>
      </c>
      <c r="H15" s="97"/>
      <c r="I15" s="94"/>
      <c r="J15" s="94"/>
      <c r="K15" s="94"/>
      <c r="L15" s="94"/>
      <c r="M15" s="99">
        <f>+H15+I15+J15+L15</f>
        <v>0</v>
      </c>
      <c r="N15" s="100"/>
      <c r="O15" s="101">
        <f t="shared" si="0"/>
        <v>0</v>
      </c>
      <c r="P15" s="118">
        <f t="shared" si="1"/>
        <v>0</v>
      </c>
      <c r="Q15" s="118">
        <f t="shared" si="2"/>
        <v>0</v>
      </c>
      <c r="R15" s="2"/>
      <c r="S15" s="2"/>
      <c r="T15" s="2"/>
      <c r="U15" s="2"/>
    </row>
    <row r="16" spans="1:21" x14ac:dyDescent="0.25">
      <c r="A16" s="4" t="s">
        <v>13</v>
      </c>
      <c r="B16" s="95">
        <v>30000</v>
      </c>
      <c r="C16" s="97">
        <f>24348</f>
        <v>24348</v>
      </c>
      <c r="D16" s="97">
        <v>115074</v>
      </c>
      <c r="E16" s="97">
        <v>15174</v>
      </c>
      <c r="F16" s="97">
        <v>-115074</v>
      </c>
      <c r="G16" s="95">
        <f>+C16+D16+E16+F16</f>
        <v>39522</v>
      </c>
      <c r="H16" s="97"/>
      <c r="I16" s="94">
        <v>18220.080000000002</v>
      </c>
      <c r="J16" s="98">
        <f>+K16-I16</f>
        <v>16410.46</v>
      </c>
      <c r="K16" s="94">
        <v>34630.54</v>
      </c>
      <c r="L16" s="94">
        <v>8066.24</v>
      </c>
      <c r="M16" s="99">
        <f>+H16+I16+J16+L16</f>
        <v>42696.78</v>
      </c>
      <c r="N16" s="100">
        <v>3748.39</v>
      </c>
      <c r="O16" s="102">
        <f t="shared" si="0"/>
        <v>46445.17</v>
      </c>
      <c r="P16" s="118">
        <f t="shared" si="1"/>
        <v>1.0803294367693943</v>
      </c>
      <c r="Q16" s="118">
        <f t="shared" si="2"/>
        <v>1.1751725621173017</v>
      </c>
      <c r="R16" s="2"/>
      <c r="S16" s="2"/>
      <c r="T16" s="2"/>
      <c r="U16" s="2"/>
    </row>
    <row r="17" spans="1:21" x14ac:dyDescent="0.25">
      <c r="A17" s="115" t="s">
        <v>9</v>
      </c>
      <c r="B17" s="123">
        <f t="shared" ref="B17:O17" si="3">SUM(B11:B16)</f>
        <v>1442505</v>
      </c>
      <c r="C17" s="124">
        <f t="shared" si="3"/>
        <v>418967</v>
      </c>
      <c r="D17" s="124">
        <f t="shared" si="3"/>
        <v>589074</v>
      </c>
      <c r="E17" s="124">
        <f t="shared" si="3"/>
        <v>434464</v>
      </c>
      <c r="F17" s="124">
        <f t="shared" si="3"/>
        <v>0</v>
      </c>
      <c r="G17" s="125">
        <f t="shared" si="3"/>
        <v>1442505</v>
      </c>
      <c r="H17" s="124">
        <f t="shared" si="3"/>
        <v>7292.83</v>
      </c>
      <c r="I17" s="124">
        <f t="shared" si="3"/>
        <v>196454.39</v>
      </c>
      <c r="J17" s="124">
        <f t="shared" si="3"/>
        <v>561499.25</v>
      </c>
      <c r="K17" s="124">
        <f t="shared" si="3"/>
        <v>757953.64000000013</v>
      </c>
      <c r="L17" s="124">
        <f t="shared" si="3"/>
        <v>159611.62</v>
      </c>
      <c r="M17" s="126">
        <f t="shared" si="3"/>
        <v>924858.09</v>
      </c>
      <c r="N17" s="126">
        <f t="shared" si="3"/>
        <v>104497.78</v>
      </c>
      <c r="O17" s="126">
        <f t="shared" si="3"/>
        <v>1029355.8699999999</v>
      </c>
      <c r="P17" s="121">
        <f t="shared" si="1"/>
        <v>0.64114723345846281</v>
      </c>
      <c r="Q17" s="121">
        <f t="shared" si="2"/>
        <v>0.71358911754205345</v>
      </c>
      <c r="R17" s="2"/>
      <c r="S17" s="2"/>
      <c r="T17" s="2"/>
      <c r="U17" s="2"/>
    </row>
    <row r="18" spans="1:21" x14ac:dyDescent="0.25">
      <c r="A18" s="5" t="s">
        <v>10</v>
      </c>
      <c r="B18" s="103">
        <f>+(B17*0.07)-0.35</f>
        <v>100975</v>
      </c>
      <c r="C18" s="104">
        <f>+C17*0.07</f>
        <v>29327.690000000002</v>
      </c>
      <c r="D18" s="104">
        <f>+D17*0.07</f>
        <v>41235.18</v>
      </c>
      <c r="E18" s="104">
        <f>+E17*0.07</f>
        <v>30412.480000000003</v>
      </c>
      <c r="F18" s="104"/>
      <c r="G18" s="105">
        <f>+(G17*0.07)-0.35</f>
        <v>100975</v>
      </c>
      <c r="H18" s="104">
        <f t="shared" ref="H18:O18" si="4">+H17*0.07</f>
        <v>510.49810000000002</v>
      </c>
      <c r="I18" s="104">
        <f>+I17*0.07</f>
        <v>13751.807300000002</v>
      </c>
      <c r="J18" s="104">
        <f>+J17*0.07</f>
        <v>39304.947500000002</v>
      </c>
      <c r="K18" s="104">
        <f>+K17*0.07</f>
        <v>53056.754800000017</v>
      </c>
      <c r="L18" s="104">
        <f>+L17*0.07</f>
        <v>11172.813400000001</v>
      </c>
      <c r="M18" s="106">
        <f t="shared" si="4"/>
        <v>64740.066300000006</v>
      </c>
      <c r="N18" s="106">
        <f t="shared" si="4"/>
        <v>7314.8446000000004</v>
      </c>
      <c r="O18" s="106">
        <f t="shared" si="4"/>
        <v>72054.910900000003</v>
      </c>
      <c r="P18" s="118"/>
      <c r="Q18" s="118"/>
      <c r="R18" s="2"/>
      <c r="S18" s="2"/>
      <c r="T18" s="2"/>
      <c r="U18" s="2"/>
    </row>
    <row r="19" spans="1:21" x14ac:dyDescent="0.25">
      <c r="A19" s="115" t="s">
        <v>11</v>
      </c>
      <c r="B19" s="123">
        <f t="shared" ref="B19:O19" si="5">+B17+B18</f>
        <v>1543480</v>
      </c>
      <c r="C19" s="124">
        <f>+C17+C18</f>
        <v>448294.69</v>
      </c>
      <c r="D19" s="124">
        <f>+D17+D18</f>
        <v>630309.18000000005</v>
      </c>
      <c r="E19" s="124">
        <f>+E17+E18</f>
        <v>464876.48</v>
      </c>
      <c r="F19" s="124"/>
      <c r="G19" s="123">
        <f>+G17+G18</f>
        <v>1543480</v>
      </c>
      <c r="H19" s="124">
        <f t="shared" si="5"/>
        <v>7803.3280999999997</v>
      </c>
      <c r="I19" s="124">
        <f t="shared" si="5"/>
        <v>210206.19730000003</v>
      </c>
      <c r="J19" s="124">
        <f t="shared" si="5"/>
        <v>600804.19750000001</v>
      </c>
      <c r="K19" s="124">
        <f t="shared" si="5"/>
        <v>811010.39480000013</v>
      </c>
      <c r="L19" s="124">
        <f t="shared" si="5"/>
        <v>170784.43340000001</v>
      </c>
      <c r="M19" s="126">
        <f t="shared" si="5"/>
        <v>989598.15629999992</v>
      </c>
      <c r="N19" s="126">
        <f t="shared" si="5"/>
        <v>111812.6246</v>
      </c>
      <c r="O19" s="126">
        <f t="shared" si="5"/>
        <v>1101410.7808999999</v>
      </c>
      <c r="P19" s="121">
        <f t="shared" ref="P19" si="6">+M19/G19</f>
        <v>0.64114737884520689</v>
      </c>
      <c r="Q19" s="121">
        <f t="shared" ref="Q19" si="7">+O19/G19</f>
        <v>0.71358927935574146</v>
      </c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6"/>
      <c r="L20" s="6"/>
      <c r="M20" s="2"/>
      <c r="N20" s="2"/>
      <c r="O20" s="107"/>
      <c r="P20" s="2"/>
      <c r="Q20" s="2"/>
      <c r="R20" s="2"/>
      <c r="S20" s="2"/>
      <c r="T20" s="2"/>
      <c r="U20" s="2"/>
    </row>
    <row r="21" spans="1:21" x14ac:dyDescent="0.25">
      <c r="A21" s="1" t="s">
        <v>65</v>
      </c>
      <c r="B21" s="2"/>
      <c r="C21" s="2"/>
      <c r="D21" s="2"/>
      <c r="E21" s="107"/>
      <c r="F21" s="107"/>
      <c r="G21" s="2"/>
      <c r="H21" s="2"/>
      <c r="I21" s="2"/>
      <c r="J21" s="2"/>
      <c r="K21" s="2"/>
      <c r="L21" s="2"/>
      <c r="M21" s="2"/>
      <c r="N21" s="2"/>
      <c r="O21" s="107"/>
      <c r="P21" s="2"/>
      <c r="Q21" s="2"/>
      <c r="R21" s="2"/>
      <c r="S21" s="2"/>
      <c r="T21" s="2"/>
      <c r="U21" s="2"/>
    </row>
    <row r="22" spans="1:21" x14ac:dyDescent="0.25">
      <c r="A22" s="108" t="s">
        <v>66</v>
      </c>
      <c r="B22" s="2"/>
      <c r="C22" s="2"/>
      <c r="D22" s="2"/>
      <c r="E22" s="107"/>
      <c r="F22" s="107"/>
      <c r="G22" s="2"/>
      <c r="H22" s="2"/>
      <c r="I22" s="107"/>
      <c r="J22" s="107"/>
      <c r="K22" s="107"/>
      <c r="L22" s="107"/>
      <c r="M22" s="2"/>
      <c r="N22" s="2"/>
      <c r="O22" s="107"/>
      <c r="P22" s="2"/>
      <c r="Q22" s="2"/>
      <c r="R22" s="2"/>
      <c r="S22" s="2"/>
      <c r="T22" s="2"/>
      <c r="U22" s="2"/>
    </row>
    <row r="23" spans="1:21" x14ac:dyDescent="0.25">
      <c r="A23" s="108" t="s">
        <v>67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7"/>
      <c r="P23" s="2"/>
      <c r="Q23" s="2"/>
      <c r="R23" s="2"/>
      <c r="S23" s="2"/>
      <c r="T23" s="2"/>
      <c r="U23" s="2"/>
    </row>
    <row r="24" spans="1:21" x14ac:dyDescent="0.25">
      <c r="A24" s="108" t="s">
        <v>68</v>
      </c>
    </row>
    <row r="25" spans="1:21" x14ac:dyDescent="0.25">
      <c r="A25" s="141" t="s">
        <v>69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21" x14ac:dyDescent="0.25">
      <c r="A26" s="142" t="s">
        <v>70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21" x14ac:dyDescent="0.25">
      <c r="A27" s="109" t="s">
        <v>71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1:21" x14ac:dyDescent="0.25">
      <c r="A28" s="122" t="s">
        <v>72</v>
      </c>
    </row>
    <row r="29" spans="1:21" x14ac:dyDescent="0.25">
      <c r="A29" s="108"/>
    </row>
    <row r="30" spans="1:21" x14ac:dyDescent="0.25">
      <c r="A30" s="111"/>
    </row>
  </sheetData>
  <mergeCells count="2">
    <mergeCell ref="A25:O25"/>
    <mergeCell ref="A26:O2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2" workbookViewId="0">
      <selection activeCell="A33" sqref="A33"/>
    </sheetView>
  </sheetViews>
  <sheetFormatPr defaultColWidth="11.42578125" defaultRowHeight="15" x14ac:dyDescent="0.25"/>
  <cols>
    <col min="1" max="1" width="41" customWidth="1"/>
    <col min="2" max="2" width="17.140625" customWidth="1"/>
    <col min="3" max="3" width="16.28515625" customWidth="1"/>
    <col min="4" max="6" width="15.85546875" customWidth="1"/>
    <col min="7" max="7" width="13.28515625" customWidth="1"/>
    <col min="8" max="8" width="13" customWidth="1"/>
    <col min="9" max="9" width="13.140625" customWidth="1"/>
    <col min="10" max="10" width="13.28515625" customWidth="1"/>
    <col min="12" max="12" width="13.42578125" customWidth="1"/>
    <col min="13" max="13" width="12.85546875" customWidth="1"/>
  </cols>
  <sheetData>
    <row r="1" spans="1:1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4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</row>
    <row r="3" spans="1:14" x14ac:dyDescent="0.25">
      <c r="A3" s="1" t="s">
        <v>32</v>
      </c>
      <c r="B3" s="2"/>
      <c r="C3" s="2"/>
      <c r="D3" s="2"/>
      <c r="E3" s="2"/>
      <c r="F3" s="2"/>
      <c r="G3" s="2"/>
      <c r="H3" s="2"/>
      <c r="I3" s="2"/>
    </row>
    <row r="4" spans="1:14" x14ac:dyDescent="0.25">
      <c r="A4" s="2"/>
      <c r="B4" s="3"/>
      <c r="C4" s="3"/>
      <c r="D4" s="3"/>
      <c r="E4" s="3"/>
      <c r="F4" s="3"/>
      <c r="G4" s="3"/>
      <c r="H4" s="3"/>
      <c r="I4" s="2"/>
    </row>
    <row r="5" spans="1:14" x14ac:dyDescent="0.25">
      <c r="A5" s="2" t="s">
        <v>1</v>
      </c>
      <c r="B5" s="1" t="s">
        <v>80</v>
      </c>
      <c r="C5" s="2"/>
      <c r="D5" s="2"/>
      <c r="E5" s="2"/>
      <c r="F5" s="2"/>
      <c r="G5" s="2"/>
      <c r="H5" s="2"/>
      <c r="I5" s="2"/>
    </row>
    <row r="6" spans="1:14" x14ac:dyDescent="0.25">
      <c r="A6" s="2" t="s">
        <v>12</v>
      </c>
      <c r="B6" s="1" t="s">
        <v>14</v>
      </c>
      <c r="C6" s="2"/>
      <c r="D6" s="2"/>
      <c r="E6" s="2"/>
      <c r="F6" s="2"/>
      <c r="G6" s="2"/>
      <c r="H6" s="2"/>
      <c r="I6" s="2"/>
    </row>
    <row r="7" spans="1:14" ht="15.75" thickBot="1" x14ac:dyDescent="0.3">
      <c r="A7" s="2" t="s">
        <v>2</v>
      </c>
      <c r="B7" s="1" t="s">
        <v>15</v>
      </c>
      <c r="C7" s="2"/>
      <c r="D7" s="2"/>
      <c r="E7" s="2"/>
      <c r="F7" s="2"/>
      <c r="G7" s="2"/>
      <c r="H7" s="2"/>
      <c r="I7" s="2"/>
    </row>
    <row r="8" spans="1:14" x14ac:dyDescent="0.25">
      <c r="A8" s="2"/>
      <c r="B8" s="2"/>
      <c r="C8" s="2"/>
      <c r="D8" s="2"/>
      <c r="E8" s="2"/>
      <c r="F8" s="143" t="s">
        <v>33</v>
      </c>
      <c r="G8" s="144"/>
      <c r="H8" s="145"/>
      <c r="I8" s="143" t="s">
        <v>34</v>
      </c>
      <c r="J8" s="144"/>
      <c r="K8" s="145"/>
      <c r="L8" s="143" t="s">
        <v>35</v>
      </c>
      <c r="M8" s="144"/>
      <c r="N8" s="145"/>
    </row>
    <row r="9" spans="1:14" ht="51" x14ac:dyDescent="0.25">
      <c r="A9" s="7" t="s">
        <v>18</v>
      </c>
      <c r="B9" s="8" t="s">
        <v>3</v>
      </c>
      <c r="C9" s="33" t="s">
        <v>36</v>
      </c>
      <c r="D9" s="10" t="s">
        <v>37</v>
      </c>
      <c r="E9" s="34" t="s">
        <v>38</v>
      </c>
      <c r="F9" s="35" t="s">
        <v>20</v>
      </c>
      <c r="G9" s="10" t="s">
        <v>30</v>
      </c>
      <c r="H9" s="36" t="s">
        <v>4</v>
      </c>
      <c r="I9" s="35" t="s">
        <v>20</v>
      </c>
      <c r="J9" s="10" t="s">
        <v>30</v>
      </c>
      <c r="K9" s="36" t="s">
        <v>4</v>
      </c>
      <c r="L9" s="35" t="s">
        <v>20</v>
      </c>
      <c r="M9" s="10" t="s">
        <v>30</v>
      </c>
      <c r="N9" s="36" t="s">
        <v>4</v>
      </c>
    </row>
    <row r="10" spans="1:14" x14ac:dyDescent="0.25">
      <c r="A10" s="5" t="s">
        <v>31</v>
      </c>
      <c r="B10" s="6"/>
      <c r="C10" s="6"/>
      <c r="D10" s="6"/>
      <c r="E10" s="6"/>
      <c r="F10" s="37"/>
      <c r="G10" s="38"/>
      <c r="H10" s="39"/>
      <c r="I10" s="40"/>
      <c r="J10" s="41"/>
      <c r="K10" s="42"/>
      <c r="L10" s="40"/>
      <c r="M10" s="41"/>
      <c r="N10" s="42"/>
    </row>
    <row r="11" spans="1:14" ht="16.5" customHeight="1" x14ac:dyDescent="0.25">
      <c r="A11" s="43" t="s">
        <v>39</v>
      </c>
      <c r="B11" s="44">
        <v>67123</v>
      </c>
      <c r="C11" s="45">
        <v>54624</v>
      </c>
      <c r="D11" s="46">
        <v>12000</v>
      </c>
      <c r="E11" s="47">
        <v>0</v>
      </c>
      <c r="F11" s="48">
        <v>6841.85</v>
      </c>
      <c r="G11" s="49">
        <v>0</v>
      </c>
      <c r="H11" s="50">
        <f>F11+G11</f>
        <v>6841.85</v>
      </c>
      <c r="I11" s="51">
        <v>6404.1</v>
      </c>
      <c r="J11" s="49">
        <v>0</v>
      </c>
      <c r="K11" s="50">
        <f>I11+J11</f>
        <v>6404.1</v>
      </c>
      <c r="L11" s="51">
        <v>149.06</v>
      </c>
      <c r="M11" s="49">
        <v>0</v>
      </c>
      <c r="N11" s="50">
        <f>L11+M11</f>
        <v>149.06</v>
      </c>
    </row>
    <row r="12" spans="1:14" ht="17.25" customHeight="1" x14ac:dyDescent="0.25">
      <c r="A12" s="43" t="s">
        <v>40</v>
      </c>
      <c r="B12" s="44">
        <v>352486</v>
      </c>
      <c r="C12" s="45">
        <v>123188</v>
      </c>
      <c r="D12" s="46">
        <v>149400</v>
      </c>
      <c r="E12" s="47">
        <v>129000</v>
      </c>
      <c r="F12" s="48">
        <v>130181.56</v>
      </c>
      <c r="G12" s="49">
        <v>0</v>
      </c>
      <c r="H12" s="50">
        <f t="shared" ref="H12:H18" si="0">F12+G12</f>
        <v>130181.56</v>
      </c>
      <c r="I12" s="51">
        <v>194794.9</v>
      </c>
      <c r="J12" s="49">
        <v>0</v>
      </c>
      <c r="K12" s="50">
        <f t="shared" ref="K12:K18" si="1">I12+J12</f>
        <v>194794.9</v>
      </c>
      <c r="L12" s="51">
        <v>36247.129999999997</v>
      </c>
      <c r="M12" s="49">
        <v>73923.12</v>
      </c>
      <c r="N12" s="50">
        <f t="shared" ref="N12:N18" si="2">L12+M12</f>
        <v>110170.25</v>
      </c>
    </row>
    <row r="13" spans="1:14" x14ac:dyDescent="0.25">
      <c r="A13" s="43" t="s">
        <v>41</v>
      </c>
      <c r="B13" s="44">
        <v>77915</v>
      </c>
      <c r="C13" s="45">
        <v>43922</v>
      </c>
      <c r="D13" s="46">
        <v>11000</v>
      </c>
      <c r="E13" s="47">
        <v>9964.5</v>
      </c>
      <c r="F13" s="48">
        <v>30513.46</v>
      </c>
      <c r="G13" s="49">
        <v>0</v>
      </c>
      <c r="H13" s="50">
        <f t="shared" si="0"/>
        <v>30513.46</v>
      </c>
      <c r="I13" s="51">
        <v>43592.13</v>
      </c>
      <c r="J13" s="49">
        <v>0</v>
      </c>
      <c r="K13" s="50">
        <f t="shared" si="1"/>
        <v>43592.13</v>
      </c>
      <c r="L13" s="51">
        <v>5929.03</v>
      </c>
      <c r="M13" s="49">
        <v>0</v>
      </c>
      <c r="N13" s="50">
        <f t="shared" si="2"/>
        <v>5929.03</v>
      </c>
    </row>
    <row r="14" spans="1:14" x14ac:dyDescent="0.25">
      <c r="A14" s="43" t="s">
        <v>42</v>
      </c>
      <c r="B14" s="44">
        <v>108868</v>
      </c>
      <c r="C14" s="45">
        <v>80868</v>
      </c>
      <c r="D14" s="46">
        <v>0</v>
      </c>
      <c r="E14" s="47">
        <v>0</v>
      </c>
      <c r="F14" s="48">
        <v>0</v>
      </c>
      <c r="G14" s="49">
        <v>0</v>
      </c>
      <c r="H14" s="50">
        <f t="shared" si="0"/>
        <v>0</v>
      </c>
      <c r="I14" s="51">
        <v>0</v>
      </c>
      <c r="J14" s="49">
        <v>0</v>
      </c>
      <c r="K14" s="50">
        <f t="shared" si="1"/>
        <v>0</v>
      </c>
      <c r="L14" s="51">
        <v>0</v>
      </c>
      <c r="M14" s="49">
        <v>0</v>
      </c>
      <c r="N14" s="50">
        <f t="shared" si="2"/>
        <v>0</v>
      </c>
    </row>
    <row r="15" spans="1:14" ht="15.75" thickBot="1" x14ac:dyDescent="0.3">
      <c r="A15" s="52" t="s">
        <v>43</v>
      </c>
      <c r="B15" s="53">
        <v>52808</v>
      </c>
      <c r="C15" s="54">
        <v>12175</v>
      </c>
      <c r="D15" s="55">
        <v>17059</v>
      </c>
      <c r="E15" s="56">
        <v>16000</v>
      </c>
      <c r="F15" s="57">
        <v>23908.75</v>
      </c>
      <c r="G15" s="58">
        <v>0</v>
      </c>
      <c r="H15" s="59">
        <f t="shared" si="0"/>
        <v>23908.75</v>
      </c>
      <c r="I15" s="60">
        <v>24215.49</v>
      </c>
      <c r="J15" s="58">
        <v>0</v>
      </c>
      <c r="K15" s="59">
        <f t="shared" si="1"/>
        <v>24215.49</v>
      </c>
      <c r="L15" s="60">
        <v>5519.16</v>
      </c>
      <c r="M15" s="58">
        <v>0</v>
      </c>
      <c r="N15" s="59">
        <f t="shared" si="2"/>
        <v>5519.16</v>
      </c>
    </row>
    <row r="16" spans="1:14" ht="15.75" thickBot="1" x14ac:dyDescent="0.3">
      <c r="A16" s="61" t="s">
        <v>44</v>
      </c>
      <c r="B16" s="62">
        <f t="shared" ref="B16:G16" si="3">SUM(B11:B15)</f>
        <v>659200</v>
      </c>
      <c r="C16" s="62">
        <f t="shared" si="3"/>
        <v>314777</v>
      </c>
      <c r="D16" s="63">
        <f t="shared" si="3"/>
        <v>189459</v>
      </c>
      <c r="E16" s="63">
        <f t="shared" si="3"/>
        <v>154964.5</v>
      </c>
      <c r="F16" s="64">
        <f t="shared" si="3"/>
        <v>191445.62</v>
      </c>
      <c r="G16" s="65">
        <f t="shared" si="3"/>
        <v>0</v>
      </c>
      <c r="H16" s="66">
        <f t="shared" si="0"/>
        <v>191445.62</v>
      </c>
      <c r="I16" s="64">
        <f>SUM(I11:I15)</f>
        <v>269006.62</v>
      </c>
      <c r="J16" s="65">
        <f>SUM(J11:J15)</f>
        <v>0</v>
      </c>
      <c r="K16" s="66">
        <f t="shared" si="1"/>
        <v>269006.62</v>
      </c>
      <c r="L16" s="64">
        <f>SUM(L11:L15)</f>
        <v>47844.37999999999</v>
      </c>
      <c r="M16" s="65">
        <f>SUM(M11:M15)</f>
        <v>73923.12</v>
      </c>
      <c r="N16" s="66">
        <f t="shared" si="2"/>
        <v>121767.49999999999</v>
      </c>
    </row>
    <row r="17" spans="1:14" ht="15.75" thickBot="1" x14ac:dyDescent="0.3">
      <c r="A17" s="67" t="s">
        <v>45</v>
      </c>
      <c r="B17" s="68">
        <f t="shared" ref="B17:G17" si="4">B16*0.07</f>
        <v>46144.000000000007</v>
      </c>
      <c r="C17" s="68">
        <f t="shared" si="4"/>
        <v>22034.390000000003</v>
      </c>
      <c r="D17" s="69">
        <f t="shared" si="4"/>
        <v>13262.130000000001</v>
      </c>
      <c r="E17" s="69">
        <f t="shared" si="4"/>
        <v>10847.515000000001</v>
      </c>
      <c r="F17" s="70">
        <f t="shared" si="4"/>
        <v>13401.1934</v>
      </c>
      <c r="G17" s="71">
        <f t="shared" si="4"/>
        <v>0</v>
      </c>
      <c r="H17" s="72">
        <f t="shared" si="0"/>
        <v>13401.1934</v>
      </c>
      <c r="I17" s="70">
        <v>18830.46</v>
      </c>
      <c r="J17" s="71">
        <f>J16*0.07</f>
        <v>0</v>
      </c>
      <c r="K17" s="72">
        <f t="shared" si="1"/>
        <v>18830.46</v>
      </c>
      <c r="L17" s="70">
        <f>L16*0.07</f>
        <v>3349.1065999999996</v>
      </c>
      <c r="M17" s="71">
        <f>M16*0.07</f>
        <v>5174.6184000000003</v>
      </c>
      <c r="N17" s="72">
        <f t="shared" si="2"/>
        <v>8523.7250000000004</v>
      </c>
    </row>
    <row r="18" spans="1:14" ht="16.5" thickTop="1" thickBot="1" x14ac:dyDescent="0.3">
      <c r="A18" s="73" t="s">
        <v>46</v>
      </c>
      <c r="B18" s="74">
        <f t="shared" ref="B18:G18" si="5">SUM(B16:B17)</f>
        <v>705344</v>
      </c>
      <c r="C18" s="74">
        <f t="shared" si="5"/>
        <v>336811.39</v>
      </c>
      <c r="D18" s="75">
        <f t="shared" si="5"/>
        <v>202721.13</v>
      </c>
      <c r="E18" s="75">
        <f t="shared" si="5"/>
        <v>165812.01500000001</v>
      </c>
      <c r="F18" s="70">
        <f t="shared" si="5"/>
        <v>204846.81339999998</v>
      </c>
      <c r="G18" s="71">
        <f t="shared" si="5"/>
        <v>0</v>
      </c>
      <c r="H18" s="72">
        <f t="shared" si="0"/>
        <v>204846.81339999998</v>
      </c>
      <c r="I18" s="70">
        <f>I16+I17</f>
        <v>287837.08</v>
      </c>
      <c r="J18" s="71">
        <f>J16+J17</f>
        <v>0</v>
      </c>
      <c r="K18" s="72">
        <f t="shared" si="1"/>
        <v>287837.08</v>
      </c>
      <c r="L18" s="70">
        <f>L16+L17</f>
        <v>51193.486599999989</v>
      </c>
      <c r="M18" s="71">
        <f>M16+M17</f>
        <v>79097.738400000002</v>
      </c>
      <c r="N18" s="72">
        <f t="shared" si="2"/>
        <v>130291.22499999999</v>
      </c>
    </row>
    <row r="19" spans="1:14" ht="15.75" thickTop="1" x14ac:dyDescent="0.25"/>
    <row r="20" spans="1:14" x14ac:dyDescent="0.25">
      <c r="E20" s="76"/>
      <c r="L20" s="77"/>
    </row>
    <row r="21" spans="1:14" x14ac:dyDescent="0.25">
      <c r="A21" s="127" t="s">
        <v>81</v>
      </c>
      <c r="N21" s="77"/>
    </row>
    <row r="22" spans="1:14" ht="51" x14ac:dyDescent="0.25">
      <c r="A22" s="7" t="s">
        <v>18</v>
      </c>
      <c r="B22" s="13" t="s">
        <v>3</v>
      </c>
      <c r="C22" s="9" t="s">
        <v>75</v>
      </c>
      <c r="D22" s="9" t="s">
        <v>49</v>
      </c>
      <c r="E22" s="9" t="s">
        <v>76</v>
      </c>
      <c r="F22" s="7" t="s">
        <v>50</v>
      </c>
      <c r="G22" s="13" t="s">
        <v>51</v>
      </c>
      <c r="H22" s="9" t="s">
        <v>17</v>
      </c>
    </row>
    <row r="23" spans="1:14" x14ac:dyDescent="0.25">
      <c r="A23" s="5" t="s">
        <v>31</v>
      </c>
      <c r="F23" s="78"/>
      <c r="G23" s="78"/>
      <c r="H23" s="78"/>
    </row>
    <row r="24" spans="1:14" x14ac:dyDescent="0.25">
      <c r="A24" s="43" t="s">
        <v>39</v>
      </c>
      <c r="B24" s="79">
        <v>67123</v>
      </c>
      <c r="C24" s="80">
        <f>C11+D11+E11</f>
        <v>66624</v>
      </c>
      <c r="D24" s="49">
        <f>F11+I11+L11</f>
        <v>13395.01</v>
      </c>
      <c r="E24" s="81">
        <f>G11+J11+M11</f>
        <v>0</v>
      </c>
      <c r="F24" s="49">
        <f t="shared" ref="F24:F31" si="6">D24+E24</f>
        <v>13395.01</v>
      </c>
      <c r="G24" s="128">
        <f>+D24/C24</f>
        <v>0.2010538244476465</v>
      </c>
      <c r="H24" s="128">
        <f>+F24/C24</f>
        <v>0.2010538244476465</v>
      </c>
      <c r="I24" s="82"/>
      <c r="J24" s="83"/>
      <c r="K24" s="84"/>
    </row>
    <row r="25" spans="1:14" x14ac:dyDescent="0.25">
      <c r="A25" s="43" t="s">
        <v>40</v>
      </c>
      <c r="B25" s="79">
        <v>352486</v>
      </c>
      <c r="C25" s="80">
        <f>C12+D12+E12</f>
        <v>401588</v>
      </c>
      <c r="D25" s="49">
        <f>F12+I12+L12</f>
        <v>361223.58999999997</v>
      </c>
      <c r="E25" s="81">
        <f>+J12+M12</f>
        <v>73923.12</v>
      </c>
      <c r="F25" s="49">
        <f t="shared" si="6"/>
        <v>435146.70999999996</v>
      </c>
      <c r="G25" s="128">
        <f t="shared" ref="G25:G31" si="7">+D25/C25</f>
        <v>0.89948800760978909</v>
      </c>
      <c r="H25" s="128">
        <f t="shared" ref="H25:H31" si="8">+F25/C25</f>
        <v>1.0835650218632029</v>
      </c>
      <c r="I25" s="82"/>
      <c r="J25" s="83"/>
      <c r="K25" s="84"/>
    </row>
    <row r="26" spans="1:14" x14ac:dyDescent="0.25">
      <c r="A26" s="43" t="s">
        <v>41</v>
      </c>
      <c r="B26" s="79">
        <v>77915</v>
      </c>
      <c r="C26" s="80">
        <f>+C13+D13+E13</f>
        <v>64886.5</v>
      </c>
      <c r="D26" s="49">
        <f>F13+I13+L13</f>
        <v>80034.62</v>
      </c>
      <c r="E26" s="81">
        <f>G13+J13+M13</f>
        <v>0</v>
      </c>
      <c r="F26" s="49">
        <f t="shared" si="6"/>
        <v>80034.62</v>
      </c>
      <c r="G26" s="128">
        <f t="shared" si="7"/>
        <v>1.2334556494802462</v>
      </c>
      <c r="H26" s="128">
        <f t="shared" si="8"/>
        <v>1.2334556494802462</v>
      </c>
      <c r="I26" s="82"/>
      <c r="J26" s="83"/>
      <c r="K26" s="84"/>
    </row>
    <row r="27" spans="1:14" x14ac:dyDescent="0.25">
      <c r="A27" s="43" t="s">
        <v>42</v>
      </c>
      <c r="B27" s="79">
        <v>108868</v>
      </c>
      <c r="C27" s="80">
        <f>C14+D14+E14</f>
        <v>80868</v>
      </c>
      <c r="D27" s="49">
        <f>F14+I14+L14</f>
        <v>0</v>
      </c>
      <c r="E27" s="81">
        <f>G14+J14+M14</f>
        <v>0</v>
      </c>
      <c r="F27" s="49">
        <f t="shared" si="6"/>
        <v>0</v>
      </c>
      <c r="G27" s="128">
        <f t="shared" si="7"/>
        <v>0</v>
      </c>
      <c r="H27" s="128">
        <f t="shared" si="8"/>
        <v>0</v>
      </c>
      <c r="I27" s="82"/>
      <c r="J27" s="83"/>
      <c r="K27" s="84"/>
    </row>
    <row r="28" spans="1:14" x14ac:dyDescent="0.25">
      <c r="A28" s="43" t="s">
        <v>43</v>
      </c>
      <c r="B28" s="79">
        <v>52808</v>
      </c>
      <c r="C28" s="80">
        <f>C15+D15+E15</f>
        <v>45234</v>
      </c>
      <c r="D28" s="49">
        <f>F15+I15+L15</f>
        <v>53643.400000000009</v>
      </c>
      <c r="E28" s="81">
        <f>+G15+J15+M15</f>
        <v>0</v>
      </c>
      <c r="F28" s="49">
        <f t="shared" si="6"/>
        <v>53643.400000000009</v>
      </c>
      <c r="G28" s="128">
        <f t="shared" si="7"/>
        <v>1.1859088296414204</v>
      </c>
      <c r="H28" s="128">
        <f t="shared" si="8"/>
        <v>1.1859088296414204</v>
      </c>
      <c r="I28" s="82"/>
      <c r="J28" s="83"/>
      <c r="K28" s="84"/>
    </row>
    <row r="29" spans="1:14" x14ac:dyDescent="0.25">
      <c r="A29" s="130" t="s">
        <v>44</v>
      </c>
      <c r="B29" s="131">
        <f>SUM(B24:B28)</f>
        <v>659200</v>
      </c>
      <c r="C29" s="131">
        <f>SUM(C24:C28)</f>
        <v>659200.5</v>
      </c>
      <c r="D29" s="132">
        <f>SUM(D24:D28)</f>
        <v>508296.62</v>
      </c>
      <c r="E29" s="133">
        <f>SUM(E24:E28)</f>
        <v>73923.12</v>
      </c>
      <c r="F29" s="132">
        <f t="shared" si="6"/>
        <v>582219.74</v>
      </c>
      <c r="G29" s="134">
        <f t="shared" si="7"/>
        <v>0.7710804527605789</v>
      </c>
      <c r="H29" s="134">
        <f t="shared" si="8"/>
        <v>0.88322102304230654</v>
      </c>
      <c r="I29" s="85"/>
      <c r="J29" s="83"/>
      <c r="K29" s="84"/>
    </row>
    <row r="30" spans="1:14" ht="15.75" thickBot="1" x14ac:dyDescent="0.3">
      <c r="A30" s="129" t="s">
        <v>45</v>
      </c>
      <c r="B30" s="86">
        <f>B29*0.07</f>
        <v>46144.000000000007</v>
      </c>
      <c r="C30" s="86">
        <f>C29*0.07</f>
        <v>46144.035000000003</v>
      </c>
      <c r="D30" s="49">
        <f>F17+I17+L17</f>
        <v>35580.76</v>
      </c>
      <c r="E30" s="81">
        <f>J17+M17</f>
        <v>5174.6184000000003</v>
      </c>
      <c r="F30" s="49">
        <f t="shared" si="6"/>
        <v>40755.378400000001</v>
      </c>
      <c r="G30" s="128"/>
      <c r="H30" s="128"/>
      <c r="I30" s="41"/>
      <c r="J30" s="83"/>
    </row>
    <row r="31" spans="1:14" ht="16.5" thickTop="1" thickBot="1" x14ac:dyDescent="0.3">
      <c r="A31" s="135" t="s">
        <v>46</v>
      </c>
      <c r="B31" s="131">
        <f>SUM(B29:B30)</f>
        <v>705344</v>
      </c>
      <c r="C31" s="131">
        <f>SUM(C29:C30)</f>
        <v>705344.53500000003</v>
      </c>
      <c r="D31" s="132">
        <f>SUM(D29:D30)</f>
        <v>543877.38</v>
      </c>
      <c r="E31" s="133">
        <f>SUM(E29:E30)</f>
        <v>79097.738400000002</v>
      </c>
      <c r="F31" s="132">
        <f t="shared" si="6"/>
        <v>622975.11840000004</v>
      </c>
      <c r="G31" s="134">
        <f t="shared" si="7"/>
        <v>0.77108044794023956</v>
      </c>
      <c r="H31" s="134">
        <f t="shared" si="8"/>
        <v>0.88322101822196719</v>
      </c>
      <c r="I31" s="87"/>
      <c r="J31" s="83"/>
      <c r="K31" s="84"/>
    </row>
    <row r="32" spans="1:14" ht="15.75" thickTop="1" x14ac:dyDescent="0.25"/>
    <row r="33" spans="1:1" x14ac:dyDescent="0.25">
      <c r="A33" s="122" t="s">
        <v>72</v>
      </c>
    </row>
  </sheetData>
  <mergeCells count="3">
    <mergeCell ref="F8:H8"/>
    <mergeCell ref="I8:K8"/>
    <mergeCell ref="L8:N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D23" sqref="D23"/>
    </sheetView>
  </sheetViews>
  <sheetFormatPr defaultColWidth="10.28515625" defaultRowHeight="15" x14ac:dyDescent="0.25"/>
  <cols>
    <col min="1" max="1" width="35.85546875" customWidth="1"/>
    <col min="2" max="2" width="16.85546875" customWidth="1"/>
    <col min="3" max="3" width="12.42578125" customWidth="1"/>
    <col min="4" max="4" width="14" customWidth="1"/>
    <col min="5" max="5" width="14.140625" customWidth="1"/>
    <col min="6" max="6" width="11.7109375" customWidth="1"/>
    <col min="7" max="7" width="14" customWidth="1"/>
    <col min="8" max="8" width="13.5703125" customWidth="1"/>
  </cols>
  <sheetData>
    <row r="1" spans="1:8" x14ac:dyDescent="0.25">
      <c r="A1" s="20" t="s">
        <v>0</v>
      </c>
      <c r="B1" s="21"/>
      <c r="C1" s="21"/>
      <c r="D1" s="21"/>
      <c r="E1" s="21"/>
      <c r="F1" s="21"/>
      <c r="G1" s="21"/>
      <c r="H1" s="22"/>
    </row>
    <row r="2" spans="1:8" x14ac:dyDescent="0.25">
      <c r="A2" s="20" t="s">
        <v>27</v>
      </c>
      <c r="B2" s="21"/>
      <c r="C2" s="21"/>
      <c r="D2" s="21"/>
      <c r="E2" s="21"/>
      <c r="F2" s="21"/>
      <c r="G2" s="21"/>
      <c r="H2" s="22"/>
    </row>
    <row r="3" spans="1:8" x14ac:dyDescent="0.25">
      <c r="A3" s="20" t="s">
        <v>28</v>
      </c>
      <c r="B3" s="21"/>
      <c r="C3" s="21"/>
      <c r="D3" s="21"/>
      <c r="E3" s="21"/>
      <c r="F3" s="21"/>
      <c r="G3" s="21"/>
      <c r="H3" s="22"/>
    </row>
    <row r="4" spans="1:8" x14ac:dyDescent="0.25">
      <c r="A4" s="21"/>
      <c r="B4" s="23"/>
      <c r="C4" s="23"/>
      <c r="D4" s="23"/>
      <c r="E4" s="23"/>
      <c r="F4" s="23"/>
      <c r="G4" s="21"/>
      <c r="H4" s="22"/>
    </row>
    <row r="5" spans="1:8" x14ac:dyDescent="0.25">
      <c r="A5" s="21" t="s">
        <v>1</v>
      </c>
      <c r="B5" s="20" t="s">
        <v>29</v>
      </c>
      <c r="C5" s="20"/>
      <c r="D5" s="21"/>
      <c r="E5" s="21"/>
      <c r="F5" s="21"/>
      <c r="G5" s="21"/>
      <c r="H5" s="21"/>
    </row>
    <row r="6" spans="1:8" x14ac:dyDescent="0.25">
      <c r="A6" s="21" t="s">
        <v>12</v>
      </c>
      <c r="B6" s="20" t="s">
        <v>14</v>
      </c>
      <c r="C6" s="20"/>
      <c r="D6" s="21"/>
      <c r="E6" s="21"/>
      <c r="F6" s="21"/>
      <c r="G6" s="21"/>
      <c r="H6" s="21"/>
    </row>
    <row r="7" spans="1:8" x14ac:dyDescent="0.25">
      <c r="A7" s="21" t="s">
        <v>2</v>
      </c>
      <c r="B7" s="20" t="s">
        <v>15</v>
      </c>
      <c r="C7" s="20"/>
      <c r="D7" s="21"/>
      <c r="E7" s="21"/>
      <c r="F7" s="21"/>
      <c r="G7" s="21"/>
      <c r="H7" s="21"/>
    </row>
    <row r="8" spans="1:8" x14ac:dyDescent="0.25">
      <c r="A8" s="21"/>
      <c r="B8" s="21"/>
      <c r="C8" s="21"/>
      <c r="D8" s="21"/>
      <c r="E8" s="21"/>
      <c r="F8" s="21"/>
      <c r="G8" s="21"/>
      <c r="H8" s="22"/>
    </row>
    <row r="9" spans="1:8" ht="51" x14ac:dyDescent="0.25">
      <c r="A9" s="24" t="s">
        <v>18</v>
      </c>
      <c r="B9" s="13" t="s">
        <v>3</v>
      </c>
      <c r="C9" s="9" t="s">
        <v>75</v>
      </c>
      <c r="D9" s="9" t="s">
        <v>49</v>
      </c>
      <c r="E9" s="9" t="s">
        <v>76</v>
      </c>
      <c r="F9" s="7" t="s">
        <v>50</v>
      </c>
      <c r="G9" s="13" t="s">
        <v>51</v>
      </c>
      <c r="H9" s="9" t="s">
        <v>17</v>
      </c>
    </row>
    <row r="10" spans="1:8" x14ac:dyDescent="0.25">
      <c r="A10" s="25" t="s">
        <v>31</v>
      </c>
      <c r="B10" s="26"/>
      <c r="C10" s="26"/>
      <c r="D10" s="26"/>
      <c r="E10" s="27"/>
      <c r="F10" s="21"/>
      <c r="G10" s="21"/>
      <c r="H10" s="22"/>
    </row>
    <row r="11" spans="1:8" x14ac:dyDescent="0.25">
      <c r="A11" s="28" t="s">
        <v>21</v>
      </c>
      <c r="B11" s="29">
        <v>296523</v>
      </c>
      <c r="C11" s="29">
        <v>296523</v>
      </c>
      <c r="D11" s="30">
        <f>+'[1]Resumen 31 Mar 2012'!F56</f>
        <v>291170.61</v>
      </c>
      <c r="E11" s="31"/>
      <c r="F11" s="32">
        <f t="shared" ref="F11:F16" si="0">+E11+D11</f>
        <v>291170.61</v>
      </c>
      <c r="G11" s="139">
        <f>+D11/C11</f>
        <v>0.98194949464291126</v>
      </c>
      <c r="H11" s="139">
        <f>+F11/C11</f>
        <v>0.98194949464291126</v>
      </c>
    </row>
    <row r="12" spans="1:8" x14ac:dyDescent="0.25">
      <c r="A12" s="28" t="s">
        <v>6</v>
      </c>
      <c r="B12" s="29">
        <v>130400</v>
      </c>
      <c r="C12" s="29">
        <v>130400</v>
      </c>
      <c r="D12" s="30">
        <f>+'[1]Resumen 31 Mar 2012'!E56</f>
        <v>123348.76</v>
      </c>
      <c r="E12" s="31"/>
      <c r="F12" s="32">
        <f t="shared" si="0"/>
        <v>123348.76</v>
      </c>
      <c r="G12" s="139">
        <f t="shared" ref="G12:G19" si="1">+D12/C12</f>
        <v>0.94592607361963188</v>
      </c>
      <c r="H12" s="139">
        <f t="shared" ref="H12:H19" si="2">+F12/C12</f>
        <v>0.94592607361963188</v>
      </c>
    </row>
    <row r="13" spans="1:8" x14ac:dyDescent="0.25">
      <c r="A13" s="28" t="s">
        <v>7</v>
      </c>
      <c r="B13" s="32">
        <v>716900</v>
      </c>
      <c r="C13" s="32">
        <v>716900</v>
      </c>
      <c r="D13" s="30">
        <f>+'[1]Resumen 31 Mar 2012'!D56</f>
        <v>465675.94000000006</v>
      </c>
      <c r="E13" s="31"/>
      <c r="F13" s="32">
        <f t="shared" si="0"/>
        <v>465675.94000000006</v>
      </c>
      <c r="G13" s="139">
        <f t="shared" si="1"/>
        <v>0.64956889384851457</v>
      </c>
      <c r="H13" s="139">
        <f t="shared" si="2"/>
        <v>0.64956889384851457</v>
      </c>
    </row>
    <row r="14" spans="1:8" x14ac:dyDescent="0.25">
      <c r="A14" s="28" t="s">
        <v>22</v>
      </c>
      <c r="B14" s="31">
        <v>132230</v>
      </c>
      <c r="C14" s="31">
        <v>132230</v>
      </c>
      <c r="D14" s="30">
        <f>+'[1]Resumen 31 Mar 2012'!C56</f>
        <v>22900.11</v>
      </c>
      <c r="E14" s="31"/>
      <c r="F14" s="32">
        <f t="shared" si="0"/>
        <v>22900.11</v>
      </c>
      <c r="G14" s="139">
        <f t="shared" si="1"/>
        <v>0.17318392195417076</v>
      </c>
      <c r="H14" s="139">
        <f t="shared" si="2"/>
        <v>0.17318392195417076</v>
      </c>
    </row>
    <row r="15" spans="1:8" x14ac:dyDescent="0.25">
      <c r="A15" s="28" t="s">
        <v>8</v>
      </c>
      <c r="B15" s="32">
        <v>81400</v>
      </c>
      <c r="C15" s="32">
        <v>81400</v>
      </c>
      <c r="D15" s="30">
        <f>+'[1]Resumen 31 Mar 2012'!G56</f>
        <v>34660.51</v>
      </c>
      <c r="E15" s="31"/>
      <c r="F15" s="32">
        <f t="shared" si="0"/>
        <v>34660.51</v>
      </c>
      <c r="G15" s="139">
        <f t="shared" si="1"/>
        <v>0.4258047911547912</v>
      </c>
      <c r="H15" s="139">
        <f t="shared" si="2"/>
        <v>0.4258047911547912</v>
      </c>
    </row>
    <row r="16" spans="1:8" x14ac:dyDescent="0.25">
      <c r="A16" s="28" t="s">
        <v>13</v>
      </c>
      <c r="B16" s="32">
        <v>2000</v>
      </c>
      <c r="C16" s="32">
        <v>2000</v>
      </c>
      <c r="D16" s="30">
        <v>0</v>
      </c>
      <c r="E16" s="31"/>
      <c r="F16" s="32">
        <f t="shared" si="0"/>
        <v>0</v>
      </c>
      <c r="G16" s="139">
        <f>IF(D16=0,0,D16/C16)</f>
        <v>0</v>
      </c>
      <c r="H16" s="139">
        <f>IF(F16=0,0,E16/C16)</f>
        <v>0</v>
      </c>
    </row>
    <row r="17" spans="1:8" x14ac:dyDescent="0.25">
      <c r="A17" s="136" t="s">
        <v>9</v>
      </c>
      <c r="B17" s="137">
        <f>SUM(B11:B16)</f>
        <v>1359453</v>
      </c>
      <c r="C17" s="137">
        <f>SUM(C11:C16)</f>
        <v>1359453</v>
      </c>
      <c r="D17" s="137">
        <f>SUM(D11:D16)</f>
        <v>937755.93</v>
      </c>
      <c r="E17" s="137">
        <f>SUM(E11:E16)</f>
        <v>0</v>
      </c>
      <c r="F17" s="137">
        <f>SUM(F11:F16)</f>
        <v>937755.93</v>
      </c>
      <c r="G17" s="140">
        <f t="shared" si="1"/>
        <v>0.68980386228872936</v>
      </c>
      <c r="H17" s="140">
        <f t="shared" si="2"/>
        <v>0.68980386228872936</v>
      </c>
    </row>
    <row r="18" spans="1:8" x14ac:dyDescent="0.25">
      <c r="A18" s="28" t="s">
        <v>10</v>
      </c>
      <c r="B18" s="32">
        <f>+B17*0.07</f>
        <v>95161.71</v>
      </c>
      <c r="C18" s="32">
        <f>+C17*0.07</f>
        <v>95161.71</v>
      </c>
      <c r="D18" s="32">
        <f>+D17*0.07</f>
        <v>65642.915100000013</v>
      </c>
      <c r="E18" s="31">
        <v>0</v>
      </c>
      <c r="F18" s="32">
        <f>+D18+E18</f>
        <v>65642.915100000013</v>
      </c>
      <c r="G18" s="139"/>
      <c r="H18" s="139"/>
    </row>
    <row r="19" spans="1:8" x14ac:dyDescent="0.25">
      <c r="A19" s="136" t="s">
        <v>11</v>
      </c>
      <c r="B19" s="137">
        <f>+B17+B18</f>
        <v>1454614.71</v>
      </c>
      <c r="C19" s="137">
        <f>+C17+C18</f>
        <v>1454614.71</v>
      </c>
      <c r="D19" s="138">
        <f>+D17+D18</f>
        <v>1003398.8451</v>
      </c>
      <c r="E19" s="137">
        <f>+E17+E18</f>
        <v>0</v>
      </c>
      <c r="F19" s="137">
        <f>+F17+F18</f>
        <v>1003398.8451</v>
      </c>
      <c r="G19" s="140">
        <f t="shared" si="1"/>
        <v>0.68980386228872936</v>
      </c>
      <c r="H19" s="140">
        <f t="shared" si="2"/>
        <v>0.68980386228872936</v>
      </c>
    </row>
    <row r="21" spans="1:8" x14ac:dyDescent="0.25">
      <c r="A21" s="12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FAO</vt:lpstr>
      <vt:lpstr>PMA</vt:lpstr>
      <vt:lpstr>OPS-OMS</vt:lpstr>
      <vt:lpstr>UNODC</vt:lpstr>
      <vt:lpstr>UNICEF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mariaeugenia.mujica</dc:creator>
  <cp:lastModifiedBy>Nikica Grubnic</cp:lastModifiedBy>
  <cp:lastPrinted>2012-04-11T16:24:55Z</cp:lastPrinted>
  <dcterms:created xsi:type="dcterms:W3CDTF">2010-04-08T17:13:17Z</dcterms:created>
  <dcterms:modified xsi:type="dcterms:W3CDTF">2012-04-25T21:22:25Z</dcterms:modified>
</cp:coreProperties>
</file>