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55" yWindow="195" windowWidth="18570" windowHeight="3765" firstSheet="1" activeTab="2"/>
  </bookViews>
  <sheets>
    <sheet name="MR vigente a dic 2010" sheetId="1" r:id="rId1"/>
    <sheet name="MR reformulado" sheetId="2" r:id="rId2"/>
    <sheet name="SeguimientomMref 2012" sheetId="3" r:id="rId3"/>
    <sheet name="Hoja1" sheetId="4" r:id="rId4"/>
  </sheets>
  <externalReferences>
    <externalReference r:id="rId5"/>
    <externalReference r:id="rId6"/>
  </externalReferences>
  <definedNames>
    <definedName name="_xlnm._FilterDatabase" localSheetId="1" hidden="1">'MR reformulado'!$A$6:$L$72</definedName>
    <definedName name="_xlnm._FilterDatabase" localSheetId="2" hidden="1">'SeguimientomMref 2012'!$A$21:$P$104</definedName>
    <definedName name="_xlnm.Print_Titles" localSheetId="2">'SeguimientomMref 2012'!$20:$21</definedName>
  </definedNames>
  <calcPr calcId="145621"/>
</workbook>
</file>

<file path=xl/calcChain.xml><?xml version="1.0" encoding="utf-8"?>
<calcChain xmlns="http://schemas.openxmlformats.org/spreadsheetml/2006/main">
  <c r="H103" i="3" l="1"/>
  <c r="I103" i="3"/>
  <c r="H101" i="3"/>
  <c r="I101" i="3"/>
  <c r="H99" i="3"/>
  <c r="H98" i="3"/>
  <c r="I98" i="3"/>
  <c r="I8" i="3" l="1"/>
  <c r="H8" i="3" l="1"/>
  <c r="H102" i="3" s="1"/>
  <c r="I88" i="3"/>
  <c r="I72" i="3"/>
  <c r="H60" i="3"/>
  <c r="I58" i="3"/>
  <c r="I51" i="3"/>
  <c r="I50" i="3" l="1"/>
  <c r="I49" i="3"/>
  <c r="I46" i="3"/>
  <c r="I100" i="3" s="1"/>
  <c r="G8" i="3"/>
  <c r="I74" i="3"/>
  <c r="I70" i="3"/>
  <c r="E102" i="3"/>
  <c r="E98" i="3"/>
  <c r="G7" i="3"/>
  <c r="F98" i="3" s="1"/>
  <c r="K90" i="3"/>
  <c r="K89" i="3"/>
  <c r="K88" i="3"/>
  <c r="K87" i="3"/>
  <c r="K83" i="3"/>
  <c r="K77" i="3"/>
  <c r="K76" i="3"/>
  <c r="K74" i="3"/>
  <c r="K70" i="3"/>
  <c r="K68" i="3"/>
  <c r="K67" i="3"/>
  <c r="K65" i="3"/>
  <c r="K64" i="3"/>
  <c r="K63" i="3"/>
  <c r="K62" i="3"/>
  <c r="K61" i="3"/>
  <c r="K60" i="3"/>
  <c r="K59" i="3"/>
  <c r="K57" i="3"/>
  <c r="K56" i="3"/>
  <c r="K54" i="3"/>
  <c r="K53" i="3"/>
  <c r="K50" i="3"/>
  <c r="K48" i="3"/>
  <c r="K47" i="3"/>
  <c r="K45" i="3"/>
  <c r="K44" i="3"/>
  <c r="K41" i="3"/>
  <c r="K37" i="3"/>
  <c r="K36" i="3"/>
  <c r="K35" i="3"/>
  <c r="K34" i="3"/>
  <c r="K30" i="3"/>
  <c r="K27" i="3"/>
  <c r="G73" i="3"/>
  <c r="F102" i="3" s="1"/>
  <c r="K73" i="3" l="1"/>
  <c r="G9" i="3"/>
  <c r="G82" i="3"/>
  <c r="G71" i="3"/>
  <c r="G66" i="3"/>
  <c r="G29" i="3"/>
  <c r="K29" i="3" s="1"/>
  <c r="G81" i="3"/>
  <c r="K81" i="3" s="1"/>
  <c r="G72" i="3"/>
  <c r="K72" i="3" s="1"/>
  <c r="G51" i="3"/>
  <c r="K51" i="3" s="1"/>
  <c r="G49" i="3"/>
  <c r="K49" i="3" s="1"/>
  <c r="G46" i="3"/>
  <c r="K46" i="3" s="1"/>
  <c r="G31" i="3"/>
  <c r="K31" i="3" s="1"/>
  <c r="F86" i="3"/>
  <c r="K66" i="3" l="1"/>
  <c r="F101" i="3"/>
  <c r="F100" i="3"/>
  <c r="K82" i="3"/>
  <c r="F91" i="3"/>
  <c r="G80" i="3"/>
  <c r="G78" i="3"/>
  <c r="K78" i="3" s="1"/>
  <c r="G79" i="3"/>
  <c r="F99" i="3" l="1"/>
  <c r="K26" i="3"/>
  <c r="I69" i="3"/>
  <c r="I102" i="3" s="1"/>
  <c r="K69" i="3" l="1"/>
  <c r="G39" i="3"/>
  <c r="K39" i="3" s="1"/>
  <c r="G33" i="3"/>
  <c r="K33" i="3" s="1"/>
  <c r="G43" i="3"/>
  <c r="K43" i="3" s="1"/>
  <c r="G32" i="3"/>
  <c r="K32" i="3" s="1"/>
  <c r="G38" i="3"/>
  <c r="K38" i="3" s="1"/>
  <c r="G28" i="3"/>
  <c r="K28" i="3" s="1"/>
  <c r="G25" i="3"/>
  <c r="F103" i="3" s="1"/>
  <c r="F104" i="3" s="1"/>
  <c r="K23" i="3"/>
  <c r="G91" i="3" l="1"/>
  <c r="K25" i="3"/>
  <c r="J98" i="3" l="1"/>
  <c r="P51" i="3" l="1"/>
  <c r="K58" i="3" l="1"/>
  <c r="J103" i="3" l="1"/>
  <c r="J100" i="3" l="1"/>
  <c r="J101" i="3" l="1"/>
  <c r="I55" i="3" l="1"/>
  <c r="I99" i="3" s="1"/>
  <c r="G103" i="3"/>
  <c r="L103" i="3" s="1"/>
  <c r="G102" i="3"/>
  <c r="K102" i="3" s="1"/>
  <c r="G101" i="3"/>
  <c r="K101" i="3" s="1"/>
  <c r="G100" i="3"/>
  <c r="G99" i="3"/>
  <c r="G98" i="3"/>
  <c r="E101" i="3"/>
  <c r="E100" i="3"/>
  <c r="J69" i="3"/>
  <c r="J15" i="3"/>
  <c r="E103" i="3"/>
  <c r="H46" i="3"/>
  <c r="F9" i="3"/>
  <c r="J17" i="3"/>
  <c r="J46" i="3"/>
  <c r="J13" i="3"/>
  <c r="J12" i="3"/>
  <c r="J37" i="3"/>
  <c r="J36" i="3"/>
  <c r="J87" i="3"/>
  <c r="J85" i="3"/>
  <c r="J83" i="3"/>
  <c r="J82" i="3"/>
  <c r="J81" i="3"/>
  <c r="J80" i="3"/>
  <c r="J79" i="3"/>
  <c r="J78" i="3"/>
  <c r="J77" i="3"/>
  <c r="J74" i="3"/>
  <c r="J73" i="3"/>
  <c r="J72" i="3"/>
  <c r="J71" i="3"/>
  <c r="J70" i="3"/>
  <c r="J68" i="3"/>
  <c r="J67" i="3"/>
  <c r="J66" i="3"/>
  <c r="J65" i="3"/>
  <c r="J64" i="3"/>
  <c r="J63" i="3"/>
  <c r="J62" i="3"/>
  <c r="J61" i="3"/>
  <c r="J60" i="3"/>
  <c r="J59" i="3"/>
  <c r="J58" i="3"/>
  <c r="J57" i="3"/>
  <c r="J56" i="3"/>
  <c r="J55" i="3"/>
  <c r="J54" i="3"/>
  <c r="J53" i="3"/>
  <c r="J51" i="3"/>
  <c r="J50" i="3"/>
  <c r="J49" i="3"/>
  <c r="J48" i="3"/>
  <c r="J47" i="3"/>
  <c r="J45" i="3"/>
  <c r="J44" i="3"/>
  <c r="J43" i="3"/>
  <c r="J42" i="3"/>
  <c r="J41" i="3"/>
  <c r="J40" i="3"/>
  <c r="J38" i="3"/>
  <c r="J35" i="3"/>
  <c r="J34" i="3"/>
  <c r="J33" i="3"/>
  <c r="J32" i="3"/>
  <c r="J31" i="3"/>
  <c r="J29" i="3"/>
  <c r="J28" i="3"/>
  <c r="J27" i="3"/>
  <c r="J26" i="3"/>
  <c r="J25" i="3"/>
  <c r="J24" i="3"/>
  <c r="J23" i="3"/>
  <c r="J16" i="3"/>
  <c r="J14" i="3"/>
  <c r="J11" i="3"/>
  <c r="L99" i="2"/>
  <c r="G109" i="2"/>
  <c r="I108" i="2"/>
  <c r="H108" i="2"/>
  <c r="G108" i="2"/>
  <c r="J104" i="2"/>
  <c r="J103" i="2"/>
  <c r="I102" i="2"/>
  <c r="I105" i="2" s="1"/>
  <c r="I106" i="2" s="1"/>
  <c r="H102" i="2"/>
  <c r="G102" i="2"/>
  <c r="G105" i="2" s="1"/>
  <c r="I99" i="2"/>
  <c r="I111" i="2" s="1"/>
  <c r="G99" i="2"/>
  <c r="G111" i="2" s="1"/>
  <c r="H99" i="2"/>
  <c r="H111" i="2" s="1"/>
  <c r="J97" i="2"/>
  <c r="J96" i="2"/>
  <c r="I95" i="2"/>
  <c r="I98" i="2" s="1"/>
  <c r="G95" i="2"/>
  <c r="G98" i="2" s="1"/>
  <c r="J92" i="2"/>
  <c r="J91" i="2"/>
  <c r="I90" i="2"/>
  <c r="I93" i="2" s="1"/>
  <c r="I94" i="2" s="1"/>
  <c r="H90" i="2"/>
  <c r="H93" i="2" s="1"/>
  <c r="G90" i="2"/>
  <c r="J87" i="2"/>
  <c r="J86" i="2"/>
  <c r="I85" i="2"/>
  <c r="I88" i="2" s="1"/>
  <c r="H85" i="2"/>
  <c r="H88" i="2" s="1"/>
  <c r="G85" i="2"/>
  <c r="J82" i="2"/>
  <c r="J81" i="2"/>
  <c r="I80" i="2"/>
  <c r="I83" i="2" s="1"/>
  <c r="I84" i="2" s="1"/>
  <c r="H80" i="2"/>
  <c r="H83" i="2" s="1"/>
  <c r="H84" i="2" s="1"/>
  <c r="G80" i="2"/>
  <c r="G83" i="2" s="1"/>
  <c r="J77" i="2"/>
  <c r="J109" i="2" s="1"/>
  <c r="J76" i="2"/>
  <c r="J108" i="2" s="1"/>
  <c r="I75" i="2"/>
  <c r="I78" i="2" s="1"/>
  <c r="H75" i="2"/>
  <c r="H78" i="2" s="1"/>
  <c r="H79" i="2" s="1"/>
  <c r="I72" i="2"/>
  <c r="J71" i="2"/>
  <c r="J70" i="2"/>
  <c r="J69" i="2"/>
  <c r="J67" i="2"/>
  <c r="J66" i="2"/>
  <c r="J65" i="2"/>
  <c r="J64" i="2"/>
  <c r="J63" i="2"/>
  <c r="J62" i="2"/>
  <c r="J61" i="2"/>
  <c r="J60" i="2"/>
  <c r="H59" i="2"/>
  <c r="J59" i="2" s="1"/>
  <c r="J58" i="2"/>
  <c r="J57" i="2"/>
  <c r="J56" i="2"/>
  <c r="J55" i="2"/>
  <c r="J54" i="2"/>
  <c r="J53" i="2"/>
  <c r="J52" i="2"/>
  <c r="J51" i="2"/>
  <c r="J50" i="2"/>
  <c r="J49" i="2"/>
  <c r="J48" i="2"/>
  <c r="J47" i="2"/>
  <c r="J46" i="2"/>
  <c r="J45" i="2"/>
  <c r="J44" i="2"/>
  <c r="J43" i="2"/>
  <c r="J42" i="2"/>
  <c r="J41" i="2"/>
  <c r="J40" i="2"/>
  <c r="J39" i="2"/>
  <c r="J38" i="2"/>
  <c r="J36" i="2"/>
  <c r="J35" i="2"/>
  <c r="J34" i="2"/>
  <c r="J33" i="2"/>
  <c r="J32" i="2"/>
  <c r="J31" i="2"/>
  <c r="J30" i="2"/>
  <c r="J29" i="2"/>
  <c r="J28" i="2"/>
  <c r="J27" i="2"/>
  <c r="G19" i="2"/>
  <c r="J19" i="2" s="1"/>
  <c r="J26" i="2"/>
  <c r="J25" i="2"/>
  <c r="J24" i="2"/>
  <c r="J23" i="2"/>
  <c r="J22" i="2"/>
  <c r="J21" i="2"/>
  <c r="J20" i="2"/>
  <c r="J18" i="2"/>
  <c r="J17" i="2"/>
  <c r="J16" i="2"/>
  <c r="J15" i="2"/>
  <c r="J14" i="2"/>
  <c r="J13" i="2"/>
  <c r="J12" i="2"/>
  <c r="J11" i="2"/>
  <c r="J10" i="2"/>
  <c r="J9" i="2"/>
  <c r="J8" i="2"/>
  <c r="H105" i="2"/>
  <c r="H106" i="2" s="1"/>
  <c r="G88" i="2"/>
  <c r="G89" i="2" s="1"/>
  <c r="I217" i="1"/>
  <c r="H217" i="1"/>
  <c r="J216" i="1"/>
  <c r="I216" i="1"/>
  <c r="H216" i="1"/>
  <c r="K216" i="1" s="1"/>
  <c r="J215" i="1"/>
  <c r="I215" i="1"/>
  <c r="H215" i="1"/>
  <c r="K215" i="1" s="1"/>
  <c r="J214" i="1"/>
  <c r="I214" i="1"/>
  <c r="H214" i="1"/>
  <c r="K214" i="1" s="1"/>
  <c r="J213" i="1"/>
  <c r="I213" i="1"/>
  <c r="H213" i="1"/>
  <c r="K213" i="1" s="1"/>
  <c r="J212" i="1"/>
  <c r="I212" i="1"/>
  <c r="H212" i="1"/>
  <c r="K212" i="1" s="1"/>
  <c r="J207" i="1"/>
  <c r="I207" i="1"/>
  <c r="J198" i="1"/>
  <c r="I198" i="1"/>
  <c r="J192" i="1"/>
  <c r="I192" i="1"/>
  <c r="J180" i="1"/>
  <c r="I180" i="1"/>
  <c r="J170" i="1"/>
  <c r="I170" i="1"/>
  <c r="K152" i="1"/>
  <c r="K151" i="1"/>
  <c r="K150" i="1"/>
  <c r="K149" i="1"/>
  <c r="J118" i="1"/>
  <c r="I118" i="1"/>
  <c r="J105" i="1"/>
  <c r="I105" i="1"/>
  <c r="J93" i="1"/>
  <c r="I93" i="1"/>
  <c r="J84" i="1"/>
  <c r="I84" i="1"/>
  <c r="J63" i="1"/>
  <c r="I63" i="1"/>
  <c r="J52" i="1"/>
  <c r="I52" i="1"/>
  <c r="J40" i="1"/>
  <c r="I40" i="1"/>
  <c r="J31" i="1"/>
  <c r="I31" i="1"/>
  <c r="K30" i="1"/>
  <c r="K29" i="1"/>
  <c r="K28" i="1"/>
  <c r="K27" i="1"/>
  <c r="K26" i="1"/>
  <c r="K25" i="1"/>
  <c r="K15" i="1"/>
  <c r="J18" i="1"/>
  <c r="J217" i="1"/>
  <c r="K217" i="1" s="1"/>
  <c r="K148" i="1"/>
  <c r="K147" i="1"/>
  <c r="K146" i="1"/>
  <c r="K135" i="1"/>
  <c r="K128" i="1"/>
  <c r="J20" i="1"/>
  <c r="K20" i="1" s="1"/>
  <c r="I20" i="1"/>
  <c r="J141" i="1"/>
  <c r="I141" i="1"/>
  <c r="J153" i="1"/>
  <c r="I153" i="1"/>
  <c r="H153" i="1"/>
  <c r="K153" i="1" s="1"/>
  <c r="K17" i="1"/>
  <c r="K7" i="1"/>
  <c r="J8" i="1"/>
  <c r="J210" i="1" s="1"/>
  <c r="I8" i="1"/>
  <c r="I210" i="1" s="1"/>
  <c r="H8" i="1"/>
  <c r="H20" i="1"/>
  <c r="H31" i="1"/>
  <c r="K31" i="1" s="1"/>
  <c r="H40" i="1"/>
  <c r="H52" i="1"/>
  <c r="H63" i="1"/>
  <c r="H84" i="1"/>
  <c r="H93" i="1"/>
  <c r="H105" i="1"/>
  <c r="H118" i="1"/>
  <c r="H141" i="1"/>
  <c r="H170" i="1"/>
  <c r="H180" i="1"/>
  <c r="H192" i="1"/>
  <c r="H198" i="1"/>
  <c r="H207" i="1"/>
  <c r="H72" i="2"/>
  <c r="J30" i="3"/>
  <c r="I9" i="3"/>
  <c r="J9" i="3" s="1"/>
  <c r="L100" i="3"/>
  <c r="H95" i="2"/>
  <c r="I107" i="2"/>
  <c r="H98" i="2"/>
  <c r="H107" i="2" l="1"/>
  <c r="K8" i="1"/>
  <c r="K141" i="1"/>
  <c r="H91" i="3"/>
  <c r="H100" i="3"/>
  <c r="H104" i="3" s="1"/>
  <c r="G93" i="2"/>
  <c r="G94" i="2" s="1"/>
  <c r="J94" i="2" s="1"/>
  <c r="H89" i="2"/>
  <c r="K55" i="3"/>
  <c r="I91" i="3"/>
  <c r="G104" i="3"/>
  <c r="O83" i="3"/>
  <c r="G72" i="2"/>
  <c r="J86" i="3"/>
  <c r="H9" i="3"/>
  <c r="K98" i="3"/>
  <c r="H94" i="2"/>
  <c r="J93" i="2"/>
  <c r="J98" i="2"/>
  <c r="J102" i="2"/>
  <c r="J75" i="2"/>
  <c r="H110" i="2"/>
  <c r="J90" i="2"/>
  <c r="J85" i="2"/>
  <c r="J95" i="2"/>
  <c r="J80" i="2"/>
  <c r="J102" i="3"/>
  <c r="L101" i="3"/>
  <c r="L98" i="3"/>
  <c r="K99" i="3"/>
  <c r="K103" i="3"/>
  <c r="E104" i="3"/>
  <c r="G100" i="2"/>
  <c r="G112" i="2" s="1"/>
  <c r="G75" i="2"/>
  <c r="G78" i="2" s="1"/>
  <c r="J99" i="2"/>
  <c r="H100" i="2"/>
  <c r="H112" i="2" s="1"/>
  <c r="H113" i="2" s="1"/>
  <c r="J72" i="2"/>
  <c r="J111" i="2"/>
  <c r="G84" i="2"/>
  <c r="J84" i="2" s="1"/>
  <c r="J83" i="2"/>
  <c r="G106" i="2"/>
  <c r="J106" i="2" s="1"/>
  <c r="J105" i="2"/>
  <c r="I110" i="2"/>
  <c r="I79" i="2"/>
  <c r="I89" i="2"/>
  <c r="J89" i="2" s="1"/>
  <c r="J88" i="2"/>
  <c r="H210" i="1"/>
  <c r="K210" i="1" s="1"/>
  <c r="I100" i="2"/>
  <c r="J107" i="2" l="1"/>
  <c r="G110" i="2"/>
  <c r="L99" i="3"/>
  <c r="J99" i="3"/>
  <c r="J91" i="3"/>
  <c r="K91" i="3"/>
  <c r="I104" i="3"/>
  <c r="G107" i="2"/>
  <c r="G101" i="2"/>
  <c r="O51" i="3"/>
  <c r="K100" i="3"/>
  <c r="L102" i="3"/>
  <c r="J78" i="2"/>
  <c r="J110" i="2" s="1"/>
  <c r="G79" i="2"/>
  <c r="J79" i="2" s="1"/>
  <c r="H101" i="2"/>
  <c r="I101" i="2"/>
  <c r="I112" i="2"/>
  <c r="J112" i="2" s="1"/>
  <c r="J100" i="2"/>
  <c r="G113" i="2" l="1"/>
  <c r="L104" i="3"/>
  <c r="J104" i="3"/>
  <c r="K104" i="3"/>
  <c r="J101" i="2"/>
  <c r="I113" i="2"/>
  <c r="J113" i="2" l="1"/>
</calcChain>
</file>

<file path=xl/sharedStrings.xml><?xml version="1.0" encoding="utf-8"?>
<sst xmlns="http://schemas.openxmlformats.org/spreadsheetml/2006/main" count="1250" uniqueCount="359">
  <si>
    <t xml:space="preserve">100 Facilitadores acreditados por el PC fortalecen sus capacidades de diseño, elaboración e implementación de sesiones de capacitación y asistencia técnica.. </t>
  </si>
  <si>
    <t>2.1.11  Taller de reforzamiento para formadores</t>
  </si>
  <si>
    <t>1360 Micro y pequeños productores han sido capacitados sobre las ventajas e importancia del cumplimiento de estándares de calidad y normas técnicas.</t>
  </si>
  <si>
    <t xml:space="preserve">2.1.12 Talleres de capacitación (1 por distrito) sobre estándares de calidad en Industrias Creativas incluyendo mejores prácticas manufactureras y en la prestación de servicios, preservación del patrimonio inmaterial, conservación ambiental y empleo digno </t>
  </si>
  <si>
    <t>40 micro y pequeños productores han recibido asistencia técnica en el cumplimiento de estándares (empleo digno y revalorización de la identidad cultural)</t>
  </si>
  <si>
    <t xml:space="preserve">2.1.13. Asistencia técnica a MYPES con proyectos financiados para cumplimiento de estándares (empleo digno y verificación de la incorporación del criterio de calidad relativo a identidad cultural en el desarrollo de sus proyectos productivos </t>
  </si>
  <si>
    <t>4 Sistemas de certificación de la calidad en productos priorizados por el PC</t>
  </si>
  <si>
    <t>PRODUCE MINCETUR</t>
  </si>
  <si>
    <t>2.1.14 Implementación de sistemas de aseguramiento de la calidad en las ICs</t>
  </si>
  <si>
    <t xml:space="preserve">2.2  Proyectos pilotos y nuevos emprendimientos innovadores, identificados e implementados como oportunidades de desarrollo. </t>
  </si>
  <si>
    <t>30 Proyectos piloto de NIC se consolidan y generan el empleo de 300 microempresarios y mejorando la calidad de vida de 200 familias.</t>
  </si>
  <si>
    <t>Gobiernos Regionales y Locales</t>
  </si>
  <si>
    <t>2.2.1.Diseño de bases y criterios de selección de los proyectos piloto </t>
  </si>
  <si>
    <t xml:space="preserve">2.2.2 Elaboración de los materiales para la difusión de la convocatoria del concurso </t>
  </si>
  <si>
    <t>2.2.3   Difusión y lanzamiento de la convocatoria del concurso de proyectos piloto  de ICI.</t>
  </si>
  <si>
    <t xml:space="preserve">2.2.4. Selección , firma de convenios y asignación de fondos a  los 36 proyectos pilotos de Industrias Creativas aprobados con fondos de la ventana </t>
  </si>
  <si>
    <t>30 Nuevos emprendimientos creativos identificados e incubados reciben financiamiento.</t>
  </si>
  <si>
    <r>
      <t>2.2.5.Diseño de las bases y criterios de selección de las nuevos emprendimientos en Industrias Creativas</t>
    </r>
    <r>
      <rPr>
        <sz val="10"/>
        <color indexed="10"/>
        <rFont val="Arial Narrow"/>
        <family val="2"/>
      </rPr>
      <t xml:space="preserve"> </t>
    </r>
  </si>
  <si>
    <t xml:space="preserve">2.2.6  Elaboración de una cartera de nuevos emprendimientos en Industrias Creativas y conceptualizar propuestas especificas de productos </t>
  </si>
  <si>
    <t xml:space="preserve">2.2.7 Difusión y lanzamiento de la convocatoria para identificar 30 nuevos emprendimientos a ser financiados con fondos del PC. </t>
  </si>
  <si>
    <t>2.2.8 Apoyo financiero de 30nuevos emprendimientos creativos seleccionados bajo el sistema PPD</t>
  </si>
  <si>
    <t xml:space="preserve">2.2.9 Seguimiento y monitoreo de los proyectos pilotos por la Unidad de Coordinación (M&amp;E) </t>
  </si>
  <si>
    <t xml:space="preserve">2.3  Mayor número de micro y pequeñas unidades productivas han alcanzado la formalización integral (tributaria, municipal y laboral) y acceden a los beneficios de la ley. </t>
  </si>
  <si>
    <t>1360 Micro y pequeños emprendedores vinculados a ICs son sensibilizados sobre las ventajas de la formalización</t>
  </si>
  <si>
    <t>MTPE, PRODUCE Gobiernos Regionales y Locales</t>
  </si>
  <si>
    <t xml:space="preserve">2.3.1 Organización de 12 talleres de capacitación sobre formalización con micro y pequeños productores en acompañamiento a Mi Empresa </t>
  </si>
  <si>
    <t xml:space="preserve">2.3.2 Adecuación de material sobre formalización de Mi Empresa para IC s, impresión y distribución en 12 distritos </t>
  </si>
  <si>
    <t>50 micro y pequeños emprendedores vinculados a Industrias Creativas son formalizados.</t>
  </si>
  <si>
    <t xml:space="preserve">2.3.3 Asistencia técnica en la formalización de pequeñas empresas </t>
  </si>
  <si>
    <t>4 Ventanillas Únicas descentralizadas en 4  zonas de intervención (1 en cada Región, a nivel local)</t>
  </si>
  <si>
    <t xml:space="preserve">2.3.4 Coordinación con PRODUCE la ampliación de la Ventanilla para formalización empresarial en los distritos de intervención del PC </t>
  </si>
  <si>
    <t>2.4   Los negocios de las ICs se promocionan y fortalecen su acceso a mercados locales, regionales, nacionales e internacionales.</t>
  </si>
  <si>
    <t>4 Nuevos circuitos turísticos articulan las Industrias Creativas (1 por Región)</t>
  </si>
  <si>
    <t xml:space="preserve">2.4.1 Diseño e implementación de 4 circuitos turísticos (1 por región) en Industrias Creativas  con énfasis en artesanía, agricultura orgánica, gastronomía, patrimonio inmaterial, aspectos ambientales </t>
  </si>
  <si>
    <t>1 Estrategia promocional que dan a conocer nuevos productos de las ICs.</t>
  </si>
  <si>
    <t>2.4.2 Diseño e implementación de estrategias de promoción de circuitos turísticos, que incluye el apoyo al V Encuentro Nacional de Turismo Rural Comunitario</t>
  </si>
  <si>
    <t>60 Iniciativas empresariales financiadas por el PC, se articulan al mercado y establecen contratos asociativos con medianas y grandes empresas</t>
  </si>
  <si>
    <t>2.4.3 Apoyo para la participación de emprendimientos financiados en ferias locales, regionales, nacionales e internacionales (Agricultura Orgánica, Gastronomía, Artesanía, Turismo Rural Comunitario)</t>
  </si>
  <si>
    <t>Resultado 3 PC:  Las contrapartes y los socios estratégicos del PC disponen de productos, herramientas, instrumentos y metodologías validadas para la promoción de las ICIs, como medio de asegurar la sostenibilidad y replicabilidad del PC.</t>
  </si>
  <si>
    <t>3.1. Los productos y resultados del Programa Conjunto son difundidos a todos sus aliados estratégicos, contrapartes, redes de formadores, productores y a otros stakeholders, como medios para facilitar la sostenibilidad y replicabilidad del PC.</t>
  </si>
  <si>
    <t>80 Instituciones locales han sido capacitadas sobre el cumplimiento de las condiciones mínimas en los estándares laborales, ambientales y de preservación del patrimonio inmaterial de Industrias Creativas como indicadores de calidad (20 por Región)</t>
  </si>
  <si>
    <t>MTPE, MINISTERIO DE CULTURA</t>
  </si>
  <si>
    <t>3.1.1.Desarrollo de caja de herramientas sobre cumplimiento de condiciones mínimas en trabajo decente, conservación ambiental, preservación del patrimonio inmaterial y propiedad intelectual en IC como indicadores de calidad (M&amp;E)</t>
  </si>
  <si>
    <t>3.1.2. Organización de 12 talleres (1 por distrito) para capacitar a instituciones locales sobre el cumplimiento de las condiciones mínimas presentadas en la caja de herramientas, con énfasis en buenas prácticas (M&amp;E)</t>
  </si>
  <si>
    <t>2500 publicaciones de sistematización del PC</t>
  </si>
  <si>
    <t>3.1.3. Sistematización y publicación (impresión) de las mejores prácticas y las lecciones aprendidas del PC (M&amp;E)</t>
  </si>
  <si>
    <t>Detalle  Presupuesto  por Agencia</t>
  </si>
  <si>
    <t>Gastos directos ejecución PC</t>
  </si>
  <si>
    <t>Personal</t>
  </si>
  <si>
    <t>Adelanto</t>
  </si>
  <si>
    <t>Costos Indirectos  (7%)</t>
  </si>
  <si>
    <t>TOTAL AGENCIA</t>
  </si>
  <si>
    <t>Costos indirectos (7%)</t>
  </si>
  <si>
    <t xml:space="preserve">Costos Unidad de Coordinación incluye coordinación, M&amp;E e I&amp;C) </t>
  </si>
  <si>
    <t>Costos indirectos de UC, M&amp;E y I&amp;C</t>
  </si>
  <si>
    <t>Gastos Unidad de Coordinación (incluye coordinación, M&amp;E e I&amp;C)</t>
  </si>
  <si>
    <t xml:space="preserve">TOTAL </t>
  </si>
  <si>
    <t>Marco de Resultados del Programa Conjunto - VERSIÓN REFORMULADA</t>
  </si>
  <si>
    <t>Total previsto</t>
  </si>
  <si>
    <t>2.2.8 Apoyo financiero de 30 nuevos emprendimientos creativos seleccionados bajo el sistema PPD</t>
  </si>
  <si>
    <t xml:space="preserve">2.2.4. Selección, firma de convenios y asignación de fondos a  los 36 proyectos pilotos de Industrias Creativas aprobados con fondos de la ventana </t>
  </si>
  <si>
    <t>Gastos de personal</t>
  </si>
  <si>
    <r>
      <t xml:space="preserve">Progreso en la Ejecución </t>
    </r>
    <r>
      <rPr>
        <b/>
        <u/>
        <sz val="10"/>
        <rFont val="Arial Narrow"/>
        <family val="2"/>
      </rPr>
      <t>ESTIMADA</t>
    </r>
  </si>
  <si>
    <t>A1</t>
  </si>
  <si>
    <t>A2</t>
  </si>
  <si>
    <t>A3</t>
  </si>
  <si>
    <t>1.1   Estudios y Mapeo de socios estratégicos públicos y privados, programas públicos, privados y de cooperación internacional, proveedores de servicios financieros, capacitación y asistencia técnica.</t>
  </si>
  <si>
    <t>ONUDI</t>
  </si>
  <si>
    <t>PRODUCE
MINCETUR</t>
  </si>
  <si>
    <t>1.1.1. Metodología para el mapeo de Industrias Creativas en los sectores turismo, gastronomía, agricultura orgánica, aprovechamiento de recursos naturales y artesanía (OIT y Agencias NN.UU.)</t>
  </si>
  <si>
    <t>1.1.2.     Mapeo y línea de base en Agricultura orgánica en cada una de las Regiones (FAO)</t>
  </si>
  <si>
    <t>1.1.3    Mapeo y línea de base en  Artesanía en cada una de las Regiones (ONUDI)</t>
  </si>
  <si>
    <t>1.1.4  Mapeo y línea de base en sector Gastronomía y Turismo en cada una de las Regiones (OMT)</t>
  </si>
  <si>
    <t>1.1.5  Mapeo  y línea de Base en aprovechamiento de recursos naturales en cada una de las Regiones (PNUD)</t>
  </si>
  <si>
    <t>1.1.7 Integración de los mapeos y líneas de base en  los sectores en cada una de las Regiones (OIT)</t>
  </si>
  <si>
    <t>1.2  Socios estratégicos sensibilizados sobre las posibilidades y oportunidades que ofrecen las industrias creativas.</t>
  </si>
  <si>
    <t>UNESCO</t>
  </si>
  <si>
    <t>Gobiernos Regionales</t>
  </si>
  <si>
    <t>1.2.1. Diseño del contenido de la sensibilización (UNESCO)</t>
  </si>
  <si>
    <t>1.2.2  Implementación del Plan de sensibilización (UNESCO)</t>
  </si>
  <si>
    <t>1.2.3. Diseño e impresión de carpeta informativa del Programa en castellano e idiomas nativos (UNESCO)</t>
  </si>
  <si>
    <t xml:space="preserve">1.2.4 Diseño y Organización de 4 Foros Regionales: lanzamiento de la estructura público-privada a nivel Regional  (FAO)  </t>
  </si>
  <si>
    <t>1.2.5 Diseño y organización de 12 Talleres  de Lanzamiento del PC a nivel distrital (FAO)</t>
  </si>
  <si>
    <t>1.2.6 Participación de Coordinadores Regionales en programas locales de radio (OIT y Agencias NN.UU.)</t>
  </si>
  <si>
    <t>1.3   Estructuras público-privadas fortalecidas en cada región, cuentan con estrategias y planes operativos para impulsar los negocios inclusivos en Industrias Creativas</t>
  </si>
  <si>
    <t>OIT</t>
  </si>
  <si>
    <t>PRODUCE 
Gobiernos Regionales</t>
  </si>
  <si>
    <t>1.3.1  Realizar la gestión de alianzas estratégicas (OIT  y Agencias NN.UU.)</t>
  </si>
  <si>
    <t>1.3.2  Elaborar y gestionar la firma de convenios de cooperación inter-institucional (OIT)</t>
  </si>
  <si>
    <t>1.3.3. Fortalecer la estructura pública- privada  incorporando una base de datos, herramientas metodológicas en las posibilidades de formalización, (producto 1.9), financiamiento (producto 1.8), proyectos pilotos (producto 2.2), formadores capacitados (producto 2.1) y nuevos emprendimiento (producto 2.3) (OMT)</t>
  </si>
  <si>
    <t>1.3.4 Desarrollar unidades de servicios para impulsar  las Industria Creativas y la generación de planes operativos (FAO)</t>
  </si>
  <si>
    <t xml:space="preserve">1.4.  Sistematización y sensibilización sobre el marco normativo y políticas públicas vigentes para el desarrollo de Industrias Creativas, con énfasis en la inclusión de los más pobres, mujeres y comunidades indígenas.  </t>
  </si>
  <si>
    <t>INC</t>
  </si>
  <si>
    <t>1.4.1  Realizar 1 Estudio "Análisis del Marco Normativo Vigente para el Desarrollo de las Industrias Creativos: fortalezas y debilidades"  (UNESCO)</t>
  </si>
  <si>
    <t>1.4.2  Conducir un proceso participativo de identificación, con base de la normativa vigente en industrias creativas, de la distribución de competencias y funciones entre los cuatro niveles de gobierno (nacional, regional, provincial y distrital) (UNESCO)</t>
  </si>
  <si>
    <t>1.4.3. Elaborar  una propuesta participativa del Marco Normativo para la Promoción de Industrias Creativas (UNESCO)</t>
  </si>
  <si>
    <t>1.4.4  Prestar asistencia técnica-jurídica a socios públicos y privados en la gestión de implementación de las normas (ONUDI)</t>
  </si>
  <si>
    <t>1.4.5. Elaborar y distribuir 1 folleto técnico sobre  el marco normativo para el fomento de las Industrias Creativas (OIT)</t>
  </si>
  <si>
    <t>1.4.6  Organizar el Foro Promoción de  Industrias Creativas y Negocios Inclusivos con el Congreso de la República  y MINCETUR (ONUDI)</t>
  </si>
  <si>
    <t>1.4.7. Presentar y sustentar la Propuesta del  Marco Normativo a las autoridades Nacionales (OIT)</t>
  </si>
  <si>
    <t xml:space="preserve"> 1.5  Guía metodológica para la elaboración del Plan Nacional de Promoción de los Negocios Inclusivos en las Industrias Creativas preparada, como instrumento de política pública para consolidar mecanismos de integración horizontal y vertical e involucrar al sector privado a nivel nacional y local en planes nacionales de reducción de la pobreza y exclusión así como en las estrategias de desarrollo regional y local.</t>
  </si>
  <si>
    <t>PRODUCE</t>
  </si>
  <si>
    <t>1.5.1. Elaborar la metodología para el análisis de contexto para el desarrollo de NIICs (OIT y Agencias NN.UU.)</t>
  </si>
  <si>
    <t>1.5.2. Elaborar el análisis de contexto (OIT)</t>
  </si>
  <si>
    <t>1.5.3. Elaborar la metodología (BLUEPRINT) para la preparación de Planes de Desarrollo de Negocios Inclusivos en Industrias Creativas (UNESCO)</t>
  </si>
  <si>
    <t>En ejecución</t>
  </si>
  <si>
    <t>1.5.4. Elaborar la metodología para sistematizar las Buenas Prácticas en Industrias Creativas (UNESCO)</t>
  </si>
  <si>
    <t>1.5.5. Foro de presentación de la Guía Metodológica ante el empresariado (OIT)</t>
  </si>
  <si>
    <t xml:space="preserve">1.6   4 Gobiernos Regionales y 12 Gobiernos Locales fortalecidos como instancias de articulación empresarial, para la lucha contra la pobreza y la reducción de la discriminación a través de la inclusión de los más pobres y excluidos (mujeres y comunidades indígenas). </t>
  </si>
  <si>
    <t>PRODUCE 
Gobiernos Regionales y Locales</t>
  </si>
  <si>
    <t>1.6.1. Diseñar y organizar 4 Talleres de Capacitación en DEL orientados a funcionarios regionales, provinciales y distritales (ONUDI)</t>
  </si>
  <si>
    <t>1.6.2. Acompañar la elaboración de las propuestas de Planes Estratégicos y Operativos de Gerencias Regionales de DE y Oficinas Provinciales y Distritales de DEL (ONUDI y Agencias NN.UU.)</t>
  </si>
  <si>
    <t xml:space="preserve">1.6.3.Elaborar de forma participativa una propuesta de Plan de Negocios Inclusivos en el sector artesanía en 4 Regiones aplicando el blueprint metodológico (ONUDI) </t>
  </si>
  <si>
    <t>1.6.4 Elaborar de forma participativa una propuesta de Plan de promoción de negocios inclusivos en turismo y gastronomía, enfatizando las buenas prácticas, aplicando el blueprint metodológico, en las 4 Regiones (OMT)</t>
  </si>
  <si>
    <t>1.6.5 Elaborar de forma participativa una propuesta de Plan de promoción de negocios inclusivos creativos en aprovechamiento de recursos,  naturales aplicando el blueprint metodológico (PNUD)</t>
  </si>
  <si>
    <t>1.6.6 Elaborar de forma  participativa una propuesta de Plan de promoción de negocios inclusivos creativos en agricultura orgánica aplicando el blueprint metodológico (FAO)</t>
  </si>
  <si>
    <t>1.6.7 Producir el instructivo para la inclusión transversal del tema de valoración del patrimonio inmaterial en las propuestas de Planes Regionales (UNESCO)</t>
  </si>
  <si>
    <t>1.6.8 Consolidar la integración de las propuestas de Planes a nivel de cada Región aplicando el blueprint metodológico (FAO)</t>
  </si>
  <si>
    <t>1.6.9. Elaborar los Planes Operativos y de gestión Financiera por cada Plan (OIT)</t>
  </si>
  <si>
    <t>1.6.10 Prestar asistencia técnica a las Gerencias Regionales, y oficinas DEL en la elaboración de una cartera de proyectos de promoción de Negocios Inclusivos en Industrias Creativas (OIT)</t>
  </si>
  <si>
    <t>1.6.11 Diseñar servicios innovadores utilizando TICs que promuevan NIICs (FAO)</t>
  </si>
  <si>
    <t>1.6.12 Retroalimentar metodología de elaboración de Planes de Negocios en Industrias Creativas (FAO)</t>
  </si>
  <si>
    <t>1.6.13 Diseñar y organizar 4 ferias y ruedas de negocios (FAO)</t>
  </si>
  <si>
    <t xml:space="preserve">1.6.14 Realizar ruedas de negocios y ferias donde se muestre oportunidades de negocios inclusivos en Industrias Creativas locales (ONUDI) </t>
  </si>
  <si>
    <t>1.6.15 Diseñar y organizar 1 Feria Nacional de NICs al final del PC (ONUDI)</t>
  </si>
  <si>
    <t>1.6.16 Diseñar y organizar para las ferias la difusión y promoción del modelo de Industrias Creativas y la promoción del patrimonio cultural (UNESCO)</t>
  </si>
  <si>
    <t xml:space="preserve"> 1.7   Sector empresarial (empresas líderes e inversionistas) involucrado en Negocios Inclusivos Creativos en el ejercicio de su RSE</t>
  </si>
  <si>
    <t>PRODUCE  Asociaciones empresariales/Cámaras de Comercio</t>
  </si>
  <si>
    <t>1.7.1.   Diseño, gestión y negociación de contratos de proveedores locales de bienes o servicios NICs con empresas o grupos empresariales (ONUDI y Agencias NN.UU.)</t>
  </si>
  <si>
    <t>1.7.2    Diseñar y organizar 12 talleres para impulsar el rol de asociaciones empresariales a nivel regional y local (ONUDI)</t>
  </si>
  <si>
    <t>1.7.3. Organizar 4 talleres de capacitación en RSE y cadena de proveedores en Industrias Creativas (1 por Región) (OMT)</t>
  </si>
  <si>
    <t>1.7.4. Diseñar bases, organizar convocatoria y organizar evento para otorgar el Premio RSE y Negocios Inclusivos en Industrias Creativas (con Premios para 3 empresas en cada Región y menciones honrosas) (OIT)</t>
  </si>
  <si>
    <t>1.8   Se cuenta con una mayor oferta de servicios e instrumentos financieros dirigidos a micro y pequeños productores, que garanticen la inserción de los más pobres, mujeres y comunidades aborígenes.</t>
  </si>
  <si>
    <t>PRODUCE 
Instituciones financieras y gobiernos Regionales</t>
  </si>
  <si>
    <t>1.8.1. Elaborar la metodología para el mapeo y evaluación de esquemas de financiamiento para Industrias Creativas (OIT)</t>
  </si>
  <si>
    <t>1.8.2    Realizar un estudio  de mapeo y evaluación de los esquemas de financiamiento existentes, así como de los proveedores actuales de servicios financieros a nivel nacional, regional y local aplicables a iniciativas empresariales en Industrias Creativas, así como de las barreras existentes para el acceso al financiamiento para los más pobres, mujeres y minorías (OIT)</t>
  </si>
  <si>
    <t>1.8.3   Elaborar una propuesta de esquema de financiamiento innovador que ofrezca incentivos adecuados para el desarrollo de iniciativas de articulación empresarial en Industrias Creativas (OIT)</t>
  </si>
  <si>
    <t>1.8.4  Proveer asistencia técnica a las empresas públicas - privadas para la implementación del esquema de financiamiento a nivel regional y local (ONUDI)</t>
  </si>
  <si>
    <t>1.8.5. Gestionar convenios/acuerdos para aprobación de créditos a sectores excluidos (OMT)</t>
  </si>
  <si>
    <t>1.8.6 Diseñar e imprimir folleto que explique los esquemas de financiamiento existentes, en colaboración con las Gerencias de Desarrollo Económico y las oficinas DEL, además de los bancos y cajas locales (ONUDI)</t>
  </si>
  <si>
    <t>1.8.7 Organizar 12 talleres de sensibilización con Gobiernos Regionales, Provinciales y Locales para difundir los servicios financieros existentes en las 4 Regiones (ONUDI)</t>
  </si>
  <si>
    <t xml:space="preserve">1.9  Mayor número de micro y pequeñas unidades productivas han alcanzado la formalización integral (tributaria, municipal y laboral) y acceden a los beneficios de la ley. </t>
  </si>
  <si>
    <t>MTPE, Gobiernos Regionales y Locales</t>
  </si>
  <si>
    <t>1.9.1 Diseñar y organizar 12 talleres de capacitación sobre formalización con micro y pequeños productores (OIT)</t>
  </si>
  <si>
    <t>1.9.2 Diseñar, imprimir y distribuir folleto informativo para micro y pequeños productores sobre ventajas de la formalización (OIT)</t>
  </si>
  <si>
    <t>1.9.3.1 Promover la formalización de pequeñas empresas rurales de productores orgánicos (FAO)</t>
  </si>
  <si>
    <t>1.9.3.2 Promover la formalización de pequeñas empresas de turismo y gastronomía (OMT)</t>
  </si>
  <si>
    <t>1.9.3.3 Promover la certificación orgánica de los productores (FAO)</t>
  </si>
  <si>
    <t>1.9.3.4 Promover la formalización de pequeñas empresas de artesanía (OMT y Agencias NN.UU.)</t>
  </si>
  <si>
    <t>1.9.4 Coordinar con MTPE la ampliación de la Ventanilla para formalización empresarial a zonas rurales (OIT)</t>
  </si>
  <si>
    <t>1.9.5 Brindar asesoramiento a autoridades regionales y locales en aplicación de medidas de inspectoría y fiscalización de la normatividad en formalización (OIT)</t>
  </si>
  <si>
    <t xml:space="preserve">2.1  Las capacidades de formadores locales se han fortalecido para proveer asesoría y apoyo a micro y pequeños productores en temas tales como mecanismos de articulación y gestión empresarial, contenidos culturales, de producción, acceso al mercado, condiciones adecuadas de trabajo, fomento a la formalización empresarial, acceso al financiamiento, mejoramiento de los sistemas de calidad, conservación del medio ambiente e innovación tecnológica con la implementación del enfoque de género. </t>
  </si>
  <si>
    <t>2.1.1. Elaboración y diseño del programa, guías metodológica, procedimientos y materiales de capacitación para la formación de formadores en Industria Creativas  para la inclusión de los grupos vulnerables (FAO y Agencias NN.UU.).</t>
  </si>
  <si>
    <t>2.1.2  Diseñar el componente de promoción de las Industria Creativas y la preservación del patrimonio inmaterial (UNESCO).</t>
  </si>
  <si>
    <t>2.1.3     Diseño de programas y materiales para capacitación  de formadores locales en artesanía (ONUDI).</t>
  </si>
  <si>
    <t>2.1.4     Diseño de programas y materiales para capacitación de formadores  locales en gastronomía y turismo (OMT).</t>
  </si>
  <si>
    <t>2.1.5     Diseño de programas y materiales para capacitación  de formadores  locales en agricultura  orgánica (FAO).</t>
  </si>
  <si>
    <t>2.1.6     Diseño de programas y materiales para capacitación para la  formación de formadores  locales en recursos naturales (PNUD).</t>
  </si>
  <si>
    <t>2.1.7   Convocatoria y selección de postulantes al programa de formación de formadores (OIT)</t>
  </si>
  <si>
    <t>2.1.8  Capacitación de los postulantes seleccionados en Industrias Creativas (Aspectos Generales) (OIT)</t>
  </si>
  <si>
    <t>2.1.9  Capacitación de los postulantes seleccionados en artesanías ( ONUDI)</t>
  </si>
  <si>
    <t>2.1.10  Capacitación de los postulantes seleccionados en turismo y gastronomía (OMT)</t>
  </si>
  <si>
    <t>2.1.11.1 Capacitación de Formadores  (Técnico a Campesino) en agricultura orgánica (FAO)</t>
  </si>
  <si>
    <t>2.1.11.2  Capacitación de los postulantes  (Campesino formado a Campesino) seleccionados en agricultura orgánica (FAO)</t>
  </si>
  <si>
    <t>2.1.12  Capacitación de los postulantes seleccionados en recursos naturales (PNUD)</t>
  </si>
  <si>
    <t>2.1.13 Capacitación de los postulantes seleccionados en la promoción de Industrias Creativas y preservación de patrimonio cultural inmaterial (UNESCO)</t>
  </si>
  <si>
    <t>2.1.14      Retroalimentar el diseño del programa, guías y materiales en base a la experiencia  (OIT y Agencias NN.UU.)</t>
  </si>
  <si>
    <t>2.1.15 Prestar asistencia técnica permanente a formadores formados (OIT)</t>
  </si>
  <si>
    <t>2.1.16      Promover el establecimiento de una red de formadores locales (OIT)</t>
  </si>
  <si>
    <t>2.1.17  Sistematización  de  las experiencias de formación de formadores (FAO)</t>
  </si>
  <si>
    <t xml:space="preserve">2.2  Proyectos piloto innovadores, inclusivos y sostenibles para el desarrollo de Industrias Creativas han demostrado ser oportunidades comerciales para la articulación con grandes empresas.  </t>
  </si>
  <si>
    <t>PNUD</t>
  </si>
  <si>
    <t>Gobiernos Locales</t>
  </si>
  <si>
    <t xml:space="preserve">2.2.1.Diseñar las bases y criterios de selección de los proyectos piloto (PNUD) </t>
  </si>
  <si>
    <t>2.2.2 Elaboración de los materiales para la difusión de la convocatoria del concurso (PNUD)</t>
  </si>
  <si>
    <t>2.2.3   Difusión y lanzamiento de la convocatoria del concurso de proyectos piloto  de Industrias Creativas garantizando la participación de mujeres (30% mínimo) e individuos del quintil más pobre de la población (50% mínimo) (PNUD)</t>
  </si>
  <si>
    <t>2.2.5 Seguimiento y monitoreo de los proyectos pilotos por los formadores (PNUD) (producto 2.1)</t>
  </si>
  <si>
    <t>2.2.6 Asistencia Técnica dada por formadores a los  proyectos piloto (PNUD) (producto 2.1)</t>
  </si>
  <si>
    <t xml:space="preserve">2.3   Nuevos y potenciales emprendimientos creativos e inclusivos se han identificado e implementado. </t>
  </si>
  <si>
    <t>OMT</t>
  </si>
  <si>
    <t>Empresas Publicas - Privadas</t>
  </si>
  <si>
    <t>2.3.1. Elaborar una guía metodológica y los criterios de selección de las nuevas iniciativas en Industrias Creativas, garantizando la participación de los grupos vulnerables  (30%  de mujeres) (OMT)</t>
  </si>
  <si>
    <t>2.3.2  Identificar y seleccionar nuevos emprendimientos creativos y conceptualizar propuestas específicas de productos, garantizando la participación de mujeres (30% mínimo) e individuos del quintil más pobre de la población (50%).(OMT)</t>
  </si>
  <si>
    <t>2.3.3.1 Asistencia técnica y capacitación por parte de los formadores para los emprendimientos de artesanía seleccionados (ONUDI) (producto 2.1)</t>
  </si>
  <si>
    <t>2.3.3.2 Asistencia técnica y capacitación por parte de los formadores para los emprendimientos de agricultura orgánica seleccionados (FAO) (producto 2.1)</t>
  </si>
  <si>
    <t>2.3.3.3 Asistencia técnica y capacitación por parte de los formadores para los emprendimientos de gastronomía y turismo  seleccionados (OMT) (producto 2.1)</t>
  </si>
  <si>
    <t>2.3.3.4 Asistencia técnica y capacitación por parte de los formadores para los emprendimientos de recursos naturales seleccionados (PNUD) (producto 2.1)</t>
  </si>
  <si>
    <t>2.3.3.5 Asistencia técnica y capacitación por parte de los formadores en patrimonio inmaterial seleccionados (UNESCO) (producto 2.1)</t>
  </si>
  <si>
    <t>% 
Cumplimiento ( transferido/ desembolsado)</t>
  </si>
  <si>
    <t>% Cumplimiento (transferido/ comprometido)</t>
  </si>
  <si>
    <t>Finalizada en Ayacucho, Puno y Lambayeque.</t>
  </si>
  <si>
    <t>TOTAL  US$</t>
  </si>
  <si>
    <t>2.3.4  Diseñar e implementar circuitos turísticos  en Industrias Creativas  con énfasis en artesanía, agricultura orgánica, patrimonio inmaterial, aspectos ambientales³ (OMT)</t>
  </si>
  <si>
    <t>2.3.5  Elaborar una cartera de nuevos emprendimientos en Industrias Creativas con potenciales mercados identificados (OMT)</t>
  </si>
  <si>
    <t>2.3.6   Apoyar financieramente nuevos emprendimientos creativos (PNUD)</t>
  </si>
  <si>
    <t>Finalizada</t>
  </si>
  <si>
    <t>2.3.7    Relacionar la cartera de nuevos emprendimientos con esquema de financiamiento innovador (producto 1.8),con la estructura pública-privada (producto 1.3) y formalización (producto 1.9) (OIT)</t>
  </si>
  <si>
    <t>2.3.8  Elaborar folletería promocional de 10 nuevos productos en NICs creados (OMT)</t>
  </si>
  <si>
    <t xml:space="preserve">2.4   Los micro y pequeños productores se articulan horizontalmente para aprovechar las ventajas de la asociatividad productiva: acceder a mercados, reducir costos, promoción de productos, acceder a la formalización, mejorar su poder de negociación, etc.  </t>
  </si>
  <si>
    <t>FAO</t>
  </si>
  <si>
    <t>2.4.1.   Diseñar y organizar una campaña de difusión de las ventajas de la asociatividad (ONUDI)</t>
  </si>
  <si>
    <t>2.4.2    Estudio de análisis de dificultades a la asociatividad a nivel local (OIT)</t>
  </si>
  <si>
    <t>2.4.3    Prestar asesoría para formar asociaciones y atender necesidades colectivas en agricultura orgánica   (FAO)</t>
  </si>
  <si>
    <t>2.4.4 Prestar asesoría para formar asociaciones y atender necesidades colectivas en turismo, gastronomía y artesanías   (ONUDI)</t>
  </si>
  <si>
    <t>2.4.5. Asesorar las cadenas de valor en los 4 sectores en las regiones de intervención (ONUDI)</t>
  </si>
  <si>
    <t>3.1  Instituciones locales son fortalecidas para promover sistemas de calidad  en Industrias Creativas con énfasis  en identidad cultural y en  empleo digno en las Industrias Creativas.</t>
  </si>
  <si>
    <t>3.1.1   Organizar y conducir 12 talleres para capacitar a instituciones locales sobre el cumplimiento de las condiciones laborales mínimas y requerimientos de empleo digno y de la valoración y preservación del patrimonio inmaterial como indicadores de calidad (UNESCO)</t>
  </si>
  <si>
    <t>3.1.2   Diseñar y ejecutar el componente sobre el cumplimiento de las condiciones laborales mínimas y requerimientos de empleo digno como indicador de calidad (OIT)</t>
  </si>
  <si>
    <t>3.1.3   Diseñar y ejecutar el componente sobre la valoración y preservación del patrimonio inmaterial como indicador de calidad (UNESCO)</t>
  </si>
  <si>
    <t>3.1.4   Diseñar y ejecutar el componente sobre la conservación ambiental como indicador de calidad (PNUD)</t>
  </si>
  <si>
    <t>3.1.5  Realizar sensibilización sobre estándares de calidad en Industrias Creativas incluyendo  mejores prácticas, identidad cultural y empleo digno dirigido a micro y pequeños productores, empresas líderes, instituciones públicas y representantes de la sociedad civil (UNESCO)</t>
  </si>
  <si>
    <t>3.1.6  Diseñar y ejecutar sesiones de trabajo con representantes de los productores para verificar la incorporación del criterio de calidad relativo a identidad cultural en el desarrollo de sus proyectos productivos (UNESCO)</t>
  </si>
  <si>
    <t>3.1.7   Diseñar y ejecutar sesiones de trabajo con representantes de los productores para verificar la incorporación del criterio de calidad relativo a empleo digno en el desarrollo de sus proyectos productivos (OIT)</t>
  </si>
  <si>
    <t>3.2   Los productos provenientes de las Industrias Creativas son reconocidos por su calidad en términos de valoración de la identidad cultural y respeto a las condiciones de trabajo digno.</t>
  </si>
  <si>
    <t>3.2.1  Realizar audiencias públicas con las comunidades beneficiarias del proyecto en los 11 distritos para promover el intercambio de mejores prácticas que cumplan con los estándares de calidad de empleo digno y valoración de la identidad cultural (OIT)</t>
  </si>
  <si>
    <t>3.3. Los productos y resultados del Programa Conjunto son difundidos a todas las EPPs, contrapartes, redes de formadores, productores y a otros stakeholders</t>
  </si>
  <si>
    <t>MINAG</t>
  </si>
  <si>
    <t>3.3.1 Diseñar y administrar una plataforma virtual de intercambio y gestión de información sobre Industrias Creativas, sistemas de calidad, legislación, buenas prácticas, etc. (FAO)</t>
  </si>
  <si>
    <t>3.3.2 Diseñar servicios innovadores utilizando TICs que promuevan negocios culturales en Industrias Creativas (FAO)</t>
  </si>
  <si>
    <t>3.3.3. Sistematizar y publicar la experiencia de proyectos piloto (PNUD)</t>
  </si>
  <si>
    <t>3.3.4. Sistematizar y publicar la experiencia de nuevos NICs (OMT)</t>
  </si>
  <si>
    <t>TOTAL</t>
  </si>
  <si>
    <t xml:space="preserve">Productos  del  Programa </t>
  </si>
  <si>
    <t>Año</t>
  </si>
  <si>
    <t>X</t>
  </si>
  <si>
    <t>Organismo ONU</t>
  </si>
  <si>
    <t>Responsable Nacional / Local</t>
  </si>
  <si>
    <t>Actividad</t>
  </si>
  <si>
    <t>Monto Total Previsto</t>
  </si>
  <si>
    <t xml:space="preserve">Monto Total Comprometido </t>
  </si>
  <si>
    <t>Monto Total Desembolsado</t>
  </si>
  <si>
    <t>% 
Cumplimiento</t>
  </si>
  <si>
    <t>1.1.6  Mapeo y registro de Patrimonio intangible priorizado en cada una de las Regiones de manera transversal en los sectores¹ (UNESCO)</t>
  </si>
  <si>
    <t>2.2.4.1 Selección  y firma de convenios  de los proyectos pilotos de Industrias Creativas aprobados con fondos de la ventana²  (PNUD)</t>
  </si>
  <si>
    <t>2.2.4.2 Selección  y firma de convenios  de los proyectos pilotos de Industrias Creativas aprobados con fondos de la ventana²  (FAO)</t>
  </si>
  <si>
    <t xml:space="preserve">Productos del PC: 1.1 
</t>
  </si>
  <si>
    <t xml:space="preserve">Productos del PC: 1.2 </t>
  </si>
  <si>
    <t xml:space="preserve">Productos del PC: 1.3 </t>
  </si>
  <si>
    <t xml:space="preserve">Productos del PC: 1.4 </t>
  </si>
  <si>
    <t xml:space="preserve">Productos del PC: 1.5 </t>
  </si>
  <si>
    <t xml:space="preserve">Productos del PC: 1.6 </t>
  </si>
  <si>
    <t xml:space="preserve">Productos del PC: 1.7 </t>
  </si>
  <si>
    <t xml:space="preserve">Productos del PC: 1.8 </t>
  </si>
  <si>
    <t xml:space="preserve">Productos del PC: 1.9 </t>
  </si>
  <si>
    <t xml:space="preserve">Productos del PC: </t>
  </si>
  <si>
    <t xml:space="preserve">Unidad de Coordinación </t>
  </si>
  <si>
    <t xml:space="preserve">Gestión Operativa de la Unidad de Coordinación </t>
  </si>
  <si>
    <t>N.A</t>
  </si>
  <si>
    <t xml:space="preserve">
Esta tabla hacer referencia al grado de ejecución total acumulado del programa a la conclusión del semestre. Las cantidades que deben constar en dicho informe se refieren de forma acumulativa a todas aquellas desde el arranque del programa conjunto hasta la fecha de cierre del periodo de reporte (incluyendo todos los desembolsos anuales acumulados). Esta plantilla está diseñada para que sirva de actualización del Marco de Resultados incluido en el documento de programa original. Por favor, aporte una tabla para cada producto.
Monto total previsto para el conjunto del PC: Cantidad total asignada al programa conjunto para su implementación.
Monto total comprometido: Esta categoría incluye todas las cantidades comprometidas y ejecutados hasta la fecha.
Monto total desembolsado; Esta categoría se refiere solo a los fondos realmente ejecutados (gastados) hasta la fecha.
% Cumplimiento: Esta categoría se define como el cociente producto de dividir los fondos ejecutados entre los fondos transferidos al programa conjunto hasta la fecha.
</t>
  </si>
  <si>
    <t>\</t>
  </si>
  <si>
    <t>PC DESARROLLO Y SECTOR PRIVADO</t>
  </si>
  <si>
    <r>
      <t xml:space="preserve">Progreso en la Ejecución </t>
    </r>
    <r>
      <rPr>
        <u/>
        <sz val="9"/>
        <rFont val="Arial Narrow"/>
        <family val="2"/>
      </rPr>
      <t>ESTIMADA</t>
    </r>
  </si>
  <si>
    <r>
      <t>1.5.6. Diseñar el Sistema de Monitoreo y Seguimiento del Plan con indicadores y metodologías de levantamiento de información a nivel regional y organizar</t>
    </r>
    <r>
      <rPr>
        <sz val="9"/>
        <color indexed="10"/>
        <rFont val="Arial Narrow"/>
        <family val="2"/>
      </rPr>
      <t xml:space="preserve"> </t>
    </r>
    <r>
      <rPr>
        <sz val="9"/>
        <rFont val="Arial Narrow"/>
        <family val="2"/>
      </rPr>
      <t>5 talleres de transferencia a contrapartes nacionales, regionales y organizaciones de  la sociedad civil (OIT)</t>
    </r>
  </si>
  <si>
    <t>.</t>
  </si>
  <si>
    <t>Marco de Resultados del Programa Conjunto con Información Financiera (SEGUNDO SEMESTRE 2010) - VERSION ORIGINAL</t>
  </si>
  <si>
    <r>
      <t>Resultado MANUD 2.1:</t>
    </r>
    <r>
      <rPr>
        <sz val="10"/>
        <rFont val="Arial Narrow"/>
        <family val="2"/>
      </rPr>
      <t xml:space="preserve"> Fortalecimiento y mejoramiento del desarrollo de mercados sostenibles de producción, capital y trabajo, con énfasis en las áreas de exclusión</t>
    </r>
  </si>
  <si>
    <r>
      <t>Resultado MANUD 3.2:</t>
    </r>
    <r>
      <rPr>
        <sz val="10"/>
        <rFont val="Arial Narrow"/>
        <family val="2"/>
      </rPr>
      <t xml:space="preserve"> Fortalecimiento de mecanismos de participación, concertación y diálogo de entidades estatales y no estatales.</t>
    </r>
  </si>
  <si>
    <t>Productos  del  Programa Conjunto</t>
  </si>
  <si>
    <t>Productos SMART y organizaciones responsables de NN.UU.</t>
  </si>
  <si>
    <t>Organización de las NN.UU responsable</t>
  </si>
  <si>
    <t>Contraparte</t>
  </si>
  <si>
    <t>Actividades  indicativas para  cada uno  de los Productos</t>
  </si>
  <si>
    <t>M&amp;E  I&amp;C</t>
  </si>
  <si>
    <t>Asignación de recursos y marco de tiempo indicativo</t>
  </si>
  <si>
    <t>Total</t>
  </si>
  <si>
    <t>Resultado 1 PC:  Mejorar el entorno institucional público y privado existente de cada región priorizada, para el desarrollo y sostenibilidad de las actividades empresariales que promuevan y fortalezcan los negocios de las Industrias Creativas Inclusivas existentes y el desarrollo de nuevas iniciativas empresariales de este tipo en agricultura orgánica, artesanías, turismo rural comunitario y gastronomía, respectivamente.</t>
  </si>
  <si>
    <t>1.1   Estudios y Mapeo de socios estratégicos públicos y privados, programas públicos, privados y de cooperación internacional, proveedores de servicios financieros, capacitación y asistencia técnica de apoyo a las ICIs.</t>
  </si>
  <si>
    <t>1 Estudio de mapeo de industrias creativas inclusivas (ICI) y línea de base del PC (en el ámbito del PC - 4 regiones y 12 distritos)</t>
  </si>
  <si>
    <t>1.1.1 Estudio de mapeo  regional de las IC y sus entornos y componentes básicos de sus cadenas de valor (en agricultura orgánica, artesanía, gastronomía y turismo) y la línea de base del PC (M&amp;E)</t>
  </si>
  <si>
    <t>M&amp;E</t>
  </si>
  <si>
    <t>1.1.2. Edición, reproducción y difusión del estudio de la línea base. (I&amp;C)</t>
  </si>
  <si>
    <t>I&amp;C</t>
  </si>
  <si>
    <t>1 Estudio de mapeo y registro de patrimonio inmaterial de ICI del PC (en el ámbito del PC - 4 regiones y 12 distritos)</t>
  </si>
  <si>
    <t>MINISTERIO DE CULTURA</t>
  </si>
  <si>
    <t>1.1.3  Mapeo y registro de patrimonio intangible priorizado en cada una de las regiones de manera transversal en los sectores</t>
  </si>
  <si>
    <t>1.1.4. Edición, reproducción y difusión del estudio del patrimonio inmaterial (I&amp;C)</t>
  </si>
  <si>
    <t>1 Mapeo y evaluación de los esquemas de financiamiento  y proveedores existentes a nivel nacional, regional y local señala las oportunidades y barreras existentes para el acceso al financiamiento por parte de los grupos minoritarios involucrados en ICIs.</t>
  </si>
  <si>
    <t>PRODUCE 
Instituciones Financieras y Gobiernos Regionales</t>
  </si>
  <si>
    <t xml:space="preserve">1.1.5  Estudio  de mapeo y evaluación de los esquemas de financiamiento existentes, así como de los proveedores actuales de servicios financieros a nivel nacional, regional y local aplicables a iniciativas empresariales en Industrias Creativas, así como de las barreras existentes para el acceso al financiamiento para los más pobres, mujeres y minorías </t>
  </si>
  <si>
    <t>1 Estudio de la normativa vigente realizado, identificando los factores que restringen y/o faciliten el desarrollo de las ICIs.</t>
  </si>
  <si>
    <t>PRODUCE / MINCETUR</t>
  </si>
  <si>
    <t xml:space="preserve">1.1.6  Estudio-análisis del marco normativo vigente para el desarrollo de las ICs: fortalezas y debilidades, considerando la distribución de competencias y funciones entre los 4 niveles de gobierno y propuesta a nivel de recomendación del marco normativo priorizando aquellas que deben ser impulsados por las contrapartes nacionales para la promoción de Industrias Creativas. </t>
  </si>
  <si>
    <t>1 Estudio de herramientas de protección de la propiedad intelectual de las ICIs e identificación de las principales modalidades de gestión de marcas y registro de conocimientos ancestrales aplicables a las ICIs.</t>
  </si>
  <si>
    <t xml:space="preserve">1.1.7. Estudio de  la Ley de protección de la propiedad intelectual en el Peru, y del sistema de registro  del patrimonio cultural nacional y mundial y de conocimientos ancestrales y definición de herramientas relacionadas a la protección de las Industrias Creativas priorizadas por PC </t>
  </si>
  <si>
    <t>1 Estudio de mercado a nivel nacional/internacional de ICIs en los sectores priorizados por el PC.</t>
  </si>
  <si>
    <t xml:space="preserve">En ejecución. </t>
  </si>
  <si>
    <t xml:space="preserve">1.1.8 Estudio de mercado de principales productos del ICIs en el Perú (sectores priorizados por el PC), incidiendo en un análisis prospectivo de ambos componentes a nivel nacional/internacional l y sus canales de comercialización. </t>
  </si>
  <si>
    <t>1 Estudio de mapeo de gastronmía y turismo rural comunitario.</t>
  </si>
  <si>
    <t>MINCETUR</t>
  </si>
  <si>
    <t>1.1.9. Mapeo de turismo rural comunitario y gastronomía.</t>
  </si>
  <si>
    <t>1.2  Socios estratégicos sensibilizados sobre las posibilidades y oportunidades que ofrecen las ICs.</t>
  </si>
  <si>
    <t>4800 Funcionarios públicos, líderes del sector privado, líderes sociales sensibilizados sobre las oportunidades de  las ICs en zonas rurales (1200 por Región)</t>
  </si>
  <si>
    <t>MINCETUR / PRODUCE Gobiernos Regionales y Locales</t>
  </si>
  <si>
    <t>1.2.1. Diseño de los contenido de sensibilización y elaboración de pioners para incluir los materiales de promoción y difusión del PC (I&amp;C)</t>
  </si>
  <si>
    <t>1.2.2. Diseño e impresión de carpeta informativa del PC (cuadrípticos) en castellano e idiomas nativos (UNESCO), incluye marco normativo (UNESCO), financiamiento (OIT), formalización (OIT), asociactividad (ONUDI), etc., adecuados al público objetivo. (I&amp;C)</t>
  </si>
  <si>
    <t>1.2.3 Organización de 4 talleres regionales y 12 Talleres distritales de Lanzamiento del PC (I&amp;C)</t>
  </si>
  <si>
    <t>1.2.4 Difusión masiva en radios locales del programa y Participación de Coordinadores Regionales en programas locales de radio (I&amp;C)</t>
  </si>
  <si>
    <t>1.2.5 Eventos de información, sensibilización y promoción del PC, talleres de difusión de aspectos relacionados con las ICI, reuniones de trabajo, conferencias de prensa, pasacalles, ferias, etc. dirigidos a los socios estratégicos y titulares de derecho sobre temas de: marco normativo, esquemas de financiamiento, formalización, asociatividad, etc. (I&amp;C)</t>
  </si>
  <si>
    <t>1.2.6 Diseño, puesta en marcha y administración de una pagina web del PC ICI (I&amp;C)</t>
  </si>
  <si>
    <t>50 estudiantes concluyen satisfactoriamente el diplomado en ICIs y Negocios Inclusivos (NI), impartida por una universidad.</t>
  </si>
  <si>
    <t>MINCETUR Gobiernos Regionales y Locales</t>
  </si>
  <si>
    <t xml:space="preserve">1.2.7 Diseño curricular y de contenidos </t>
  </si>
  <si>
    <t xml:space="preserve">1.2.8 Establecimiento de convenios con instituciones  </t>
  </si>
  <si>
    <t xml:space="preserve">1.2.9 Convocatoria y selección de participantes (Material de difusión, anuncio en periódicos locales) </t>
  </si>
  <si>
    <t xml:space="preserve">1.2.10 Implementación de diplomado de ICs y NI (01 región)  </t>
  </si>
  <si>
    <t>1.3. Propuesta de marco normativo y políticas públicas vigentes para la promoción y el desarrollo de ICs, según la distribución de competencias y funciones entre los cuatros niveles de gobiernos.</t>
  </si>
  <si>
    <t>Monto transferido a CO</t>
  </si>
  <si>
    <t>Finalizado.</t>
  </si>
  <si>
    <t>1 Documento de propuesta del marco normativo y de procedimientos para la promoción de ICs.</t>
  </si>
  <si>
    <t>MINCETUR / PRODUCE</t>
  </si>
  <si>
    <t xml:space="preserve">1.3.1 Elaboración de una propuesta del marco normativo y de procedimientos, según la distribución de competencias y funciones de los cuatros niveles de gobiernos, que prioriza aquellas que deben ser impulsados por las contrapartes nacionales para la promoción de ICs </t>
  </si>
  <si>
    <t>1300 Representantes del sector público, sector privado y de la sociedad civil (a nivel nacional, regional y local),  sensibilizados sobre incentivos existentes en el marco normativo y la gestión de las ICs para combatir la pobreza.</t>
  </si>
  <si>
    <t>1.3.2 Organización de 4 talleres  sobre la gestión de la implementación del marco normativo y de la propiedad intelectual y registro de conocimientos ancestrales de las ICs, dirigido a socios públicos y privados (1 por región) - I&amp;C</t>
  </si>
  <si>
    <t>1.3.3  Seminario internacional sobre la gestión de las ICs - I&amp;C</t>
  </si>
  <si>
    <t>120 Congresistas sensibilizados para incorporar el documento de propuesta de marco normativo en su agenda legislativa con la participación de 32 lideres de regionales y locales</t>
  </si>
  <si>
    <t>1.3.4  Organización de Foro de Promoción y exposición de  Ics y NI con el Congreso de la República  y MINCETUR para la presentación de la propuesta del marco normativo - I&amp;C</t>
  </si>
  <si>
    <t>1.4  Lideres y representantes de gremios empresariales conocen la metodología para formular Planes de Negocios Inclusivo (PNI)  y los estándares mínimos para la identificación de NI en ICs.</t>
  </si>
  <si>
    <r>
      <t>1 Guía metodológica que incluye los estándares mínimos validad</t>
    </r>
    <r>
      <rPr>
        <b/>
        <sz val="10"/>
        <color indexed="8"/>
        <rFont val="Arial Narrow"/>
        <family val="2"/>
      </rPr>
      <t xml:space="preserve">a </t>
    </r>
    <r>
      <rPr>
        <sz val="10"/>
        <color indexed="8"/>
        <rFont val="Arial Narrow"/>
        <family val="2"/>
      </rPr>
      <t>para formular Planes de Negocios Inclusivos en Industrias Creativas.</t>
    </r>
  </si>
  <si>
    <t>MINCETUR/ PRODUCE</t>
  </si>
  <si>
    <t>1.4.1. Formulación de guía metodológica para PNI en ICs, incluye criterios mínimos para la identificación de NI y su validación</t>
  </si>
  <si>
    <t>500 Líderes empresariales conocen la metodología para formular PNI.</t>
  </si>
  <si>
    <t xml:space="preserve">1.4.2 Publicación de la guía metodológica, incluye edición, diagramación y USB </t>
  </si>
  <si>
    <t>1.4.3. Foro de presentación de la Guía Metodológica y documento de criterios mínimos ante gremios y líderes empresariales - I&amp;C</t>
  </si>
  <si>
    <t>1.4.4. Organización de 4 talleres de capacitación (1 por región) en la aplicación de la Guía metodológica para la formulación de planes de Negocios Inclusivos y el uso del instrumento de estándares mínimos para la identificación de NI - I&amp;C</t>
  </si>
  <si>
    <t>1.5   Gobiernos Regionales y  Gobiernos Locales fortalecidos como instancias de promoción del desarrollo empresarial sostenible en ICs.</t>
  </si>
  <si>
    <t>4 Gobiernos Regionales y 12 Locales incorporan la temática de Industrias Creativas Inclusivas en sus Planes de Desarrollo Concertado (por medio de ordenanzas u otros dispositivos)</t>
  </si>
  <si>
    <t>MINCETUR/ PRODUCE Gobiernos Regionales y Locales</t>
  </si>
  <si>
    <t xml:space="preserve">1.5.1 Asistencia técnica a los gobiernos regionales y locales para la incorporación de la temática de ICs en los Planes de Desarrollo Concertado - PDC (4 regiones y 12 distritos) </t>
  </si>
  <si>
    <t xml:space="preserve">12 Gobiernos Locales cuentan con 1 proyecto de inversión pública para la promoción de ICs. </t>
  </si>
  <si>
    <t xml:space="preserve">1.5.2 Asistencia técnica a los Gobiernos Regionales y Locales en la formulación de perfiles de proyectos de inversión pública de fomento a las IC en los sectores del PC </t>
  </si>
  <si>
    <t>Resultado 2 PC:  Acceso al mercado e incremento de ingresos de micro y pequeños productores que participan en los negocios de Industrias Creativas inclusivas.</t>
  </si>
  <si>
    <t>2.1  Las capacidades de las Industrias Creativas Inclusivas y Micro y Pequeños Productores se han fortalecido en temas tales como: mecanismos de articulación y gestión empresarial, contenidos culturales, de producción, acceso al mercado, condiciones adecuadas de trabajo, formalización, acceso al financiamiento, mejoramiento de los sistemas de calidad y conservación del medio ambiente.</t>
  </si>
  <si>
    <t>1 Programa de formación de formadores diseñado que incluye paquete de materiales.</t>
  </si>
  <si>
    <t>2.1.1. Elaboración del programa, adecuación de guías metodológicas, procedimientos y materiales de capacitación para la formación de formadores en ICs: Objetivos, enfoques (recursos naturales y medio ambiente y patrimonio cultural inmatarial) y contenidos del PC-ICIs, gestión empresarial, procesos productivos y aseguramiento de la calidad en los sectores de Artesanía, Agricultura Orgánica, Turismo Rural Comunitario y Gastronomía.</t>
  </si>
  <si>
    <t>100 postulantes seleccionados, formados como formadores en ICIs.</t>
  </si>
  <si>
    <t>2.1.2    Capacitación de los formadores seleccionados.</t>
  </si>
  <si>
    <t>1360 Micros y Pequeños productores reciben capacitación y asistencia técnica de facilitadores acreditados por el PC, según el contenido del programa de formación.</t>
  </si>
  <si>
    <t xml:space="preserve">2.1.3 Capacitación de micro y pequeños Productores por los formadores. </t>
  </si>
  <si>
    <t>60 Iniciativas empresariales financiadas por el PC, reciben asistencia técnica especializada, según sus necesidades y oportunidades de mercado.</t>
  </si>
  <si>
    <t xml:space="preserve">2.1.4 Asistencia técnica en agricultura orgánica </t>
  </si>
  <si>
    <t>MINAM</t>
  </si>
  <si>
    <t xml:space="preserve">2.1.5 Asistencia técnica recursos naturales y medio ambiente </t>
  </si>
  <si>
    <t>2.1.6 Asistencia técnica gastronomía</t>
  </si>
  <si>
    <t xml:space="preserve">2.1.7 Asistencia técnica artesanías </t>
  </si>
  <si>
    <t xml:space="preserve">2.1.8 Asistencia técnica turismo rural comunitario </t>
  </si>
  <si>
    <t xml:space="preserve">2.1.9 Asistencia técnica en asociatividad vertical y horizontal </t>
  </si>
  <si>
    <t>2.1.10 Asistencia Ténica en patrimonio cultural inmaterial</t>
  </si>
  <si>
    <t>% 
Cumplimiento en relación al total previsto</t>
  </si>
  <si>
    <t>Observaciones</t>
  </si>
  <si>
    <t xml:space="preserve"> </t>
  </si>
  <si>
    <t>3.1.4. Programa DE MI TIERRA UN PRODUCTO</t>
  </si>
  <si>
    <t>% 
Cumplimiento en relación al POA  2012</t>
  </si>
  <si>
    <t>AL 31 DE MARZO  DEL 2012</t>
  </si>
  <si>
    <t>Progreso estimado al 31 de marzo de  2012</t>
  </si>
  <si>
    <t>Total reformulado POA 2012</t>
  </si>
  <si>
    <t>2.2.10 Apoyo financiero a MYPES en las regiones.</t>
  </si>
  <si>
    <t xml:space="preserve">Contrato con USMP por US$105,000, comprometido para Act. 2.1.1. y 2.1.2.                                            </t>
  </si>
  <si>
    <t>Total Previsto</t>
  </si>
  <si>
    <t>% 
Cumplimiento (total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</si>
</sst>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_(* #,##0_);_(* \(#,##0\);_(* &quot;-&quot;??_);_(@_)"/>
  </numFmts>
  <fonts count="33" x14ac:knownFonts="1">
    <font>
      <sz val="10"/>
      <name val="Arial"/>
    </font>
    <font>
      <sz val="10"/>
      <name val="Arial"/>
      <family val="2"/>
    </font>
    <font>
      <sz val="8"/>
      <name val="Calibri"/>
      <family val="2"/>
    </font>
    <font>
      <sz val="10"/>
      <name val="Arial"/>
      <family val="2"/>
    </font>
    <font>
      <sz val="8"/>
      <name val="Arial"/>
      <family val="2"/>
    </font>
    <font>
      <b/>
      <sz val="10"/>
      <name val="Arial Narrow"/>
      <family val="2"/>
    </font>
    <font>
      <sz val="10"/>
      <name val="Arial Narrow"/>
      <family val="2"/>
    </font>
    <font>
      <b/>
      <sz val="9"/>
      <name val="Arial Narrow"/>
      <family val="2"/>
    </font>
    <font>
      <sz val="9"/>
      <name val="Arial Narrow"/>
      <family val="2"/>
    </font>
    <font>
      <u/>
      <sz val="9"/>
      <name val="Arial Narrow"/>
      <family val="2"/>
    </font>
    <font>
      <sz val="9"/>
      <color indexed="10"/>
      <name val="Arial Narrow"/>
      <family val="2"/>
    </font>
    <font>
      <sz val="10"/>
      <color indexed="8"/>
      <name val="Arial Narrow"/>
      <family val="2"/>
    </font>
    <font>
      <sz val="10"/>
      <color indexed="8"/>
      <name val="Arial Narrow"/>
      <family val="2"/>
    </font>
    <font>
      <b/>
      <sz val="10"/>
      <color indexed="8"/>
      <name val="Arial Narrow"/>
      <family val="2"/>
    </font>
    <font>
      <sz val="10"/>
      <color indexed="10"/>
      <name val="Arial Narrow"/>
      <family val="2"/>
    </font>
    <font>
      <sz val="11"/>
      <name val="Arial Narrow"/>
      <family val="2"/>
    </font>
    <font>
      <sz val="11"/>
      <name val="Verdana"/>
      <family val="2"/>
    </font>
    <font>
      <sz val="8"/>
      <name val="Verdana"/>
      <family val="2"/>
    </font>
    <font>
      <b/>
      <sz val="12"/>
      <name val="Arial Narrow"/>
      <family val="2"/>
    </font>
    <font>
      <b/>
      <sz val="14"/>
      <name val="Arial Narrow"/>
      <family val="2"/>
    </font>
    <font>
      <b/>
      <sz val="11"/>
      <name val="Arial Narrow"/>
      <family val="2"/>
    </font>
    <font>
      <b/>
      <u/>
      <sz val="10"/>
      <name val="Arial Narrow"/>
      <family val="2"/>
    </font>
    <font>
      <sz val="10"/>
      <name val="Arial"/>
      <family val="2"/>
    </font>
    <font>
      <b/>
      <sz val="11"/>
      <name val="Arial"/>
      <family val="2"/>
    </font>
    <font>
      <sz val="10"/>
      <name val="Arial"/>
      <family val="2"/>
    </font>
    <font>
      <sz val="10"/>
      <color theme="4" tint="-0.499984740745262"/>
      <name val="Arial"/>
      <family val="2"/>
    </font>
    <font>
      <sz val="11"/>
      <color theme="0"/>
      <name val="Calibri"/>
      <family val="2"/>
      <scheme val="minor"/>
    </font>
    <font>
      <sz val="10"/>
      <color theme="0"/>
      <name val="Arial"/>
      <family val="2"/>
    </font>
    <font>
      <sz val="12"/>
      <name val="Arial Narrow"/>
      <family val="2"/>
    </font>
    <font>
      <sz val="10"/>
      <color theme="4" tint="-0.249977111117893"/>
      <name val="Arial Narrow"/>
      <family val="2"/>
    </font>
    <font>
      <sz val="10"/>
      <color theme="4" tint="-0.499984740745262"/>
      <name val="Arial Narrow"/>
      <family val="2"/>
    </font>
    <font>
      <sz val="10"/>
      <color theme="0"/>
      <name val="Arial Narrow"/>
      <family val="2"/>
    </font>
    <font>
      <b/>
      <sz val="10"/>
      <color rgb="FF000099"/>
      <name val="Arial Narrow"/>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4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43" fontId="22" fillId="0" borderId="0" applyFont="0" applyFill="0" applyBorder="0" applyAlignment="0" applyProtection="0"/>
    <xf numFmtId="0" fontId="1" fillId="0" borderId="0"/>
    <xf numFmtId="9" fontId="3" fillId="0" borderId="0" applyFont="0" applyFill="0" applyBorder="0" applyAlignment="0" applyProtection="0"/>
    <xf numFmtId="0" fontId="26" fillId="16" borderId="0" applyNumberFormat="0" applyBorder="0" applyAlignment="0" applyProtection="0"/>
  </cellStyleXfs>
  <cellXfs count="605">
    <xf numFmtId="0" fontId="0" fillId="0" borderId="0" xfId="0"/>
    <xf numFmtId="0" fontId="2" fillId="0" borderId="0" xfId="0" applyFont="1"/>
    <xf numFmtId="0" fontId="2" fillId="2" borderId="0" xfId="0" applyFont="1" applyFill="1"/>
    <xf numFmtId="0" fontId="2" fillId="0" borderId="1" xfId="0" applyFont="1" applyBorder="1"/>
    <xf numFmtId="0" fontId="2" fillId="0" borderId="0" xfId="0" applyFont="1" applyAlignment="1">
      <alignment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2" fillId="2" borderId="0" xfId="0" applyFont="1" applyFill="1" applyBorder="1"/>
    <xf numFmtId="0" fontId="2" fillId="0" borderId="0" xfId="0" applyFont="1" applyFill="1"/>
    <xf numFmtId="164" fontId="2" fillId="2" borderId="0" xfId="0" applyNumberFormat="1" applyFont="1" applyFill="1"/>
    <xf numFmtId="0" fontId="8" fillId="0" borderId="0" xfId="0" applyFont="1" applyAlignment="1">
      <alignment horizontal="center" vertical="center"/>
    </xf>
    <xf numFmtId="3" fontId="8" fillId="0" borderId="0" xfId="0" applyNumberFormat="1" applyFont="1" applyAlignment="1">
      <alignment horizontal="center" vertical="center"/>
    </xf>
    <xf numFmtId="0" fontId="8" fillId="0" borderId="0" xfId="0" applyFont="1"/>
    <xf numFmtId="3" fontId="8" fillId="2" borderId="2" xfId="0" applyNumberFormat="1" applyFont="1" applyFill="1" applyBorder="1" applyAlignment="1">
      <alignment horizontal="right" vertical="center"/>
    </xf>
    <xf numFmtId="9" fontId="8" fillId="2" borderId="3" xfId="0" applyNumberFormat="1" applyFont="1" applyFill="1" applyBorder="1" applyAlignment="1">
      <alignment horizontal="right" vertical="center"/>
    </xf>
    <xf numFmtId="4" fontId="8" fillId="2" borderId="2" xfId="0" applyNumberFormat="1" applyFont="1" applyFill="1" applyBorder="1" applyAlignment="1">
      <alignment horizontal="right" vertical="center"/>
    </xf>
    <xf numFmtId="4" fontId="8" fillId="2" borderId="0" xfId="0" applyNumberFormat="1" applyFont="1" applyFill="1" applyAlignment="1">
      <alignment horizontal="right" vertical="center"/>
    </xf>
    <xf numFmtId="0" fontId="8" fillId="2" borderId="4" xfId="0" applyFont="1" applyFill="1" applyBorder="1" applyAlignment="1">
      <alignment horizontal="right" vertical="center"/>
    </xf>
    <xf numFmtId="3" fontId="8" fillId="0" borderId="2" xfId="0" applyNumberFormat="1" applyFont="1" applyBorder="1" applyAlignment="1">
      <alignment horizontal="center" vertical="center"/>
    </xf>
    <xf numFmtId="0" fontId="8" fillId="0" borderId="2" xfId="0" applyFont="1" applyBorder="1" applyAlignment="1">
      <alignment horizontal="center" vertical="center"/>
    </xf>
    <xf numFmtId="1" fontId="8" fillId="2" borderId="2" xfId="0" applyNumberFormat="1" applyFont="1" applyFill="1" applyBorder="1" applyAlignment="1">
      <alignment horizontal="justify" vertical="center" wrapText="1"/>
    </xf>
    <xf numFmtId="1" fontId="8" fillId="2" borderId="2"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xf>
    <xf numFmtId="0" fontId="8" fillId="2" borderId="2" xfId="0" applyFont="1" applyFill="1" applyBorder="1"/>
    <xf numFmtId="9" fontId="8" fillId="2" borderId="3" xfId="0" applyNumberFormat="1" applyFont="1" applyFill="1" applyBorder="1" applyAlignment="1">
      <alignment horizontal="center" vertical="center"/>
    </xf>
    <xf numFmtId="1" fontId="8" fillId="2" borderId="2" xfId="0" applyNumberFormat="1" applyFont="1" applyFill="1" applyBorder="1" applyAlignment="1">
      <alignment horizontal="left" vertical="center" wrapText="1"/>
    </xf>
    <xf numFmtId="0" fontId="8" fillId="2" borderId="2" xfId="0" applyFont="1" applyFill="1" applyBorder="1" applyAlignment="1">
      <alignment vertical="center"/>
    </xf>
    <xf numFmtId="10" fontId="8" fillId="0" borderId="2" xfId="0" applyNumberFormat="1" applyFont="1" applyBorder="1"/>
    <xf numFmtId="0" fontId="8" fillId="2" borderId="0" xfId="0" applyFont="1" applyFill="1" applyBorder="1"/>
    <xf numFmtId="0" fontId="8" fillId="2" borderId="0" xfId="0" applyFont="1" applyFill="1" applyAlignment="1">
      <alignment vertical="center"/>
    </xf>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8" fillId="2" borderId="0" xfId="0" applyFont="1" applyFill="1"/>
    <xf numFmtId="0" fontId="8" fillId="2" borderId="6" xfId="0"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3" fontId="8" fillId="2" borderId="9" xfId="0" applyNumberFormat="1" applyFont="1" applyFill="1" applyBorder="1" applyAlignment="1">
      <alignment horizontal="center" vertical="center"/>
    </xf>
    <xf numFmtId="9" fontId="8" fillId="2" borderId="11"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9" fontId="8" fillId="2" borderId="7" xfId="0" applyNumberFormat="1" applyFont="1" applyFill="1" applyBorder="1" applyAlignment="1">
      <alignment horizontal="center" vertical="center"/>
    </xf>
    <xf numFmtId="3" fontId="8" fillId="2" borderId="9" xfId="0" applyNumberFormat="1" applyFont="1" applyFill="1" applyBorder="1" applyAlignment="1">
      <alignment horizontal="right" vertical="center"/>
    </xf>
    <xf numFmtId="0" fontId="8" fillId="2" borderId="9"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0" fontId="8" fillId="2" borderId="13" xfId="0" applyFont="1" applyFill="1" applyBorder="1" applyAlignment="1">
      <alignment horizontal="center" vertical="center" wrapText="1"/>
    </xf>
    <xf numFmtId="3" fontId="8" fillId="2" borderId="6" xfId="0" applyNumberFormat="1" applyFont="1" applyFill="1" applyBorder="1" applyAlignment="1">
      <alignment horizontal="right" vertical="center"/>
    </xf>
    <xf numFmtId="9" fontId="8" fillId="2" borderId="7" xfId="3" applyFont="1" applyFill="1" applyBorder="1" applyAlignment="1">
      <alignment horizontal="right" vertical="center"/>
    </xf>
    <xf numFmtId="0" fontId="8" fillId="2" borderId="2" xfId="0" applyFont="1" applyFill="1" applyBorder="1" applyAlignment="1">
      <alignment vertical="center" wrapText="1"/>
    </xf>
    <xf numFmtId="9" fontId="8" fillId="2" borderId="3" xfId="0" applyNumberFormat="1" applyFont="1" applyFill="1" applyBorder="1" applyAlignment="1">
      <alignment vertical="center"/>
    </xf>
    <xf numFmtId="0" fontId="8" fillId="2" borderId="2" xfId="0" applyFont="1" applyFill="1" applyBorder="1" applyAlignment="1">
      <alignment horizontal="left" vertical="center" wrapText="1"/>
    </xf>
    <xf numFmtId="3" fontId="8" fillId="2" borderId="14" xfId="0" applyNumberFormat="1" applyFont="1" applyFill="1" applyBorder="1" applyAlignment="1">
      <alignment horizontal="right" vertical="center"/>
    </xf>
    <xf numFmtId="3" fontId="8" fillId="2" borderId="2" xfId="0" applyNumberFormat="1" applyFont="1" applyFill="1" applyBorder="1" applyAlignment="1">
      <alignment horizontal="center" vertical="center"/>
    </xf>
    <xf numFmtId="0" fontId="8" fillId="2" borderId="3" xfId="0" applyFont="1" applyFill="1" applyBorder="1"/>
    <xf numFmtId="3" fontId="8" fillId="2" borderId="14" xfId="0" applyNumberFormat="1" applyFont="1" applyFill="1" applyBorder="1" applyAlignment="1">
      <alignment horizontal="center" vertical="center"/>
    </xf>
    <xf numFmtId="0" fontId="8" fillId="2" borderId="14" xfId="0" applyFont="1" applyFill="1" applyBorder="1"/>
    <xf numFmtId="0" fontId="8" fillId="2" borderId="15" xfId="0" applyFont="1" applyFill="1" applyBorder="1"/>
    <xf numFmtId="3" fontId="8" fillId="2" borderId="13" xfId="0" applyNumberFormat="1" applyFont="1" applyFill="1" applyBorder="1" applyAlignment="1">
      <alignment horizontal="center" vertical="center"/>
    </xf>
    <xf numFmtId="0" fontId="8" fillId="2" borderId="13" xfId="0" applyFont="1" applyFill="1" applyBorder="1"/>
    <xf numFmtId="0" fontId="8" fillId="2" borderId="16" xfId="0" applyFont="1" applyFill="1" applyBorder="1"/>
    <xf numFmtId="0" fontId="8" fillId="2" borderId="2" xfId="0" applyFont="1" applyFill="1" applyBorder="1" applyAlignment="1">
      <alignment horizontal="center" vertical="center"/>
    </xf>
    <xf numFmtId="10" fontId="8" fillId="2" borderId="14" xfId="0" applyNumberFormat="1" applyFont="1" applyFill="1" applyBorder="1" applyAlignment="1">
      <alignment horizontal="center" vertical="center"/>
    </xf>
    <xf numFmtId="1" fontId="8" fillId="2" borderId="13" xfId="0" applyNumberFormat="1" applyFont="1" applyFill="1" applyBorder="1" applyAlignment="1">
      <alignment horizontal="justify" vertical="center" wrapText="1"/>
    </xf>
    <xf numFmtId="1" fontId="8" fillId="2" borderId="13" xfId="0" applyNumberFormat="1" applyFont="1" applyFill="1" applyBorder="1" applyAlignment="1">
      <alignment horizontal="center" vertical="center" wrapText="1"/>
    </xf>
    <xf numFmtId="3" fontId="8" fillId="2" borderId="17" xfId="0" applyNumberFormat="1" applyFont="1" applyFill="1" applyBorder="1" applyAlignment="1">
      <alignment horizontal="center" vertical="center"/>
    </xf>
    <xf numFmtId="0" fontId="8" fillId="2" borderId="18" xfId="0" applyFont="1" applyFill="1" applyBorder="1" applyAlignment="1">
      <alignment horizontal="left" vertical="top" wrapText="1"/>
    </xf>
    <xf numFmtId="0" fontId="8" fillId="2" borderId="13" xfId="0" applyFont="1" applyFill="1" applyBorder="1" applyAlignment="1">
      <alignment horizontal="justify" vertical="center" wrapText="1"/>
    </xf>
    <xf numFmtId="0" fontId="8" fillId="2" borderId="19" xfId="0" applyFont="1" applyFill="1" applyBorder="1" applyAlignment="1">
      <alignment horizontal="left" vertical="center" wrapText="1"/>
    </xf>
    <xf numFmtId="0" fontId="8" fillId="2" borderId="1" xfId="0" applyFont="1" applyFill="1" applyBorder="1"/>
    <xf numFmtId="10" fontId="8" fillId="2" borderId="2" xfId="0" applyNumberFormat="1" applyFont="1" applyFill="1" applyBorder="1"/>
    <xf numFmtId="3" fontId="5" fillId="3" borderId="2" xfId="0" applyNumberFormat="1" applyFont="1" applyFill="1" applyBorder="1" applyAlignment="1">
      <alignment horizontal="center" vertical="center"/>
    </xf>
    <xf numFmtId="0" fontId="6" fillId="2" borderId="2" xfId="0" applyFont="1" applyFill="1" applyBorder="1" applyAlignment="1">
      <alignment horizontal="center" vertical="top"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xf>
    <xf numFmtId="3" fontId="11" fillId="2" borderId="2" xfId="0" applyNumberFormat="1" applyFont="1" applyFill="1" applyBorder="1" applyAlignment="1">
      <alignment horizontal="center" vertical="center"/>
    </xf>
    <xf numFmtId="0" fontId="6" fillId="2" borderId="2" xfId="0" applyFont="1" applyFill="1" applyBorder="1" applyAlignment="1">
      <alignment horizontal="justify" vertical="center" wrapText="1"/>
    </xf>
    <xf numFmtId="3"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top" wrapText="1"/>
    </xf>
    <xf numFmtId="3" fontId="11" fillId="2" borderId="2" xfId="0" applyNumberFormat="1" applyFont="1" applyFill="1" applyBorder="1" applyAlignment="1">
      <alignment horizontal="center" vertical="center" wrapText="1"/>
    </xf>
    <xf numFmtId="0" fontId="6" fillId="2" borderId="2" xfId="0" applyFont="1" applyFill="1" applyBorder="1" applyAlignment="1">
      <alignment vertical="top" wrapText="1"/>
    </xf>
    <xf numFmtId="0" fontId="6" fillId="2" borderId="2" xfId="0" applyFont="1" applyFill="1" applyBorder="1" applyAlignment="1">
      <alignment vertical="center" wrapText="1"/>
    </xf>
    <xf numFmtId="0" fontId="6" fillId="2" borderId="1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19" xfId="0" applyFont="1" applyBorder="1" applyAlignment="1">
      <alignment horizontal="center" vertical="top" wrapText="1"/>
    </xf>
    <xf numFmtId="0" fontId="6" fillId="2" borderId="19" xfId="0" applyFont="1" applyFill="1" applyBorder="1" applyAlignment="1">
      <alignment horizontal="center" vertical="top" wrapText="1"/>
    </xf>
    <xf numFmtId="1" fontId="6" fillId="2" borderId="2" xfId="0" applyNumberFormat="1" applyFont="1" applyFill="1" applyBorder="1" applyAlignment="1">
      <alignment horizontal="left" vertical="top" wrapText="1"/>
    </xf>
    <xf numFmtId="0" fontId="12" fillId="2" borderId="2" xfId="0" applyFont="1" applyFill="1" applyBorder="1" applyAlignment="1">
      <alignment horizontal="justify" vertical="center" wrapText="1"/>
    </xf>
    <xf numFmtId="0" fontId="12" fillId="2" borderId="2" xfId="0" applyFont="1" applyFill="1" applyBorder="1" applyAlignment="1">
      <alignment horizontal="center" vertical="center" wrapText="1"/>
    </xf>
    <xf numFmtId="1" fontId="6" fillId="0" borderId="2" xfId="0" applyNumberFormat="1" applyFont="1" applyFill="1" applyBorder="1" applyAlignment="1">
      <alignment vertical="top"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1" fontId="6" fillId="2" borderId="2" xfId="0" applyNumberFormat="1" applyFont="1" applyFill="1" applyBorder="1" applyAlignment="1">
      <alignment vertical="top" wrapText="1"/>
    </xf>
    <xf numFmtId="1" fontId="6" fillId="2" borderId="12" xfId="0" applyNumberFormat="1" applyFont="1" applyFill="1" applyBorder="1" applyAlignment="1">
      <alignment horizontal="center" vertical="top" wrapText="1"/>
    </xf>
    <xf numFmtId="1" fontId="6" fillId="2" borderId="2" xfId="0" applyNumberFormat="1" applyFont="1" applyFill="1" applyBorder="1" applyAlignment="1">
      <alignment horizontal="justify" vertical="center" wrapText="1"/>
    </xf>
    <xf numFmtId="1" fontId="6" fillId="2" borderId="2" xfId="0" applyNumberFormat="1" applyFont="1" applyFill="1" applyBorder="1" applyAlignment="1">
      <alignment horizontal="center" vertical="center" wrapText="1"/>
    </xf>
    <xf numFmtId="1" fontId="6" fillId="2" borderId="2" xfId="0" applyNumberFormat="1" applyFont="1" applyFill="1" applyBorder="1" applyAlignment="1">
      <alignment horizontal="left" vertical="center" wrapText="1"/>
    </xf>
    <xf numFmtId="1" fontId="6" fillId="0" borderId="2" xfId="0" applyNumberFormat="1" applyFont="1" applyFill="1" applyBorder="1" applyAlignment="1">
      <alignment horizontal="justify" vertical="center" wrapText="1"/>
    </xf>
    <xf numFmtId="1" fontId="6" fillId="0" borderId="2" xfId="0"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xf>
    <xf numFmtId="1" fontId="12" fillId="2" borderId="2" xfId="0" applyNumberFormat="1" applyFont="1" applyFill="1" applyBorder="1" applyAlignment="1">
      <alignment horizontal="justify" vertical="center" wrapText="1"/>
    </xf>
    <xf numFmtId="1" fontId="12" fillId="2" borderId="2" xfId="0"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xf>
    <xf numFmtId="0" fontId="6" fillId="0" borderId="2" xfId="0" applyFont="1" applyFill="1" applyBorder="1" applyAlignment="1">
      <alignment horizontal="left" vertical="top" wrapText="1"/>
    </xf>
    <xf numFmtId="1" fontId="6" fillId="2" borderId="2" xfId="0" applyNumberFormat="1" applyFont="1" applyFill="1" applyBorder="1" applyAlignment="1">
      <alignment horizontal="center" vertical="top" wrapText="1"/>
    </xf>
    <xf numFmtId="0" fontId="11"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8" fillId="3" borderId="2" xfId="0" applyFont="1" applyFill="1" applyBorder="1" applyAlignment="1">
      <alignment vertical="center" wrapText="1"/>
    </xf>
    <xf numFmtId="0" fontId="18" fillId="3"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0" fontId="19" fillId="2" borderId="2" xfId="0" applyFont="1" applyFill="1" applyBorder="1" applyAlignment="1">
      <alignment vertical="center" wrapText="1"/>
    </xf>
    <xf numFmtId="0" fontId="19" fillId="2" borderId="2" xfId="0" applyFont="1" applyFill="1" applyBorder="1" applyAlignment="1">
      <alignment horizontal="center" vertical="center" wrapText="1"/>
    </xf>
    <xf numFmtId="3" fontId="19" fillId="2" borderId="2" xfId="0" applyNumberFormat="1" applyFont="1" applyFill="1" applyBorder="1" applyAlignment="1">
      <alignment horizontal="center" vertical="center"/>
    </xf>
    <xf numFmtId="0" fontId="20" fillId="4" borderId="19" xfId="0" applyFont="1" applyFill="1" applyBorder="1" applyAlignment="1">
      <alignment horizontal="center" vertical="center" wrapText="1"/>
    </xf>
    <xf numFmtId="3" fontId="20" fillId="4" borderId="19" xfId="0" applyNumberFormat="1" applyFont="1" applyFill="1" applyBorder="1" applyAlignment="1">
      <alignment horizontal="center" vertical="center"/>
    </xf>
    <xf numFmtId="0" fontId="6" fillId="0" borderId="1" xfId="0" applyFont="1" applyBorder="1"/>
    <xf numFmtId="0" fontId="6" fillId="0" borderId="0" xfId="0" applyFont="1" applyAlignment="1">
      <alignment horizontal="left" vertical="top"/>
    </xf>
    <xf numFmtId="0" fontId="6" fillId="2" borderId="0" xfId="0" applyFont="1" applyFill="1" applyAlignment="1">
      <alignment horizontal="center"/>
    </xf>
    <xf numFmtId="0" fontId="6"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center"/>
    </xf>
    <xf numFmtId="3" fontId="6" fillId="0" borderId="0" xfId="0" applyNumberFormat="1" applyFont="1" applyAlignment="1">
      <alignment horizontal="center" vertical="center"/>
    </xf>
    <xf numFmtId="165" fontId="6" fillId="0" borderId="0" xfId="0" applyNumberFormat="1" applyFont="1" applyAlignment="1">
      <alignment horizontal="center" vertical="center"/>
    </xf>
    <xf numFmtId="4" fontId="6" fillId="0" borderId="0" xfId="0" applyNumberFormat="1" applyFont="1" applyAlignment="1">
      <alignment horizontal="center" vertical="center"/>
    </xf>
    <xf numFmtId="0" fontId="6" fillId="5" borderId="9" xfId="0" applyFont="1" applyFill="1" applyBorder="1" applyAlignment="1">
      <alignment horizontal="left" vertical="top"/>
    </xf>
    <xf numFmtId="0" fontId="6" fillId="5" borderId="9" xfId="0" applyFont="1" applyFill="1" applyBorder="1" applyAlignment="1">
      <alignment horizontal="center"/>
    </xf>
    <xf numFmtId="0" fontId="6" fillId="5" borderId="9" xfId="0" applyFont="1" applyFill="1" applyBorder="1" applyAlignment="1">
      <alignment horizontal="left" vertical="center"/>
    </xf>
    <xf numFmtId="0" fontId="6" fillId="5" borderId="9" xfId="0" applyFont="1" applyFill="1" applyBorder="1" applyAlignment="1">
      <alignment horizontal="center" vertical="center"/>
    </xf>
    <xf numFmtId="3" fontId="6" fillId="5" borderId="9" xfId="0" applyNumberFormat="1" applyFont="1" applyFill="1" applyBorder="1" applyAlignment="1">
      <alignment horizontal="center" vertical="center"/>
    </xf>
    <xf numFmtId="0" fontId="1" fillId="0" borderId="0" xfId="0" applyFont="1"/>
    <xf numFmtId="0" fontId="6" fillId="5" borderId="2" xfId="0" applyFont="1" applyFill="1" applyBorder="1" applyAlignment="1">
      <alignment horizontal="left" vertical="top"/>
    </xf>
    <xf numFmtId="0" fontId="6" fillId="5" borderId="2" xfId="0" applyFont="1" applyFill="1" applyBorder="1" applyAlignment="1">
      <alignment horizontal="center"/>
    </xf>
    <xf numFmtId="0" fontId="6" fillId="5" borderId="2" xfId="0" applyFont="1" applyFill="1" applyBorder="1" applyAlignment="1">
      <alignment horizontal="left" vertical="center"/>
    </xf>
    <xf numFmtId="0" fontId="6" fillId="5" borderId="2" xfId="0" applyFont="1" applyFill="1" applyBorder="1" applyAlignment="1">
      <alignment horizontal="center" vertical="center"/>
    </xf>
    <xf numFmtId="3" fontId="6" fillId="5" borderId="2" xfId="0" applyNumberFormat="1" applyFont="1" applyFill="1" applyBorder="1" applyAlignment="1">
      <alignment horizontal="center" vertical="center"/>
    </xf>
    <xf numFmtId="3" fontId="5" fillId="5" borderId="11" xfId="0" applyNumberFormat="1" applyFont="1" applyFill="1" applyBorder="1" applyAlignment="1">
      <alignment horizontal="center" vertical="center"/>
    </xf>
    <xf numFmtId="3" fontId="6" fillId="5" borderId="3" xfId="0" applyNumberFormat="1" applyFont="1" applyFill="1" applyBorder="1" applyAlignment="1">
      <alignment horizontal="center" vertical="center"/>
    </xf>
    <xf numFmtId="0" fontId="5" fillId="5" borderId="6" xfId="0" applyFont="1" applyFill="1" applyBorder="1" applyAlignment="1">
      <alignment horizontal="left" vertical="top"/>
    </xf>
    <xf numFmtId="0" fontId="5" fillId="5" borderId="6" xfId="0" applyFont="1" applyFill="1" applyBorder="1" applyAlignment="1">
      <alignment horizontal="center"/>
    </xf>
    <xf numFmtId="0" fontId="5" fillId="5" borderId="6" xfId="0" applyFont="1" applyFill="1" applyBorder="1" applyAlignment="1">
      <alignment horizontal="left" vertical="center"/>
    </xf>
    <xf numFmtId="0" fontId="5" fillId="5" borderId="6" xfId="0" applyFont="1" applyFill="1" applyBorder="1" applyAlignment="1">
      <alignment horizontal="center" vertical="center"/>
    </xf>
    <xf numFmtId="3" fontId="5" fillId="5" borderId="6" xfId="0" applyNumberFormat="1" applyFont="1" applyFill="1" applyBorder="1" applyAlignment="1">
      <alignment horizontal="center" vertical="center"/>
    </xf>
    <xf numFmtId="3" fontId="5" fillId="5" borderId="7" xfId="0" applyNumberFormat="1" applyFont="1" applyFill="1" applyBorder="1" applyAlignment="1">
      <alignment horizontal="center" vertical="center"/>
    </xf>
    <xf numFmtId="0" fontId="6" fillId="6" borderId="9" xfId="0" applyFont="1" applyFill="1" applyBorder="1" applyAlignment="1">
      <alignment horizontal="left" vertical="top"/>
    </xf>
    <xf numFmtId="0" fontId="6" fillId="6" borderId="9" xfId="0" applyFont="1" applyFill="1" applyBorder="1" applyAlignment="1">
      <alignment horizontal="center"/>
    </xf>
    <xf numFmtId="0" fontId="6" fillId="6" borderId="9" xfId="0" applyFont="1" applyFill="1" applyBorder="1" applyAlignment="1">
      <alignment horizontal="left" vertical="center"/>
    </xf>
    <xf numFmtId="0" fontId="6" fillId="6" borderId="9" xfId="0" applyFont="1" applyFill="1" applyBorder="1" applyAlignment="1">
      <alignment horizontal="center" vertical="center"/>
    </xf>
    <xf numFmtId="3" fontId="6" fillId="6" borderId="9" xfId="0" applyNumberFormat="1" applyFont="1" applyFill="1" applyBorder="1" applyAlignment="1">
      <alignment horizontal="center" vertical="center"/>
    </xf>
    <xf numFmtId="0" fontId="6" fillId="6" borderId="2" xfId="0" applyFont="1" applyFill="1" applyBorder="1" applyAlignment="1">
      <alignment horizontal="left" vertical="top"/>
    </xf>
    <xf numFmtId="0" fontId="6" fillId="6" borderId="2" xfId="0" applyFont="1" applyFill="1" applyBorder="1" applyAlignment="1">
      <alignment horizontal="center"/>
    </xf>
    <xf numFmtId="0" fontId="6" fillId="6" borderId="2" xfId="0" applyFont="1" applyFill="1" applyBorder="1" applyAlignment="1">
      <alignment horizontal="left" vertical="center"/>
    </xf>
    <xf numFmtId="0" fontId="6" fillId="6" borderId="2" xfId="0" applyFont="1" applyFill="1" applyBorder="1" applyAlignment="1">
      <alignment horizontal="center" vertical="center"/>
    </xf>
    <xf numFmtId="3" fontId="6" fillId="6" borderId="2" xfId="0" applyNumberFormat="1" applyFont="1" applyFill="1" applyBorder="1" applyAlignment="1">
      <alignment horizontal="center" vertical="center"/>
    </xf>
    <xf numFmtId="3" fontId="6" fillId="6" borderId="3" xfId="0" applyNumberFormat="1" applyFont="1" applyFill="1" applyBorder="1" applyAlignment="1">
      <alignment horizontal="center" vertical="center"/>
    </xf>
    <xf numFmtId="0" fontId="5" fillId="6" borderId="6" xfId="0" applyFont="1" applyFill="1" applyBorder="1" applyAlignment="1">
      <alignment horizontal="left" vertical="top"/>
    </xf>
    <xf numFmtId="0" fontId="6" fillId="6" borderId="6" xfId="0" applyFont="1" applyFill="1" applyBorder="1" applyAlignment="1">
      <alignment horizontal="center"/>
    </xf>
    <xf numFmtId="0" fontId="6" fillId="6" borderId="6" xfId="0" applyFont="1" applyFill="1" applyBorder="1" applyAlignment="1">
      <alignment horizontal="left" vertical="center"/>
    </xf>
    <xf numFmtId="0" fontId="6" fillId="6" borderId="6" xfId="0" applyFont="1" applyFill="1" applyBorder="1" applyAlignment="1">
      <alignment horizontal="center" vertical="center"/>
    </xf>
    <xf numFmtId="3" fontId="5" fillId="6" borderId="6" xfId="0" applyNumberFormat="1" applyFont="1" applyFill="1" applyBorder="1" applyAlignment="1">
      <alignment horizontal="center" vertical="center"/>
    </xf>
    <xf numFmtId="3" fontId="5" fillId="6" borderId="7" xfId="0" applyNumberFormat="1" applyFont="1" applyFill="1" applyBorder="1" applyAlignment="1">
      <alignment horizontal="center" vertical="center"/>
    </xf>
    <xf numFmtId="0" fontId="6" fillId="7" borderId="9" xfId="0" applyFont="1" applyFill="1" applyBorder="1" applyAlignment="1">
      <alignment horizontal="left" vertical="top"/>
    </xf>
    <xf numFmtId="0" fontId="6" fillId="7" borderId="9" xfId="0" applyFont="1" applyFill="1" applyBorder="1" applyAlignment="1">
      <alignment horizontal="center"/>
    </xf>
    <xf numFmtId="0" fontId="6" fillId="7" borderId="9" xfId="0" applyFont="1" applyFill="1" applyBorder="1" applyAlignment="1">
      <alignment horizontal="left" vertical="center"/>
    </xf>
    <xf numFmtId="0" fontId="6" fillId="7" borderId="9" xfId="0" applyFont="1" applyFill="1" applyBorder="1" applyAlignment="1">
      <alignment horizontal="center" vertical="center"/>
    </xf>
    <xf numFmtId="3" fontId="6" fillId="7" borderId="9" xfId="0" applyNumberFormat="1" applyFont="1" applyFill="1" applyBorder="1" applyAlignment="1">
      <alignment horizontal="center" vertical="center"/>
    </xf>
    <xf numFmtId="0" fontId="6" fillId="7" borderId="2" xfId="0" applyFont="1" applyFill="1" applyBorder="1" applyAlignment="1">
      <alignment horizontal="left" vertical="top"/>
    </xf>
    <xf numFmtId="0" fontId="6" fillId="7" borderId="2" xfId="0" applyFont="1" applyFill="1" applyBorder="1" applyAlignment="1">
      <alignment horizontal="center"/>
    </xf>
    <xf numFmtId="0" fontId="6" fillId="7" borderId="2" xfId="0" applyFont="1" applyFill="1" applyBorder="1" applyAlignment="1">
      <alignment horizontal="left" vertical="center"/>
    </xf>
    <xf numFmtId="0" fontId="6" fillId="7" borderId="2" xfId="0" applyFont="1" applyFill="1" applyBorder="1" applyAlignment="1">
      <alignment horizontal="center" vertical="center"/>
    </xf>
    <xf numFmtId="3" fontId="6" fillId="7" borderId="2" xfId="0" applyNumberFormat="1" applyFont="1" applyFill="1" applyBorder="1" applyAlignment="1">
      <alignment horizontal="center" vertical="center"/>
    </xf>
    <xf numFmtId="3" fontId="6" fillId="7" borderId="3" xfId="0" applyNumberFormat="1" applyFont="1" applyFill="1" applyBorder="1" applyAlignment="1">
      <alignment horizontal="center" vertical="center"/>
    </xf>
    <xf numFmtId="0" fontId="5" fillId="7" borderId="6" xfId="0" applyFont="1" applyFill="1" applyBorder="1" applyAlignment="1">
      <alignment horizontal="left" vertical="top"/>
    </xf>
    <xf numFmtId="0" fontId="6" fillId="7" borderId="6" xfId="0" applyFont="1" applyFill="1" applyBorder="1" applyAlignment="1">
      <alignment horizontal="center"/>
    </xf>
    <xf numFmtId="0" fontId="6" fillId="7" borderId="6" xfId="0" applyFont="1" applyFill="1" applyBorder="1" applyAlignment="1">
      <alignment horizontal="left" vertical="center"/>
    </xf>
    <xf numFmtId="0" fontId="6" fillId="7" borderId="6" xfId="0" applyFont="1" applyFill="1" applyBorder="1" applyAlignment="1">
      <alignment horizontal="center" vertical="center"/>
    </xf>
    <xf numFmtId="3" fontId="5" fillId="7" borderId="6" xfId="0" applyNumberFormat="1" applyFont="1" applyFill="1" applyBorder="1" applyAlignment="1">
      <alignment horizontal="center" vertical="center"/>
    </xf>
    <xf numFmtId="3" fontId="5" fillId="7" borderId="7" xfId="0" applyNumberFormat="1" applyFont="1" applyFill="1" applyBorder="1" applyAlignment="1">
      <alignment horizontal="center" vertical="center"/>
    </xf>
    <xf numFmtId="0" fontId="6" fillId="2" borderId="9" xfId="0" applyFont="1" applyFill="1" applyBorder="1" applyAlignment="1">
      <alignment horizontal="left" vertical="top"/>
    </xf>
    <xf numFmtId="0" fontId="6" fillId="2" borderId="9" xfId="0" applyFont="1" applyFill="1" applyBorder="1" applyAlignment="1">
      <alignment horizontal="center"/>
    </xf>
    <xf numFmtId="0" fontId="6" fillId="2" borderId="9" xfId="0" applyFont="1" applyFill="1" applyBorder="1" applyAlignment="1">
      <alignment horizontal="left" vertical="center"/>
    </xf>
    <xf numFmtId="0" fontId="6" fillId="2" borderId="9" xfId="0" applyFont="1" applyFill="1" applyBorder="1" applyAlignment="1">
      <alignment horizontal="center" vertical="center"/>
    </xf>
    <xf numFmtId="3" fontId="6" fillId="2" borderId="9" xfId="0" applyNumberFormat="1" applyFont="1" applyFill="1" applyBorder="1" applyAlignment="1">
      <alignment horizontal="center" vertical="center"/>
    </xf>
    <xf numFmtId="0" fontId="6" fillId="2" borderId="2" xfId="0" applyFont="1" applyFill="1" applyBorder="1" applyAlignment="1">
      <alignment horizontal="left" vertical="top"/>
    </xf>
    <xf numFmtId="0" fontId="6" fillId="2" borderId="2" xfId="0" applyFont="1" applyFill="1" applyBorder="1" applyAlignment="1">
      <alignment horizont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3" fontId="6" fillId="2" borderId="3" xfId="0" applyNumberFormat="1" applyFont="1" applyFill="1" applyBorder="1" applyAlignment="1">
      <alignment horizontal="center" vertical="center"/>
    </xf>
    <xf numFmtId="0" fontId="5" fillId="2" borderId="6" xfId="0" applyFont="1" applyFill="1" applyBorder="1" applyAlignment="1">
      <alignment horizontal="left" vertical="top"/>
    </xf>
    <xf numFmtId="0" fontId="6" fillId="2" borderId="6" xfId="0" applyFont="1" applyFill="1" applyBorder="1" applyAlignment="1">
      <alignment horizontal="center"/>
    </xf>
    <xf numFmtId="0" fontId="6" fillId="2" borderId="6" xfId="0" applyFont="1" applyFill="1" applyBorder="1" applyAlignment="1">
      <alignment horizontal="left" vertical="center"/>
    </xf>
    <xf numFmtId="0" fontId="6" fillId="2" borderId="6" xfId="0" applyFont="1" applyFill="1" applyBorder="1" applyAlignment="1">
      <alignment horizontal="center" vertical="center"/>
    </xf>
    <xf numFmtId="3" fontId="5" fillId="2" borderId="6"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6" fillId="8" borderId="9" xfId="0" applyFont="1" applyFill="1" applyBorder="1" applyAlignment="1">
      <alignment horizontal="left" vertical="top"/>
    </xf>
    <xf numFmtId="0" fontId="6" fillId="8" borderId="9" xfId="0" applyFont="1" applyFill="1" applyBorder="1" applyAlignment="1">
      <alignment horizontal="center"/>
    </xf>
    <xf numFmtId="0" fontId="6" fillId="8" borderId="9" xfId="0" applyFont="1" applyFill="1" applyBorder="1" applyAlignment="1">
      <alignment horizontal="left" vertical="center"/>
    </xf>
    <xf numFmtId="0" fontId="6" fillId="8" borderId="9" xfId="0" applyFont="1" applyFill="1" applyBorder="1" applyAlignment="1">
      <alignment horizontal="center" vertical="center"/>
    </xf>
    <xf numFmtId="3" fontId="6" fillId="8" borderId="9" xfId="0" applyNumberFormat="1" applyFont="1" applyFill="1" applyBorder="1" applyAlignment="1">
      <alignment horizontal="center" vertical="center"/>
    </xf>
    <xf numFmtId="0" fontId="6" fillId="8" borderId="2" xfId="0" applyFont="1" applyFill="1" applyBorder="1" applyAlignment="1">
      <alignment horizontal="left" vertical="top"/>
    </xf>
    <xf numFmtId="0" fontId="6" fillId="8" borderId="2" xfId="0" applyFont="1" applyFill="1" applyBorder="1" applyAlignment="1">
      <alignment horizontal="center"/>
    </xf>
    <xf numFmtId="0" fontId="6" fillId="8" borderId="2" xfId="0" applyFont="1" applyFill="1" applyBorder="1" applyAlignment="1">
      <alignment horizontal="left" vertical="center"/>
    </xf>
    <xf numFmtId="0" fontId="6" fillId="8" borderId="2" xfId="0" applyFont="1" applyFill="1" applyBorder="1" applyAlignment="1">
      <alignment horizontal="center" vertical="center"/>
    </xf>
    <xf numFmtId="3" fontId="6" fillId="8" borderId="2" xfId="0" applyNumberFormat="1" applyFont="1" applyFill="1" applyBorder="1" applyAlignment="1">
      <alignment horizontal="center" vertical="center"/>
    </xf>
    <xf numFmtId="3" fontId="6" fillId="8" borderId="3" xfId="0" applyNumberFormat="1" applyFont="1" applyFill="1" applyBorder="1" applyAlignment="1">
      <alignment horizontal="center" vertical="center"/>
    </xf>
    <xf numFmtId="0" fontId="6" fillId="8" borderId="19" xfId="0" applyFont="1" applyFill="1" applyBorder="1" applyAlignment="1">
      <alignment horizontal="left" vertical="top" wrapText="1"/>
    </xf>
    <xf numFmtId="0" fontId="6" fillId="8" borderId="19" xfId="0" applyFont="1" applyFill="1" applyBorder="1" applyAlignment="1">
      <alignment horizontal="center"/>
    </xf>
    <xf numFmtId="0" fontId="6" fillId="8" borderId="19" xfId="0" applyFont="1" applyFill="1" applyBorder="1" applyAlignment="1">
      <alignment horizontal="left" vertical="center"/>
    </xf>
    <xf numFmtId="0" fontId="6" fillId="8" borderId="19" xfId="0" applyFont="1" applyFill="1" applyBorder="1" applyAlignment="1">
      <alignment horizontal="center" vertical="center"/>
    </xf>
    <xf numFmtId="3" fontId="6" fillId="8" borderId="19" xfId="0" applyNumberFormat="1" applyFont="1" applyFill="1" applyBorder="1" applyAlignment="1">
      <alignment horizontal="center" vertical="center"/>
    </xf>
    <xf numFmtId="0" fontId="5" fillId="8" borderId="6" xfId="0" applyFont="1" applyFill="1" applyBorder="1" applyAlignment="1">
      <alignment horizontal="left" vertical="top"/>
    </xf>
    <xf numFmtId="0" fontId="6" fillId="8" borderId="6" xfId="0" applyFont="1" applyFill="1" applyBorder="1" applyAlignment="1">
      <alignment horizontal="center"/>
    </xf>
    <xf numFmtId="0" fontId="6" fillId="8" borderId="6" xfId="0" applyFont="1" applyFill="1" applyBorder="1" applyAlignment="1">
      <alignment horizontal="left" vertical="center"/>
    </xf>
    <xf numFmtId="0" fontId="6" fillId="8" borderId="6" xfId="0" applyFont="1" applyFill="1" applyBorder="1" applyAlignment="1">
      <alignment horizontal="center" vertical="center"/>
    </xf>
    <xf numFmtId="3" fontId="5" fillId="8" borderId="6" xfId="0" applyNumberFormat="1" applyFont="1" applyFill="1" applyBorder="1" applyAlignment="1">
      <alignment horizontal="center" vertical="center"/>
    </xf>
    <xf numFmtId="3" fontId="5" fillId="8" borderId="7" xfId="0" applyNumberFormat="1" applyFont="1" applyFill="1" applyBorder="1" applyAlignment="1">
      <alignment horizontal="center" vertical="center"/>
    </xf>
    <xf numFmtId="0" fontId="6" fillId="9" borderId="9" xfId="0" applyFont="1" applyFill="1" applyBorder="1" applyAlignment="1">
      <alignment horizontal="left" vertical="top"/>
    </xf>
    <xf numFmtId="0" fontId="6" fillId="9" borderId="9" xfId="0" applyFont="1" applyFill="1" applyBorder="1" applyAlignment="1">
      <alignment horizontal="center"/>
    </xf>
    <xf numFmtId="0" fontId="6" fillId="9" borderId="9" xfId="0" applyFont="1" applyFill="1" applyBorder="1" applyAlignment="1">
      <alignment horizontal="left" vertical="center"/>
    </xf>
    <xf numFmtId="0" fontId="6" fillId="9" borderId="9" xfId="0" applyFont="1" applyFill="1" applyBorder="1" applyAlignment="1">
      <alignment horizontal="center" vertical="center"/>
    </xf>
    <xf numFmtId="3" fontId="6" fillId="9" borderId="9" xfId="0" applyNumberFormat="1" applyFont="1" applyFill="1" applyBorder="1" applyAlignment="1">
      <alignment horizontal="center" vertical="center"/>
    </xf>
    <xf numFmtId="0" fontId="6" fillId="9" borderId="13" xfId="0" applyFont="1" applyFill="1" applyBorder="1" applyAlignment="1">
      <alignment horizontal="left" vertical="top"/>
    </xf>
    <xf numFmtId="0" fontId="6" fillId="9" borderId="13" xfId="0" applyFont="1" applyFill="1" applyBorder="1" applyAlignment="1">
      <alignment horizontal="center"/>
    </xf>
    <xf numFmtId="0" fontId="6" fillId="9" borderId="13" xfId="0" applyFont="1" applyFill="1" applyBorder="1" applyAlignment="1">
      <alignment horizontal="left" vertical="center"/>
    </xf>
    <xf numFmtId="0" fontId="6" fillId="9" borderId="13" xfId="0" applyFont="1" applyFill="1" applyBorder="1" applyAlignment="1">
      <alignment horizontal="center" vertical="center"/>
    </xf>
    <xf numFmtId="3" fontId="6" fillId="9" borderId="13" xfId="0" applyNumberFormat="1" applyFont="1" applyFill="1" applyBorder="1" applyAlignment="1">
      <alignment horizontal="center" vertical="center"/>
    </xf>
    <xf numFmtId="3" fontId="6" fillId="9" borderId="16" xfId="0" applyNumberFormat="1" applyFont="1" applyFill="1" applyBorder="1" applyAlignment="1">
      <alignment horizontal="center" vertical="center"/>
    </xf>
    <xf numFmtId="0" fontId="6" fillId="9" borderId="2" xfId="0" applyFont="1" applyFill="1" applyBorder="1" applyAlignment="1">
      <alignment horizontal="left" vertical="top"/>
    </xf>
    <xf numFmtId="0" fontId="6" fillId="9" borderId="2" xfId="0" applyFont="1" applyFill="1" applyBorder="1" applyAlignment="1">
      <alignment horizontal="center"/>
    </xf>
    <xf numFmtId="0" fontId="6" fillId="9" borderId="2" xfId="0" applyFont="1" applyFill="1" applyBorder="1" applyAlignment="1">
      <alignment horizontal="left" vertical="center"/>
    </xf>
    <xf numFmtId="0" fontId="6" fillId="9" borderId="2" xfId="0" applyFont="1" applyFill="1" applyBorder="1" applyAlignment="1">
      <alignment horizontal="center" vertical="center"/>
    </xf>
    <xf numFmtId="3" fontId="6" fillId="9" borderId="2" xfId="0" applyNumberFormat="1" applyFont="1" applyFill="1" applyBorder="1" applyAlignment="1">
      <alignment horizontal="center" vertical="center"/>
    </xf>
    <xf numFmtId="3" fontId="6" fillId="9" borderId="3" xfId="0" applyNumberFormat="1" applyFont="1" applyFill="1" applyBorder="1" applyAlignment="1">
      <alignment horizontal="center" vertical="center"/>
    </xf>
    <xf numFmtId="0" fontId="5" fillId="9" borderId="6" xfId="0" applyFont="1" applyFill="1" applyBorder="1" applyAlignment="1">
      <alignment horizontal="left" vertical="top"/>
    </xf>
    <xf numFmtId="0" fontId="6" fillId="9" borderId="6" xfId="0" applyFont="1" applyFill="1" applyBorder="1" applyAlignment="1">
      <alignment horizontal="center"/>
    </xf>
    <xf numFmtId="0" fontId="6" fillId="9" borderId="6" xfId="0" applyFont="1" applyFill="1" applyBorder="1" applyAlignment="1">
      <alignment horizontal="left" vertical="center"/>
    </xf>
    <xf numFmtId="0" fontId="6" fillId="9" borderId="6" xfId="0" applyFont="1" applyFill="1" applyBorder="1" applyAlignment="1">
      <alignment horizontal="center" vertical="center"/>
    </xf>
    <xf numFmtId="3" fontId="5" fillId="9" borderId="6" xfId="0" applyNumberFormat="1" applyFont="1" applyFill="1" applyBorder="1" applyAlignment="1">
      <alignment horizontal="center" vertical="center"/>
    </xf>
    <xf numFmtId="3" fontId="5" fillId="9" borderId="7" xfId="0" applyNumberFormat="1" applyFont="1" applyFill="1" applyBorder="1" applyAlignment="1">
      <alignment horizontal="center" vertical="center"/>
    </xf>
    <xf numFmtId="0" fontId="6" fillId="10" borderId="9" xfId="0" applyFont="1" applyFill="1" applyBorder="1" applyAlignment="1">
      <alignment horizontal="left" vertical="top"/>
    </xf>
    <xf numFmtId="0" fontId="6" fillId="10" borderId="9" xfId="0" applyFont="1" applyFill="1" applyBorder="1" applyAlignment="1">
      <alignment horizontal="center"/>
    </xf>
    <xf numFmtId="0" fontId="6" fillId="10" borderId="9" xfId="0" applyFont="1" applyFill="1" applyBorder="1" applyAlignment="1">
      <alignment horizontal="left" vertical="center"/>
    </xf>
    <xf numFmtId="0" fontId="6" fillId="10" borderId="9" xfId="0" applyFont="1" applyFill="1" applyBorder="1" applyAlignment="1">
      <alignment horizontal="center" vertical="center"/>
    </xf>
    <xf numFmtId="3" fontId="5" fillId="10" borderId="9" xfId="0" applyNumberFormat="1" applyFont="1" applyFill="1" applyBorder="1" applyAlignment="1">
      <alignment horizontal="center" vertical="center"/>
    </xf>
    <xf numFmtId="0" fontId="6" fillId="10" borderId="2" xfId="0" applyFont="1" applyFill="1" applyBorder="1" applyAlignment="1">
      <alignment horizontal="left" vertical="top"/>
    </xf>
    <xf numFmtId="0" fontId="6" fillId="10" borderId="2" xfId="0" applyFont="1" applyFill="1" applyBorder="1" applyAlignment="1">
      <alignment horizontal="center"/>
    </xf>
    <xf numFmtId="0" fontId="6" fillId="10" borderId="2" xfId="0" applyFont="1" applyFill="1" applyBorder="1" applyAlignment="1">
      <alignment horizontal="left" vertical="center"/>
    </xf>
    <xf numFmtId="0" fontId="6" fillId="10" borderId="2" xfId="0" applyFont="1" applyFill="1" applyBorder="1" applyAlignment="1">
      <alignment horizontal="center" vertical="center"/>
    </xf>
    <xf numFmtId="3" fontId="5" fillId="10" borderId="2" xfId="0" applyNumberFormat="1" applyFont="1" applyFill="1" applyBorder="1" applyAlignment="1">
      <alignment horizontal="center" vertical="center"/>
    </xf>
    <xf numFmtId="3" fontId="5" fillId="10" borderId="3" xfId="0" applyNumberFormat="1" applyFont="1" applyFill="1" applyBorder="1" applyAlignment="1">
      <alignment horizontal="center" vertical="center"/>
    </xf>
    <xf numFmtId="0" fontId="6" fillId="10" borderId="2" xfId="0" applyFont="1" applyFill="1" applyBorder="1" applyAlignment="1">
      <alignment horizontal="left" vertical="top" wrapText="1"/>
    </xf>
    <xf numFmtId="0" fontId="6" fillId="10" borderId="6" xfId="0" applyFont="1" applyFill="1" applyBorder="1" applyAlignment="1">
      <alignment horizontal="left" vertical="top"/>
    </xf>
    <xf numFmtId="0" fontId="6" fillId="10" borderId="6" xfId="0" applyFont="1" applyFill="1" applyBorder="1" applyAlignment="1">
      <alignment horizontal="center"/>
    </xf>
    <xf numFmtId="0" fontId="6" fillId="10" borderId="6" xfId="0" applyFont="1" applyFill="1" applyBorder="1" applyAlignment="1">
      <alignment horizontal="left" vertical="center"/>
    </xf>
    <xf numFmtId="0" fontId="6" fillId="10" borderId="6" xfId="0" applyFont="1" applyFill="1" applyBorder="1" applyAlignment="1">
      <alignment horizontal="center" vertical="center"/>
    </xf>
    <xf numFmtId="3" fontId="5" fillId="10" borderId="6" xfId="0" applyNumberFormat="1" applyFont="1" applyFill="1" applyBorder="1" applyAlignment="1">
      <alignment horizontal="center" vertical="center"/>
    </xf>
    <xf numFmtId="3" fontId="5" fillId="10" borderId="7" xfId="0" applyNumberFormat="1" applyFont="1" applyFill="1" applyBorder="1" applyAlignment="1">
      <alignment horizontal="center" vertical="center"/>
    </xf>
    <xf numFmtId="0" fontId="5" fillId="3" borderId="13" xfId="0" applyFont="1" applyFill="1" applyBorder="1" applyAlignment="1">
      <alignment horizontal="center" vertical="center" wrapText="1"/>
    </xf>
    <xf numFmtId="3" fontId="5" fillId="3" borderId="13" xfId="0" applyNumberFormat="1" applyFont="1" applyFill="1" applyBorder="1" applyAlignment="1">
      <alignment horizontal="center" vertical="center"/>
    </xf>
    <xf numFmtId="1" fontId="6" fillId="2" borderId="19" xfId="0" applyNumberFormat="1" applyFont="1" applyFill="1" applyBorder="1" applyAlignment="1">
      <alignment horizontal="center" vertical="top" wrapText="1"/>
    </xf>
    <xf numFmtId="3" fontId="5" fillId="3" borderId="5" xfId="0" applyNumberFormat="1" applyFont="1" applyFill="1" applyBorder="1" applyAlignment="1">
      <alignment vertical="center" wrapText="1"/>
    </xf>
    <xf numFmtId="3" fontId="5" fillId="3" borderId="20" xfId="0" applyNumberFormat="1" applyFont="1" applyFill="1" applyBorder="1" applyAlignment="1">
      <alignment vertical="center" wrapText="1"/>
    </xf>
    <xf numFmtId="3" fontId="5" fillId="3" borderId="21" xfId="0" applyNumberFormat="1" applyFont="1" applyFill="1" applyBorder="1" applyAlignment="1">
      <alignment vertical="center" wrapText="1"/>
    </xf>
    <xf numFmtId="0" fontId="5" fillId="3" borderId="5"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1" fontId="5" fillId="3" borderId="5" xfId="0" applyNumberFormat="1" applyFont="1" applyFill="1" applyBorder="1" applyAlignment="1">
      <alignment vertical="top" wrapText="1"/>
    </xf>
    <xf numFmtId="1" fontId="5" fillId="3" borderId="20" xfId="0" applyNumberFormat="1" applyFont="1" applyFill="1" applyBorder="1" applyAlignment="1">
      <alignment vertical="top" wrapText="1"/>
    </xf>
    <xf numFmtId="1" fontId="5" fillId="3" borderId="21" xfId="0" applyNumberFormat="1" applyFont="1" applyFill="1" applyBorder="1" applyAlignment="1">
      <alignment vertical="top" wrapText="1"/>
    </xf>
    <xf numFmtId="0" fontId="7" fillId="2" borderId="0" xfId="0" applyFont="1" applyFill="1" applyBorder="1" applyAlignment="1"/>
    <xf numFmtId="3" fontId="5" fillId="3" borderId="5" xfId="0" applyNumberFormat="1" applyFont="1" applyFill="1" applyBorder="1" applyAlignment="1">
      <alignment vertical="top" wrapText="1"/>
    </xf>
    <xf numFmtId="3" fontId="5" fillId="3" borderId="20" xfId="0" applyNumberFormat="1" applyFont="1" applyFill="1" applyBorder="1" applyAlignment="1">
      <alignment vertical="top" wrapText="1"/>
    </xf>
    <xf numFmtId="3" fontId="5" fillId="3" borderId="21" xfId="0" applyNumberFormat="1" applyFont="1" applyFill="1" applyBorder="1" applyAlignment="1">
      <alignment vertical="top" wrapText="1"/>
    </xf>
    <xf numFmtId="0" fontId="6" fillId="2" borderId="5" xfId="0" applyFont="1" applyFill="1" applyBorder="1" applyAlignment="1">
      <alignment horizontal="left" vertical="center" wrapText="1"/>
    </xf>
    <xf numFmtId="0" fontId="6" fillId="2" borderId="5" xfId="0" applyFont="1" applyFill="1" applyBorder="1" applyAlignment="1">
      <alignment horizontal="justify" vertical="center" wrapText="1"/>
    </xf>
    <xf numFmtId="0" fontId="6" fillId="2" borderId="5" xfId="0" applyFont="1" applyFill="1" applyBorder="1" applyAlignment="1">
      <alignment vertical="center" wrapText="1"/>
    </xf>
    <xf numFmtId="0" fontId="12" fillId="2" borderId="5" xfId="0" applyFont="1" applyFill="1" applyBorder="1" applyAlignment="1">
      <alignment horizontal="justify" vertical="center" wrapText="1"/>
    </xf>
    <xf numFmtId="1" fontId="6" fillId="2" borderId="5" xfId="0" applyNumberFormat="1" applyFont="1" applyFill="1" applyBorder="1" applyAlignment="1">
      <alignment horizontal="justify" vertical="center" wrapText="1"/>
    </xf>
    <xf numFmtId="1" fontId="6" fillId="2" borderId="5" xfId="0" applyNumberFormat="1" applyFont="1" applyFill="1" applyBorder="1" applyAlignment="1">
      <alignment horizontal="left" vertical="center" wrapText="1"/>
    </xf>
    <xf numFmtId="1" fontId="6" fillId="0" borderId="5" xfId="0" applyNumberFormat="1" applyFont="1" applyFill="1" applyBorder="1" applyAlignment="1">
      <alignment horizontal="justify" vertical="center" wrapText="1"/>
    </xf>
    <xf numFmtId="1" fontId="12" fillId="2" borderId="5" xfId="0" applyNumberFormat="1" applyFont="1" applyFill="1" applyBorder="1" applyAlignment="1">
      <alignment horizontal="justify" vertical="center" wrapText="1"/>
    </xf>
    <xf numFmtId="0" fontId="6" fillId="0" borderId="2" xfId="0" applyFont="1" applyBorder="1" applyAlignment="1">
      <alignment horizontal="center" vertical="center"/>
    </xf>
    <xf numFmtId="0" fontId="0" fillId="0" borderId="0" xfId="0" applyAlignment="1">
      <alignment vertical="center"/>
    </xf>
    <xf numFmtId="0" fontId="20" fillId="4" borderId="2" xfId="0" applyFont="1" applyFill="1" applyBorder="1" applyAlignment="1">
      <alignment vertical="center" wrapText="1"/>
    </xf>
    <xf numFmtId="0" fontId="20"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2" borderId="19" xfId="0" applyFont="1" applyFill="1" applyBorder="1" applyAlignment="1">
      <alignment horizontal="left" vertical="top" wrapText="1"/>
    </xf>
    <xf numFmtId="10" fontId="6" fillId="0" borderId="2" xfId="0" applyNumberFormat="1" applyFont="1" applyBorder="1" applyAlignment="1">
      <alignment vertical="center"/>
    </xf>
    <xf numFmtId="0" fontId="8" fillId="2" borderId="0" xfId="0" applyFont="1" applyFill="1" applyBorder="1" applyAlignment="1">
      <alignment vertical="center" wrapText="1"/>
    </xf>
    <xf numFmtId="3" fontId="8" fillId="2" borderId="0" xfId="0" applyNumberFormat="1" applyFont="1" applyFill="1" applyBorder="1" applyAlignment="1">
      <alignment horizontal="center" vertical="center"/>
    </xf>
    <xf numFmtId="9" fontId="8" fillId="2" borderId="0" xfId="0" applyNumberFormat="1" applyFont="1" applyFill="1" applyBorder="1" applyAlignment="1">
      <alignment horizontal="center" vertical="center"/>
    </xf>
    <xf numFmtId="3" fontId="6" fillId="0" borderId="2" xfId="0" applyNumberFormat="1" applyFont="1" applyBorder="1" applyAlignment="1">
      <alignment vertical="center"/>
    </xf>
    <xf numFmtId="3" fontId="0" fillId="0" borderId="0" xfId="0" applyNumberFormat="1"/>
    <xf numFmtId="3" fontId="6" fillId="2" borderId="2" xfId="0" applyNumberFormat="1" applyFont="1" applyFill="1" applyBorder="1" applyAlignment="1">
      <alignment vertical="center"/>
    </xf>
    <xf numFmtId="3" fontId="11" fillId="2" borderId="2" xfId="0" applyNumberFormat="1" applyFont="1" applyFill="1" applyBorder="1" applyAlignment="1">
      <alignment vertical="center"/>
    </xf>
    <xf numFmtId="0" fontId="6" fillId="2" borderId="19" xfId="0" applyFont="1" applyFill="1" applyBorder="1" applyAlignment="1">
      <alignment horizontal="left" vertical="center" wrapText="1"/>
    </xf>
    <xf numFmtId="0" fontId="6" fillId="2" borderId="22" xfId="0" applyFont="1" applyFill="1" applyBorder="1" applyAlignment="1">
      <alignment horizontal="left" vertical="center" wrapText="1"/>
    </xf>
    <xf numFmtId="3" fontId="6" fillId="2" borderId="19" xfId="0" applyNumberFormat="1" applyFont="1" applyFill="1" applyBorder="1" applyAlignment="1">
      <alignment vertical="center"/>
    </xf>
    <xf numFmtId="0" fontId="6" fillId="0" borderId="13" xfId="0" applyFont="1" applyBorder="1" applyAlignment="1">
      <alignment vertical="top" wrapText="1"/>
    </xf>
    <xf numFmtId="0" fontId="6" fillId="2" borderId="17" xfId="0" applyFont="1" applyFill="1" applyBorder="1" applyAlignment="1">
      <alignment horizontal="justify" vertical="center" wrapText="1"/>
    </xf>
    <xf numFmtId="3" fontId="6" fillId="2" borderId="13" xfId="0" applyNumberFormat="1" applyFont="1" applyFill="1" applyBorder="1" applyAlignment="1">
      <alignment vertical="center"/>
    </xf>
    <xf numFmtId="3" fontId="6" fillId="2" borderId="13"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20" fillId="2" borderId="0" xfId="0" applyFont="1" applyFill="1" applyBorder="1" applyAlignment="1">
      <alignment vertical="center" wrapText="1"/>
    </xf>
    <xf numFmtId="0" fontId="20"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9" fontId="5" fillId="2" borderId="0" xfId="3" applyFont="1" applyFill="1" applyBorder="1" applyAlignment="1">
      <alignment vertical="center"/>
    </xf>
    <xf numFmtId="0" fontId="6" fillId="2" borderId="23" xfId="0" applyFont="1" applyFill="1" applyBorder="1" applyAlignment="1">
      <alignment vertical="center" wrapText="1"/>
    </xf>
    <xf numFmtId="0" fontId="6" fillId="2" borderId="24" xfId="0" applyFont="1" applyFill="1" applyBorder="1" applyAlignment="1">
      <alignment vertical="center" wrapText="1"/>
    </xf>
    <xf numFmtId="0" fontId="6" fillId="2" borderId="0" xfId="0" applyFont="1" applyFill="1" applyBorder="1" applyAlignment="1">
      <alignment vertical="center" wrapText="1"/>
    </xf>
    <xf numFmtId="9" fontId="6" fillId="2" borderId="2" xfId="0" applyNumberFormat="1" applyFont="1" applyFill="1" applyBorder="1" applyAlignment="1">
      <alignment horizontal="center" vertical="center"/>
    </xf>
    <xf numFmtId="0" fontId="5" fillId="2" borderId="0" xfId="0" applyFont="1" applyFill="1" applyBorder="1" applyAlignment="1"/>
    <xf numFmtId="10" fontId="5" fillId="4" borderId="2" xfId="3" applyNumberFormat="1" applyFont="1" applyFill="1" applyBorder="1" applyAlignment="1">
      <alignment vertical="center"/>
    </xf>
    <xf numFmtId="10" fontId="6" fillId="0" borderId="19" xfId="0" applyNumberFormat="1" applyFont="1" applyBorder="1" applyAlignment="1">
      <alignment vertical="center"/>
    </xf>
    <xf numFmtId="10" fontId="6" fillId="0" borderId="13" xfId="0" applyNumberFormat="1" applyFont="1" applyBorder="1" applyAlignment="1">
      <alignment vertical="center"/>
    </xf>
    <xf numFmtId="3" fontId="6" fillId="2" borderId="2" xfId="0" applyNumberFormat="1" applyFont="1" applyFill="1" applyBorder="1" applyAlignment="1">
      <alignment horizontal="right" vertical="center"/>
    </xf>
    <xf numFmtId="10" fontId="6" fillId="2" borderId="7" xfId="0" applyNumberFormat="1" applyFont="1" applyFill="1" applyBorder="1" applyAlignment="1">
      <alignment horizontal="right" vertical="center"/>
    </xf>
    <xf numFmtId="0" fontId="5"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6" fillId="0" borderId="2" xfId="0" applyNumberFormat="1" applyFont="1" applyFill="1" applyBorder="1"/>
    <xf numFmtId="3" fontId="6" fillId="0" borderId="2" xfId="0" applyNumberFormat="1" applyFont="1" applyFill="1" applyBorder="1" applyAlignment="1">
      <alignment horizontal="right" vertical="center"/>
    </xf>
    <xf numFmtId="3" fontId="1" fillId="0" borderId="0" xfId="0" applyNumberFormat="1" applyFont="1"/>
    <xf numFmtId="3" fontId="5" fillId="4" borderId="2" xfId="0" applyNumberFormat="1" applyFont="1" applyFill="1" applyBorder="1" applyAlignment="1">
      <alignment horizontal="center"/>
    </xf>
    <xf numFmtId="3" fontId="23" fillId="2" borderId="0" xfId="0" applyNumberFormat="1" applyFont="1" applyFill="1" applyBorder="1"/>
    <xf numFmtId="43" fontId="0" fillId="0" borderId="0" xfId="0" applyNumberFormat="1" applyAlignment="1">
      <alignment vertical="center"/>
    </xf>
    <xf numFmtId="166" fontId="1" fillId="0" borderId="0" xfId="1" applyNumberFormat="1" applyFont="1"/>
    <xf numFmtId="43" fontId="0" fillId="0" borderId="0" xfId="0" applyNumberFormat="1"/>
    <xf numFmtId="3" fontId="6" fillId="0" borderId="9" xfId="0" applyNumberFormat="1" applyFont="1" applyFill="1" applyBorder="1" applyAlignment="1">
      <alignment horizontal="right" vertical="center"/>
    </xf>
    <xf numFmtId="3" fontId="6" fillId="0" borderId="2" xfId="0" applyNumberFormat="1" applyFont="1" applyFill="1" applyBorder="1" applyAlignment="1">
      <alignment horizontal="right"/>
    </xf>
    <xf numFmtId="3" fontId="6" fillId="0" borderId="2" xfId="0" applyNumberFormat="1" applyFont="1" applyFill="1" applyBorder="1" applyAlignment="1">
      <alignment vertical="center"/>
    </xf>
    <xf numFmtId="3" fontId="6" fillId="0" borderId="9" xfId="0" applyNumberFormat="1" applyFont="1" applyFill="1" applyBorder="1" applyAlignment="1">
      <alignment horizontal="right" vertical="center" wrapText="1"/>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6" fillId="0" borderId="2" xfId="0" applyFont="1" applyFill="1" applyBorder="1" applyAlignment="1"/>
    <xf numFmtId="0" fontId="5" fillId="0" borderId="0" xfId="0" applyFont="1" applyFill="1" applyBorder="1" applyAlignment="1"/>
    <xf numFmtId="3" fontId="6" fillId="0" borderId="13" xfId="0" applyNumberFormat="1" applyFont="1" applyFill="1" applyBorder="1" applyAlignment="1">
      <alignment horizontal="right"/>
    </xf>
    <xf numFmtId="3" fontId="5" fillId="2" borderId="0" xfId="0" applyNumberFormat="1" applyFont="1" applyFill="1" applyBorder="1" applyAlignment="1">
      <alignment vertical="center" wrapText="1"/>
    </xf>
    <xf numFmtId="0" fontId="8" fillId="2" borderId="0" xfId="0" applyFont="1" applyFill="1" applyBorder="1" applyAlignment="1">
      <alignment horizontal="center" vertical="center" wrapText="1"/>
    </xf>
    <xf numFmtId="10" fontId="6" fillId="2" borderId="0" xfId="0" applyNumberFormat="1" applyFont="1" applyFill="1" applyBorder="1" applyAlignment="1">
      <alignment horizontal="right" vertical="center"/>
    </xf>
    <xf numFmtId="9" fontId="6" fillId="2" borderId="0" xfId="0" applyNumberFormat="1" applyFont="1" applyFill="1" applyBorder="1" applyAlignment="1">
      <alignment horizontal="center" vertical="center"/>
    </xf>
    <xf numFmtId="0" fontId="7" fillId="3" borderId="0" xfId="0" applyFont="1" applyFill="1" applyBorder="1" applyAlignment="1">
      <alignment vertical="top"/>
    </xf>
    <xf numFmtId="10" fontId="6" fillId="0" borderId="2" xfId="0" applyNumberFormat="1" applyFont="1" applyBorder="1" applyAlignment="1">
      <alignment vertical="center" wrapText="1"/>
    </xf>
    <xf numFmtId="10" fontId="6" fillId="4" borderId="2" xfId="0" applyNumberFormat="1" applyFont="1" applyFill="1" applyBorder="1" applyAlignment="1">
      <alignment vertical="center" wrapText="1"/>
    </xf>
    <xf numFmtId="10" fontId="5" fillId="4" borderId="2" xfId="3" applyNumberFormat="1" applyFont="1" applyFill="1" applyBorder="1" applyAlignment="1">
      <alignment vertical="center" wrapText="1"/>
    </xf>
    <xf numFmtId="0" fontId="6" fillId="0" borderId="5" xfId="0" applyFont="1" applyFill="1" applyBorder="1" applyAlignment="1">
      <alignment horizontal="justify" vertical="center" wrapText="1"/>
    </xf>
    <xf numFmtId="0" fontId="6" fillId="11" borderId="6"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24" fillId="0" borderId="0" xfId="0" applyFont="1"/>
    <xf numFmtId="0" fontId="1" fillId="0" borderId="2" xfId="0" applyFont="1" applyFill="1" applyBorder="1" applyAlignment="1">
      <alignment wrapText="1"/>
    </xf>
    <xf numFmtId="3" fontId="6" fillId="0" borderId="2" xfId="0" applyNumberFormat="1" applyFont="1" applyBorder="1"/>
    <xf numFmtId="10" fontId="6" fillId="0" borderId="5" xfId="0" applyNumberFormat="1" applyFont="1" applyBorder="1" applyAlignment="1">
      <alignment vertical="center"/>
    </xf>
    <xf numFmtId="0" fontId="6" fillId="0" borderId="2" xfId="0" applyFont="1" applyFill="1" applyBorder="1" applyAlignment="1">
      <alignment wrapText="1"/>
    </xf>
    <xf numFmtId="3" fontId="6" fillId="0" borderId="19" xfId="0" applyNumberFormat="1" applyFont="1" applyFill="1" applyBorder="1" applyAlignment="1">
      <alignment vertical="center"/>
    </xf>
    <xf numFmtId="0" fontId="6" fillId="0" borderId="2" xfId="0" applyFont="1" applyBorder="1" applyAlignment="1">
      <alignment horizontal="center" vertical="center" wrapText="1"/>
    </xf>
    <xf numFmtId="10" fontId="6" fillId="0" borderId="17" xfId="0" applyNumberFormat="1" applyFont="1" applyBorder="1" applyAlignment="1">
      <alignment horizontal="center" vertical="center"/>
    </xf>
    <xf numFmtId="10" fontId="6" fillId="0" borderId="3" xfId="0" applyNumberFormat="1" applyFont="1" applyFill="1" applyBorder="1" applyAlignment="1">
      <alignment horizontal="center"/>
    </xf>
    <xf numFmtId="0" fontId="7" fillId="13" borderId="0" xfId="0" applyFont="1" applyFill="1" applyBorder="1" applyAlignment="1"/>
    <xf numFmtId="10" fontId="6" fillId="0" borderId="2" xfId="0" applyNumberFormat="1" applyFont="1" applyFill="1" applyBorder="1" applyAlignment="1">
      <alignment vertical="center" wrapText="1"/>
    </xf>
    <xf numFmtId="3" fontId="6" fillId="14" borderId="2" xfId="0" applyNumberFormat="1" applyFont="1" applyFill="1" applyBorder="1" applyAlignment="1">
      <alignment vertical="center"/>
    </xf>
    <xf numFmtId="0" fontId="25" fillId="0" borderId="0" xfId="0" applyFont="1"/>
    <xf numFmtId="3" fontId="6" fillId="14" borderId="2" xfId="0" applyNumberFormat="1" applyFont="1" applyFill="1" applyBorder="1" applyAlignment="1">
      <alignment horizontal="right" vertical="center"/>
    </xf>
    <xf numFmtId="3" fontId="6" fillId="14" borderId="2" xfId="0" applyNumberFormat="1" applyFont="1" applyFill="1" applyBorder="1"/>
    <xf numFmtId="3" fontId="6" fillId="18" borderId="2" xfId="0" applyNumberFormat="1" applyFont="1" applyFill="1" applyBorder="1"/>
    <xf numFmtId="10" fontId="6" fillId="18" borderId="5" xfId="0" applyNumberFormat="1" applyFont="1" applyFill="1" applyBorder="1" applyAlignment="1">
      <alignment vertical="center"/>
    </xf>
    <xf numFmtId="10" fontId="6" fillId="18" borderId="17" xfId="0" applyNumberFormat="1" applyFont="1" applyFill="1" applyBorder="1" applyAlignment="1">
      <alignment horizontal="center" vertical="center"/>
    </xf>
    <xf numFmtId="10" fontId="6" fillId="18" borderId="3" xfId="0" applyNumberFormat="1" applyFont="1" applyFill="1" applyBorder="1" applyAlignment="1">
      <alignment horizontal="center"/>
    </xf>
    <xf numFmtId="3" fontId="6" fillId="18" borderId="19" xfId="0" applyNumberFormat="1" applyFont="1" applyFill="1" applyBorder="1"/>
    <xf numFmtId="10" fontId="6" fillId="18" borderId="22" xfId="0" applyNumberFormat="1" applyFont="1" applyFill="1" applyBorder="1" applyAlignment="1">
      <alignment vertical="center"/>
    </xf>
    <xf numFmtId="10" fontId="6" fillId="18" borderId="1" xfId="0" applyNumberFormat="1" applyFont="1" applyFill="1" applyBorder="1" applyAlignment="1">
      <alignment horizontal="center" vertical="center"/>
    </xf>
    <xf numFmtId="10" fontId="6" fillId="18" borderId="4" xfId="0" applyNumberFormat="1" applyFont="1" applyFill="1" applyBorder="1" applyAlignment="1">
      <alignment horizontal="center"/>
    </xf>
    <xf numFmtId="0" fontId="27" fillId="0" borderId="0" xfId="0" applyFont="1"/>
    <xf numFmtId="43" fontId="27" fillId="0" borderId="0" xfId="1" applyFont="1"/>
    <xf numFmtId="0" fontId="6" fillId="2" borderId="2" xfId="0" applyFont="1" applyFill="1" applyBorder="1" applyAlignment="1">
      <alignment horizontal="left" vertical="top" wrapText="1"/>
    </xf>
    <xf numFmtId="0" fontId="7" fillId="3" borderId="17" xfId="0" applyFont="1" applyFill="1" applyBorder="1" applyAlignment="1">
      <alignment vertical="justify"/>
    </xf>
    <xf numFmtId="0" fontId="7" fillId="3" borderId="40" xfId="0" applyFont="1" applyFill="1" applyBorder="1" applyAlignment="1">
      <alignment vertical="justify"/>
    </xf>
    <xf numFmtId="0" fontId="5" fillId="4" borderId="5" xfId="0" applyFont="1" applyFill="1" applyBorder="1" applyAlignment="1">
      <alignment vertical="top" wrapText="1"/>
    </xf>
    <xf numFmtId="0" fontId="5" fillId="4" borderId="20" xfId="0" applyFont="1" applyFill="1" applyBorder="1" applyAlignment="1">
      <alignment vertical="top" wrapText="1"/>
    </xf>
    <xf numFmtId="0" fontId="5" fillId="4" borderId="21" xfId="0" applyFont="1" applyFill="1" applyBorder="1" applyAlignment="1">
      <alignment vertical="top" wrapText="1"/>
    </xf>
    <xf numFmtId="1" fontId="5" fillId="4" borderId="5" xfId="0" applyNumberFormat="1" applyFont="1" applyFill="1" applyBorder="1" applyAlignment="1">
      <alignment vertical="top" wrapText="1"/>
    </xf>
    <xf numFmtId="1" fontId="5" fillId="4" borderId="20" xfId="0" applyNumberFormat="1" applyFont="1" applyFill="1" applyBorder="1" applyAlignment="1">
      <alignment vertical="top" wrapText="1"/>
    </xf>
    <xf numFmtId="1" fontId="5" fillId="4" borderId="21" xfId="0" applyNumberFormat="1" applyFont="1" applyFill="1" applyBorder="1" applyAlignment="1">
      <alignment vertical="top" wrapText="1"/>
    </xf>
    <xf numFmtId="1" fontId="8" fillId="2" borderId="0" xfId="0" applyNumberFormat="1" applyFont="1" applyFill="1" applyBorder="1" applyAlignment="1">
      <alignment horizontal="center" vertical="center"/>
    </xf>
    <xf numFmtId="3" fontId="5" fillId="2" borderId="41" xfId="0" applyNumberFormat="1" applyFont="1" applyFill="1" applyBorder="1" applyAlignment="1">
      <alignment vertical="center"/>
    </xf>
    <xf numFmtId="3" fontId="5" fillId="2" borderId="42" xfId="0" applyNumberFormat="1" applyFont="1" applyFill="1" applyBorder="1" applyAlignment="1">
      <alignment vertical="center"/>
    </xf>
    <xf numFmtId="3" fontId="5" fillId="2" borderId="42" xfId="0" applyNumberFormat="1" applyFont="1" applyFill="1" applyBorder="1" applyAlignment="1">
      <alignment vertical="center" wrapText="1"/>
    </xf>
    <xf numFmtId="3" fontId="5" fillId="2" borderId="43" xfId="0" applyNumberFormat="1" applyFont="1" applyFill="1" applyBorder="1" applyAlignment="1">
      <alignment vertical="center" wrapText="1"/>
    </xf>
    <xf numFmtId="3" fontId="5" fillId="2" borderId="34" xfId="0" applyNumberFormat="1" applyFont="1" applyFill="1" applyBorder="1" applyAlignment="1">
      <alignment horizontal="center" vertical="center" wrapText="1"/>
    </xf>
    <xf numFmtId="3" fontId="6" fillId="0" borderId="26" xfId="0" applyNumberFormat="1" applyFont="1" applyFill="1" applyBorder="1" applyAlignment="1">
      <alignment horizontal="right" vertical="center"/>
    </xf>
    <xf numFmtId="3" fontId="6" fillId="0" borderId="34" xfId="0" applyNumberFormat="1" applyFont="1" applyFill="1" applyBorder="1" applyAlignment="1">
      <alignment horizontal="right" vertical="center"/>
    </xf>
    <xf numFmtId="9" fontId="8" fillId="2" borderId="43" xfId="0" applyNumberFormat="1" applyFont="1" applyFill="1" applyBorder="1" applyAlignment="1">
      <alignment horizontal="right" vertical="center" wrapText="1"/>
    </xf>
    <xf numFmtId="3" fontId="6" fillId="0" borderId="39" xfId="0" applyNumberFormat="1" applyFont="1" applyFill="1" applyBorder="1" applyAlignment="1">
      <alignment horizontal="right" vertical="center"/>
    </xf>
    <xf numFmtId="10" fontId="6" fillId="2" borderId="15" xfId="0" applyNumberFormat="1" applyFont="1" applyFill="1" applyBorder="1" applyAlignment="1">
      <alignment horizontal="right" vertical="center"/>
    </xf>
    <xf numFmtId="0" fontId="1" fillId="0" borderId="0" xfId="0" applyFont="1" applyFill="1"/>
    <xf numFmtId="3" fontId="27" fillId="0" borderId="0" xfId="0" applyNumberFormat="1" applyFont="1" applyBorder="1"/>
    <xf numFmtId="3" fontId="6" fillId="14" borderId="14" xfId="0" applyNumberFormat="1" applyFont="1" applyFill="1" applyBorder="1" applyAlignment="1">
      <alignment horizontal="right" vertical="center"/>
    </xf>
    <xf numFmtId="3" fontId="6" fillId="14" borderId="0" xfId="0" applyNumberFormat="1" applyFont="1" applyFill="1" applyBorder="1" applyAlignment="1">
      <alignment horizontal="center" vertical="center"/>
    </xf>
    <xf numFmtId="0" fontId="5" fillId="13" borderId="0" xfId="0" applyFont="1" applyFill="1" applyBorder="1" applyAlignment="1">
      <alignment horizontal="center" vertical="center" wrapText="1"/>
    </xf>
    <xf numFmtId="0" fontId="7" fillId="3" borderId="0" xfId="0" applyFont="1" applyFill="1" applyBorder="1" applyAlignment="1">
      <alignment vertical="justify"/>
    </xf>
    <xf numFmtId="10" fontId="6" fillId="0" borderId="17" xfId="0" applyNumberFormat="1" applyFont="1" applyBorder="1" applyAlignment="1">
      <alignment vertical="center"/>
    </xf>
    <xf numFmtId="3" fontId="6" fillId="14" borderId="0" xfId="0" applyNumberFormat="1" applyFont="1" applyFill="1" applyBorder="1" applyAlignment="1">
      <alignment horizontal="right" vertical="center"/>
    </xf>
    <xf numFmtId="3" fontId="6" fillId="0" borderId="13" xfId="0" applyNumberFormat="1" applyFont="1" applyBorder="1"/>
    <xf numFmtId="166" fontId="6" fillId="0" borderId="13" xfId="1" applyNumberFormat="1" applyFont="1" applyFill="1" applyBorder="1"/>
    <xf numFmtId="10" fontId="6" fillId="0" borderId="16" xfId="0" applyNumberFormat="1" applyFont="1" applyFill="1" applyBorder="1" applyAlignment="1">
      <alignment horizontal="center"/>
    </xf>
    <xf numFmtId="0" fontId="0" fillId="0" borderId="0" xfId="0" applyBorder="1"/>
    <xf numFmtId="43" fontId="0" fillId="0" borderId="0" xfId="0" applyNumberFormat="1" applyBorder="1"/>
    <xf numFmtId="1" fontId="0" fillId="0" borderId="0" xfId="0" applyNumberFormat="1" applyBorder="1"/>
    <xf numFmtId="0" fontId="1" fillId="0" borderId="0" xfId="0" applyFont="1" applyBorder="1"/>
    <xf numFmtId="3" fontId="0" fillId="0" borderId="0" xfId="0" applyNumberFormat="1" applyBorder="1"/>
    <xf numFmtId="1" fontId="6" fillId="2" borderId="19" xfId="0" applyNumberFormat="1" applyFont="1" applyFill="1" applyBorder="1" applyAlignment="1">
      <alignment horizontal="center" vertical="top" wrapText="1"/>
    </xf>
    <xf numFmtId="0" fontId="6" fillId="2" borderId="2" xfId="0" applyFont="1" applyFill="1" applyBorder="1" applyAlignment="1">
      <alignment horizontal="left" vertical="top" wrapText="1"/>
    </xf>
    <xf numFmtId="1" fontId="6" fillId="2" borderId="13" xfId="0" applyNumberFormat="1" applyFont="1" applyFill="1" applyBorder="1" applyAlignment="1">
      <alignment horizontal="left" vertical="top" wrapText="1"/>
    </xf>
    <xf numFmtId="0" fontId="6" fillId="2" borderId="13" xfId="0" applyFont="1" applyFill="1" applyBorder="1" applyAlignment="1">
      <alignment horizontal="left" vertical="top" wrapText="1"/>
    </xf>
    <xf numFmtId="1" fontId="6" fillId="0" borderId="13" xfId="0" applyNumberFormat="1" applyFont="1" applyBorder="1" applyAlignment="1">
      <alignment horizontal="left" vertical="top" wrapText="1"/>
    </xf>
    <xf numFmtId="1" fontId="6" fillId="2" borderId="12" xfId="0" applyNumberFormat="1" applyFont="1" applyFill="1" applyBorder="1" applyAlignment="1">
      <alignment horizontal="center" vertical="center" wrapText="1"/>
    </xf>
    <xf numFmtId="3" fontId="5" fillId="4" borderId="2" xfId="0" applyNumberFormat="1" applyFont="1" applyFill="1" applyBorder="1" applyAlignment="1">
      <alignment horizontal="right"/>
    </xf>
    <xf numFmtId="0" fontId="5" fillId="15" borderId="2" xfId="0" applyFont="1" applyFill="1" applyBorder="1" applyAlignment="1">
      <alignment horizontal="center" vertical="center" wrapText="1"/>
    </xf>
    <xf numFmtId="0" fontId="6" fillId="15" borderId="44" xfId="0" applyFont="1" applyFill="1" applyBorder="1" applyAlignment="1">
      <alignment horizontal="center" vertical="center" wrapText="1"/>
    </xf>
    <xf numFmtId="0" fontId="6" fillId="19" borderId="7" xfId="0" applyFont="1" applyFill="1" applyBorder="1" applyAlignment="1">
      <alignment horizontal="center" vertical="center" wrapText="1"/>
    </xf>
    <xf numFmtId="10" fontId="6" fillId="14" borderId="2" xfId="0" applyNumberFormat="1" applyFont="1" applyFill="1" applyBorder="1" applyAlignment="1">
      <alignment vertical="center"/>
    </xf>
    <xf numFmtId="43" fontId="1" fillId="0" borderId="0" xfId="0" applyNumberFormat="1" applyFont="1"/>
    <xf numFmtId="43" fontId="1" fillId="0" borderId="0" xfId="1" applyFont="1"/>
    <xf numFmtId="1" fontId="1" fillId="0" borderId="0" xfId="0" applyNumberFormat="1" applyFont="1" applyBorder="1"/>
    <xf numFmtId="3" fontId="6" fillId="2" borderId="13" xfId="0" applyNumberFormat="1" applyFont="1" applyFill="1" applyBorder="1" applyAlignment="1">
      <alignment horizontal="right" vertical="center"/>
    </xf>
    <xf numFmtId="0" fontId="5" fillId="14" borderId="2" xfId="0" applyFont="1" applyFill="1" applyBorder="1" applyAlignment="1">
      <alignment horizontal="center" vertical="center" wrapText="1"/>
    </xf>
    <xf numFmtId="3" fontId="27" fillId="0" borderId="0" xfId="0" applyNumberFormat="1" applyFont="1"/>
    <xf numFmtId="3" fontId="6" fillId="2" borderId="0" xfId="0" applyNumberFormat="1" applyFont="1" applyFill="1" applyBorder="1" applyAlignment="1">
      <alignment horizontal="center" vertical="center"/>
    </xf>
    <xf numFmtId="3" fontId="6" fillId="14" borderId="6" xfId="0" applyNumberFormat="1" applyFont="1" applyFill="1" applyBorder="1" applyAlignment="1">
      <alignment horizontal="right" vertical="center"/>
    </xf>
    <xf numFmtId="0" fontId="1" fillId="0" borderId="0" xfId="0" applyFont="1" applyAlignment="1">
      <alignment vertical="center"/>
    </xf>
    <xf numFmtId="1" fontId="1" fillId="0" borderId="0" xfId="0" applyNumberFormat="1" applyFont="1" applyBorder="1" applyAlignment="1">
      <alignment vertical="center"/>
    </xf>
    <xf numFmtId="0" fontId="1" fillId="0" borderId="0" xfId="0" applyFont="1" applyBorder="1" applyAlignment="1">
      <alignment vertical="center"/>
    </xf>
    <xf numFmtId="1" fontId="28" fillId="14" borderId="0" xfId="0" applyNumberFormat="1" applyFont="1" applyFill="1" applyBorder="1" applyAlignment="1">
      <alignment horizontal="center" vertical="center"/>
    </xf>
    <xf numFmtId="43" fontId="1" fillId="0" borderId="0" xfId="0" applyNumberFormat="1" applyFont="1" applyAlignment="1">
      <alignment vertical="center"/>
    </xf>
    <xf numFmtId="3" fontId="1" fillId="0" borderId="0" xfId="0" applyNumberFormat="1" applyFont="1" applyFill="1"/>
    <xf numFmtId="4" fontId="6" fillId="2" borderId="0" xfId="0" applyNumberFormat="1" applyFont="1" applyFill="1" applyBorder="1" applyAlignment="1">
      <alignment horizontal="right" vertical="center"/>
    </xf>
    <xf numFmtId="3" fontId="1" fillId="0" borderId="0" xfId="0" applyNumberFormat="1" applyFont="1" applyBorder="1"/>
    <xf numFmtId="166" fontId="6" fillId="18" borderId="2" xfId="0" applyNumberFormat="1" applyFont="1" applyFill="1" applyBorder="1"/>
    <xf numFmtId="166" fontId="6" fillId="0" borderId="2" xfId="0" applyNumberFormat="1" applyFont="1" applyFill="1" applyBorder="1"/>
    <xf numFmtId="166" fontId="6" fillId="14" borderId="2" xfId="0" applyNumberFormat="1" applyFont="1" applyFill="1" applyBorder="1"/>
    <xf numFmtId="166" fontId="6" fillId="18" borderId="19" xfId="0" applyNumberFormat="1" applyFont="1" applyFill="1" applyBorder="1"/>
    <xf numFmtId="3" fontId="6" fillId="18" borderId="30" xfId="4" applyNumberFormat="1" applyFont="1" applyFill="1" applyBorder="1" applyAlignment="1">
      <alignment horizontal="center" vertical="center" wrapText="1"/>
    </xf>
    <xf numFmtId="3" fontId="29" fillId="18" borderId="30" xfId="4" applyNumberFormat="1" applyFont="1" applyFill="1" applyBorder="1" applyAlignment="1">
      <alignment horizontal="center" vertical="center" wrapText="1"/>
    </xf>
    <xf numFmtId="0" fontId="6" fillId="18" borderId="30" xfId="4" applyFont="1" applyFill="1" applyBorder="1" applyAlignment="1">
      <alignment horizontal="center" vertical="center" wrapText="1"/>
    </xf>
    <xf numFmtId="0" fontId="6" fillId="18" borderId="32" xfId="4" applyFont="1" applyFill="1" applyBorder="1" applyAlignment="1">
      <alignment horizontal="center" vertical="center" wrapText="1"/>
    </xf>
    <xf numFmtId="3" fontId="6" fillId="0" borderId="0" xfId="0" applyNumberFormat="1" applyFont="1"/>
    <xf numFmtId="0" fontId="6" fillId="0" borderId="0" xfId="0" applyFont="1"/>
    <xf numFmtId="0" fontId="30" fillId="0" borderId="0" xfId="0" applyFont="1"/>
    <xf numFmtId="43" fontId="6" fillId="0" borderId="0" xfId="1" applyFont="1"/>
    <xf numFmtId="43" fontId="6" fillId="0" borderId="0" xfId="0" applyNumberFormat="1" applyFont="1"/>
    <xf numFmtId="43" fontId="6" fillId="0" borderId="0" xfId="0" applyNumberFormat="1" applyFont="1" applyAlignment="1">
      <alignment vertical="center"/>
    </xf>
    <xf numFmtId="0" fontId="31" fillId="0" borderId="0" xfId="0" applyFont="1"/>
    <xf numFmtId="0" fontId="5" fillId="2" borderId="0" xfId="0" applyFont="1" applyFill="1" applyBorder="1" applyAlignment="1">
      <alignment vertical="center" wrapText="1"/>
    </xf>
    <xf numFmtId="0" fontId="6" fillId="17" borderId="26" xfId="4" applyFont="1" applyFill="1" applyBorder="1" applyAlignment="1">
      <alignment horizontal="center"/>
    </xf>
    <xf numFmtId="0" fontId="6" fillId="17" borderId="27" xfId="4" applyFont="1" applyFill="1" applyBorder="1" applyAlignment="1">
      <alignment horizontal="center"/>
    </xf>
    <xf numFmtId="0" fontId="6" fillId="17" borderId="28" xfId="4" applyFont="1" applyFill="1" applyBorder="1" applyAlignment="1">
      <alignment horizontal="center"/>
    </xf>
    <xf numFmtId="0" fontId="32" fillId="17" borderId="29" xfId="0" applyFont="1" applyFill="1" applyBorder="1" applyAlignment="1">
      <alignment horizontal="center"/>
    </xf>
    <xf numFmtId="10" fontId="32" fillId="17" borderId="31" xfId="0" applyNumberFormat="1" applyFont="1" applyFill="1" applyBorder="1" applyAlignment="1">
      <alignment horizontal="center" vertical="center"/>
    </xf>
    <xf numFmtId="10" fontId="32" fillId="17" borderId="32" xfId="0" applyNumberFormat="1" applyFont="1" applyFill="1" applyBorder="1" applyAlignment="1">
      <alignment horizontal="center" vertical="center"/>
    </xf>
    <xf numFmtId="0" fontId="32" fillId="0" borderId="0" xfId="0" applyFont="1"/>
    <xf numFmtId="3" fontId="32" fillId="17" borderId="30" xfId="0" applyNumberFormat="1" applyFont="1" applyFill="1" applyBorder="1" applyAlignment="1">
      <alignment vertical="center"/>
    </xf>
    <xf numFmtId="10" fontId="32" fillId="17" borderId="31" xfId="0" applyNumberFormat="1" applyFont="1" applyFill="1" applyBorder="1" applyAlignment="1">
      <alignment vertical="center"/>
    </xf>
    <xf numFmtId="0" fontId="8" fillId="2" borderId="36" xfId="0" applyFont="1" applyFill="1" applyBorder="1" applyAlignment="1">
      <alignment horizontal="right" vertical="center" wrapText="1"/>
    </xf>
    <xf numFmtId="0" fontId="8" fillId="2" borderId="37" xfId="0" applyFont="1" applyFill="1" applyBorder="1" applyAlignment="1">
      <alignment horizontal="right" vertical="center" wrapText="1"/>
    </xf>
    <xf numFmtId="0" fontId="8" fillId="2" borderId="38"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7" fillId="2" borderId="2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8" xfId="0" applyFont="1" applyFill="1" applyBorder="1" applyAlignment="1">
      <alignment vertical="top" wrapText="1"/>
    </xf>
    <xf numFmtId="0" fontId="8" fillId="2" borderId="33" xfId="0" applyFont="1" applyFill="1" applyBorder="1" applyAlignment="1">
      <alignment vertical="top" wrapText="1"/>
    </xf>
    <xf numFmtId="0" fontId="8" fillId="2" borderId="18" xfId="0" applyFont="1" applyFill="1" applyBorder="1" applyAlignment="1">
      <alignment vertical="top" wrapText="1"/>
    </xf>
    <xf numFmtId="0" fontId="8" fillId="2" borderId="27" xfId="0" applyFont="1" applyFill="1" applyBorder="1" applyAlignment="1">
      <alignment horizontal="center" vertical="center" wrapText="1"/>
    </xf>
    <xf numFmtId="0" fontId="8" fillId="2" borderId="34" xfId="0"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20" xfId="0" applyNumberFormat="1" applyFont="1" applyFill="1" applyBorder="1" applyAlignment="1">
      <alignment horizontal="center" vertical="center" wrapText="1"/>
    </xf>
    <xf numFmtId="3" fontId="8" fillId="2" borderId="25" xfId="0" applyNumberFormat="1" applyFont="1" applyFill="1" applyBorder="1" applyAlignment="1">
      <alignment horizontal="center" vertical="center" wrapText="1"/>
    </xf>
    <xf numFmtId="1" fontId="8" fillId="2" borderId="8" xfId="0" applyNumberFormat="1" applyFont="1" applyFill="1" applyBorder="1" applyAlignment="1">
      <alignment horizontal="left" vertical="center" wrapText="1"/>
    </xf>
    <xf numFmtId="1" fontId="8" fillId="2" borderId="33" xfId="0" applyNumberFormat="1" applyFont="1" applyFill="1" applyBorder="1" applyAlignment="1">
      <alignment horizontal="left" vertical="center" wrapText="1"/>
    </xf>
    <xf numFmtId="1" fontId="8" fillId="2" borderId="18" xfId="0" applyNumberFormat="1" applyFont="1" applyFill="1" applyBorder="1" applyAlignment="1">
      <alignment horizontal="left" vertical="center" wrapText="1"/>
    </xf>
    <xf numFmtId="1" fontId="8" fillId="2" borderId="19"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27" xfId="0" applyNumberFormat="1"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3" xfId="0" applyFont="1" applyFill="1" applyBorder="1" applyAlignment="1">
      <alignment horizontal="left" vertical="top" wrapText="1"/>
    </xf>
    <xf numFmtId="0" fontId="8" fillId="2" borderId="18" xfId="0" applyFont="1" applyFill="1" applyBorder="1" applyAlignment="1">
      <alignment horizontal="left" vertical="top" wrapText="1"/>
    </xf>
    <xf numFmtId="1" fontId="8" fillId="2" borderId="28" xfId="0" applyNumberFormat="1" applyFont="1" applyFill="1" applyBorder="1" applyAlignment="1">
      <alignment horizontal="left" vertical="top" wrapText="1"/>
    </xf>
    <xf numFmtId="1" fontId="8" fillId="2" borderId="33" xfId="0" applyNumberFormat="1" applyFont="1" applyFill="1" applyBorder="1" applyAlignment="1">
      <alignment horizontal="left" vertical="top" wrapText="1"/>
    </xf>
    <xf numFmtId="1" fontId="8" fillId="2" borderId="18" xfId="0" applyNumberFormat="1" applyFont="1" applyFill="1" applyBorder="1" applyAlignment="1">
      <alignment horizontal="left" vertical="top" wrapText="1"/>
    </xf>
    <xf numFmtId="0" fontId="8" fillId="2" borderId="19" xfId="0" applyFont="1" applyFill="1" applyBorder="1" applyAlignment="1">
      <alignment horizontal="center" vertical="center" wrapText="1"/>
    </xf>
    <xf numFmtId="0" fontId="8" fillId="2" borderId="27" xfId="0" applyFont="1" applyFill="1" applyBorder="1" applyAlignment="1">
      <alignment horizontal="left" vertical="top" wrapText="1"/>
    </xf>
    <xf numFmtId="0" fontId="8" fillId="2" borderId="3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7" xfId="0" applyNumberFormat="1" applyFont="1" applyFill="1" applyBorder="1" applyAlignment="1">
      <alignment horizontal="left" vertical="top" wrapText="1"/>
    </xf>
    <xf numFmtId="0" fontId="8" fillId="2" borderId="27" xfId="0" applyFont="1" applyFill="1" applyBorder="1"/>
    <xf numFmtId="0" fontId="8" fillId="2" borderId="23" xfId="0" applyFont="1" applyFill="1" applyBorder="1" applyAlignment="1">
      <alignment horizontal="right" vertical="center" wrapText="1"/>
    </xf>
    <xf numFmtId="0" fontId="8" fillId="2" borderId="24" xfId="0" applyFont="1" applyFill="1" applyBorder="1" applyAlignment="1">
      <alignment horizontal="right" vertical="center" wrapText="1"/>
    </xf>
    <xf numFmtId="0" fontId="8" fillId="2" borderId="8" xfId="0" applyFont="1" applyFill="1" applyBorder="1" applyAlignment="1">
      <alignment horizontal="left" vertical="top" wrapText="1"/>
    </xf>
    <xf numFmtId="0" fontId="8" fillId="2" borderId="10" xfId="0" applyFont="1" applyFill="1" applyBorder="1" applyAlignment="1">
      <alignment horizontal="center" vertical="center" wrapText="1"/>
    </xf>
    <xf numFmtId="0" fontId="7" fillId="2" borderId="0" xfId="0" applyFont="1" applyFill="1" applyBorder="1" applyAlignment="1">
      <alignment horizontal="center"/>
    </xf>
    <xf numFmtId="0" fontId="8" fillId="2" borderId="0"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12" fillId="2" borderId="19"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2" borderId="2" xfId="0" applyFont="1" applyFill="1" applyBorder="1" applyAlignment="1">
      <alignment horizontal="left" vertical="top"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top" wrapText="1"/>
    </xf>
    <xf numFmtId="0" fontId="6" fillId="2" borderId="19"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3"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5" fillId="8" borderId="26" xfId="0" applyFont="1" applyFill="1" applyBorder="1" applyAlignment="1">
      <alignment horizontal="center" vertical="center"/>
    </xf>
    <xf numFmtId="0" fontId="5" fillId="8" borderId="27"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34" xfId="0" applyFont="1" applyFill="1" applyBorder="1" applyAlignment="1">
      <alignment horizontal="center" vertical="center"/>
    </xf>
    <xf numFmtId="0" fontId="5" fillId="9" borderId="26"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27" xfId="0" applyFont="1" applyFill="1" applyBorder="1" applyAlignment="1">
      <alignment horizontal="center" vertical="center"/>
    </xf>
    <xf numFmtId="0" fontId="5" fillId="9" borderId="34"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33" xfId="0" applyFont="1" applyFill="1" applyBorder="1" applyAlignment="1">
      <alignment horizontal="center" vertical="center"/>
    </xf>
    <xf numFmtId="0" fontId="5" fillId="10" borderId="39" xfId="0" applyFont="1" applyFill="1" applyBorder="1" applyAlignment="1">
      <alignment horizontal="center" vertical="center"/>
    </xf>
    <xf numFmtId="0" fontId="6" fillId="2" borderId="2" xfId="0" applyNumberFormat="1" applyFont="1" applyFill="1" applyBorder="1" applyAlignment="1">
      <alignment horizontal="left" vertical="top" wrapText="1"/>
    </xf>
    <xf numFmtId="0" fontId="20" fillId="4" borderId="19" xfId="0" applyFont="1" applyFill="1" applyBorder="1" applyAlignment="1">
      <alignment horizontal="center" vertical="center" wrapText="1"/>
    </xf>
    <xf numFmtId="0" fontId="6" fillId="2" borderId="19" xfId="0" applyFont="1" applyFill="1" applyBorder="1" applyAlignment="1">
      <alignment horizontal="center" vertical="top" wrapText="1"/>
    </xf>
    <xf numFmtId="0" fontId="6" fillId="2" borderId="12" xfId="0" applyFont="1" applyFill="1" applyBorder="1" applyAlignment="1">
      <alignment horizontal="center" vertical="top" wrapText="1"/>
    </xf>
    <xf numFmtId="1" fontId="6" fillId="0" borderId="2" xfId="0" applyNumberFormat="1" applyFont="1" applyFill="1" applyBorder="1" applyAlignment="1">
      <alignment horizontal="left" vertical="top" wrapText="1"/>
    </xf>
    <xf numFmtId="1" fontId="6" fillId="2" borderId="2" xfId="0" applyNumberFormat="1" applyFont="1" applyFill="1" applyBorder="1" applyAlignment="1">
      <alignment horizontal="center" vertical="top" wrapText="1"/>
    </xf>
    <xf numFmtId="1" fontId="6" fillId="0" borderId="2" xfId="0" applyNumberFormat="1" applyFont="1" applyBorder="1" applyAlignment="1">
      <alignment horizontal="left" vertical="top" wrapText="1"/>
    </xf>
    <xf numFmtId="1" fontId="6" fillId="0" borderId="19" xfId="0" applyNumberFormat="1" applyFont="1" applyBorder="1" applyAlignment="1">
      <alignment horizontal="left" vertical="top" wrapText="1"/>
    </xf>
    <xf numFmtId="1" fontId="6" fillId="0" borderId="12" xfId="0" applyNumberFormat="1" applyFont="1" applyBorder="1" applyAlignment="1">
      <alignment horizontal="left" vertical="top" wrapText="1"/>
    </xf>
    <xf numFmtId="1" fontId="6" fillId="0" borderId="13" xfId="0" applyNumberFormat="1" applyFont="1" applyBorder="1" applyAlignment="1">
      <alignment horizontal="left" vertical="top" wrapText="1"/>
    </xf>
    <xf numFmtId="0" fontId="5" fillId="3" borderId="13" xfId="0" applyFont="1" applyFill="1" applyBorder="1" applyAlignment="1">
      <alignment horizontal="right" vertical="center" wrapText="1"/>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4"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4"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3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4" xfId="0" applyFont="1" applyFill="1" applyBorder="1" applyAlignment="1">
      <alignment horizontal="center" vertical="center"/>
    </xf>
    <xf numFmtId="1" fontId="6" fillId="2" borderId="19" xfId="0" applyNumberFormat="1" applyFont="1" applyFill="1" applyBorder="1" applyAlignment="1">
      <alignment horizontal="center" vertical="top" wrapText="1"/>
    </xf>
    <xf numFmtId="1" fontId="6" fillId="2" borderId="1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19"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2" borderId="13" xfId="0" applyFont="1" applyFill="1" applyBorder="1" applyAlignment="1">
      <alignment horizontal="center" vertical="top" wrapText="1"/>
    </xf>
    <xf numFmtId="1" fontId="6" fillId="2" borderId="13" xfId="0" applyNumberFormat="1" applyFont="1" applyFill="1" applyBorder="1" applyAlignment="1">
      <alignment horizontal="center" vertical="top" wrapText="1"/>
    </xf>
    <xf numFmtId="1" fontId="6" fillId="2" borderId="19" xfId="0" applyNumberFormat="1" applyFont="1" applyFill="1" applyBorder="1" applyAlignment="1">
      <alignment horizontal="left" vertical="top" wrapText="1"/>
    </xf>
    <xf numFmtId="1" fontId="6" fillId="2" borderId="12" xfId="0" applyNumberFormat="1" applyFont="1" applyFill="1" applyBorder="1" applyAlignment="1">
      <alignment horizontal="left" vertical="top" wrapText="1"/>
    </xf>
    <xf numFmtId="1" fontId="6" fillId="2" borderId="13" xfId="0" applyNumberFormat="1" applyFont="1" applyFill="1" applyBorder="1" applyAlignment="1">
      <alignment horizontal="left" vertical="top" wrapText="1"/>
    </xf>
    <xf numFmtId="10" fontId="6" fillId="0" borderId="19" xfId="0" applyNumberFormat="1" applyFont="1" applyBorder="1" applyAlignment="1">
      <alignment horizontal="left" vertical="center" wrapText="1"/>
    </xf>
    <xf numFmtId="0" fontId="1" fillId="0" borderId="13" xfId="0" applyFont="1" applyBorder="1"/>
    <xf numFmtId="10" fontId="6" fillId="0" borderId="12" xfId="0" applyNumberFormat="1" applyFont="1" applyBorder="1" applyAlignment="1">
      <alignment horizontal="left" vertical="center" wrapText="1"/>
    </xf>
    <xf numFmtId="10" fontId="6" fillId="0" borderId="13" xfId="0" applyNumberFormat="1" applyFont="1" applyBorder="1" applyAlignment="1">
      <alignment horizontal="left" vertical="center" wrapText="1"/>
    </xf>
    <xf numFmtId="0" fontId="6" fillId="2" borderId="1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13" borderId="2" xfId="0" applyFont="1" applyFill="1" applyBorder="1" applyAlignment="1">
      <alignment horizontal="center" vertical="center" wrapText="1"/>
    </xf>
    <xf numFmtId="1" fontId="6" fillId="2" borderId="19"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1" fontId="6" fillId="2" borderId="13"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1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19" borderId="2" xfId="0" applyFont="1" applyFill="1" applyBorder="1" applyAlignment="1">
      <alignment horizontal="center" vertical="center" wrapText="1"/>
    </xf>
    <xf numFmtId="1" fontId="6" fillId="0" borderId="13" xfId="0" applyNumberFormat="1" applyFont="1" applyFill="1" applyBorder="1" applyAlignment="1">
      <alignment horizontal="left" vertical="top" wrapText="1"/>
    </xf>
    <xf numFmtId="0" fontId="6" fillId="2" borderId="1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cellXfs>
  <cellStyles count="5">
    <cellStyle name="60% - Accent1" xfId="4" builtinId="32"/>
    <cellStyle name="Comma" xfId="1" builtinId="3"/>
    <cellStyle name="Normal" xfId="0" builtinId="0"/>
    <cellStyle name="Normal 2" xfId="2"/>
    <cellStyle name="Percent" xfId="3"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visi&#243;n%20PC%20D%20y%20SP%2014.11.09\Aportes%20Agencias\FA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s%20Documentos%202\ONU%20Peru\JP%20Desarrollo%20y%20Sector%20Privado\Plan%20de%20contingencia\MDGF-2081%20-%20Marco%20de%20resultados%20-%20vf%20-%2015%20dic%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el1"/>
      <sheetName val="Marco de Resultados"/>
      <sheetName val="manuel"/>
      <sheetName val="Plan de trabajo Primer Año"/>
      <sheetName val="Plan de Trabajo 2 6% redondeado"/>
      <sheetName val="Plan de Trabajo 3 6% redondeado"/>
    </sheetNames>
    <sheetDataSet>
      <sheetData sheetId="0" refreshError="1"/>
      <sheetData sheetId="1" refreshError="1"/>
      <sheetData sheetId="2" refreshError="1"/>
      <sheetData sheetId="3" refreshError="1">
        <row r="96">
          <cell r="K96">
            <v>15900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de Resultados"/>
      <sheetName val="Costos de coordinación"/>
      <sheetName val="Presupuesto Global"/>
    </sheetNames>
    <sheetDataSet>
      <sheetData sheetId="0"/>
      <sheetData sheetId="1" refreshError="1">
        <row r="26">
          <cell r="C26">
            <v>250263</v>
          </cell>
          <cell r="D26">
            <v>308560</v>
          </cell>
          <cell r="E26">
            <v>308560</v>
          </cell>
        </row>
        <row r="30">
          <cell r="C30">
            <v>0</v>
          </cell>
          <cell r="D30">
            <v>20000</v>
          </cell>
          <cell r="E30">
            <v>50000</v>
          </cell>
        </row>
        <row r="32">
          <cell r="C32">
            <v>0</v>
          </cell>
          <cell r="D32">
            <v>30000</v>
          </cell>
          <cell r="E32">
            <v>30000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
  <sheetViews>
    <sheetView topLeftCell="A140" workbookViewId="0">
      <selection activeCell="A5" sqref="A5:K8"/>
    </sheetView>
  </sheetViews>
  <sheetFormatPr defaultColWidth="11.42578125" defaultRowHeight="11.25" x14ac:dyDescent="0.2"/>
  <cols>
    <col min="1" max="1" width="16.5703125" style="3" customWidth="1"/>
    <col min="2" max="2" width="52.140625" style="4" customWidth="1"/>
    <col min="3" max="3" width="2.85546875" style="5" customWidth="1"/>
    <col min="4" max="4" width="3.28515625" style="5" customWidth="1"/>
    <col min="5" max="5" width="3.42578125" style="5" bestFit="1" customWidth="1"/>
    <col min="6" max="6" width="8.7109375" style="5" customWidth="1"/>
    <col min="7" max="7" width="10.42578125" style="5" customWidth="1"/>
    <col min="8" max="8" width="8.5703125" style="6" customWidth="1"/>
    <col min="9" max="9" width="11.7109375" style="1" customWidth="1"/>
    <col min="10" max="10" width="11.5703125" style="1" customWidth="1"/>
    <col min="11" max="11" width="10.85546875" style="1" customWidth="1"/>
    <col min="12" max="16384" width="11.42578125" style="1"/>
  </cols>
  <sheetData>
    <row r="1" spans="1:13" ht="13.5" x14ac:dyDescent="0.25">
      <c r="A1" s="520" t="s">
        <v>250</v>
      </c>
      <c r="B1" s="520"/>
      <c r="C1" s="520"/>
      <c r="D1" s="520"/>
      <c r="E1" s="520"/>
      <c r="F1" s="520"/>
      <c r="G1" s="520"/>
      <c r="H1" s="520"/>
      <c r="I1" s="520"/>
      <c r="J1" s="520"/>
      <c r="K1" s="520"/>
    </row>
    <row r="2" spans="1:13" ht="13.5" x14ac:dyDescent="0.25">
      <c r="A2" s="520" t="s">
        <v>254</v>
      </c>
      <c r="B2" s="520"/>
      <c r="C2" s="520"/>
      <c r="D2" s="520"/>
      <c r="E2" s="520"/>
      <c r="F2" s="520"/>
      <c r="G2" s="520"/>
      <c r="H2" s="520"/>
      <c r="I2" s="520"/>
      <c r="J2" s="520"/>
      <c r="K2" s="520"/>
    </row>
    <row r="3" spans="1:13" ht="132" customHeight="1" x14ac:dyDescent="0.2">
      <c r="A3" s="521" t="s">
        <v>248</v>
      </c>
      <c r="B3" s="521"/>
      <c r="C3" s="521"/>
      <c r="D3" s="521"/>
      <c r="E3" s="521"/>
      <c r="F3" s="521"/>
      <c r="G3" s="521"/>
      <c r="H3" s="521"/>
      <c r="I3" s="521"/>
      <c r="J3" s="521"/>
      <c r="K3" s="521"/>
    </row>
    <row r="4" spans="1:13" ht="13.5" x14ac:dyDescent="0.25">
      <c r="A4" s="28"/>
      <c r="B4" s="29"/>
      <c r="C4" s="30"/>
      <c r="D4" s="30"/>
      <c r="E4" s="30"/>
      <c r="F4" s="30"/>
      <c r="G4" s="30"/>
      <c r="H4" s="31"/>
      <c r="I4" s="32"/>
      <c r="J4" s="32"/>
      <c r="K4" s="32"/>
    </row>
    <row r="5" spans="1:13" ht="11.25" customHeight="1" x14ac:dyDescent="0.2">
      <c r="A5" s="490" t="s">
        <v>222</v>
      </c>
      <c r="B5" s="485" t="s">
        <v>227</v>
      </c>
      <c r="C5" s="485" t="s">
        <v>223</v>
      </c>
      <c r="D5" s="485"/>
      <c r="E5" s="485"/>
      <c r="F5" s="485" t="s">
        <v>225</v>
      </c>
      <c r="G5" s="485" t="s">
        <v>226</v>
      </c>
      <c r="H5" s="492" t="s">
        <v>251</v>
      </c>
      <c r="I5" s="493"/>
      <c r="J5" s="493"/>
      <c r="K5" s="494"/>
    </row>
    <row r="6" spans="1:13" ht="27.75" thickBot="1" x14ac:dyDescent="0.25">
      <c r="A6" s="491"/>
      <c r="B6" s="486"/>
      <c r="C6" s="33" t="s">
        <v>63</v>
      </c>
      <c r="D6" s="33" t="s">
        <v>64</v>
      </c>
      <c r="E6" s="33" t="s">
        <v>65</v>
      </c>
      <c r="F6" s="486"/>
      <c r="G6" s="486"/>
      <c r="H6" s="34" t="s">
        <v>228</v>
      </c>
      <c r="I6" s="33" t="s">
        <v>229</v>
      </c>
      <c r="J6" s="33" t="s">
        <v>230</v>
      </c>
      <c r="K6" s="35" t="s">
        <v>231</v>
      </c>
    </row>
    <row r="7" spans="1:13" s="2" customFormat="1" ht="42" customHeight="1" x14ac:dyDescent="0.2">
      <c r="A7" s="36" t="s">
        <v>245</v>
      </c>
      <c r="B7" s="37" t="s">
        <v>246</v>
      </c>
      <c r="C7" s="38" t="s">
        <v>224</v>
      </c>
      <c r="D7" s="38" t="s">
        <v>224</v>
      </c>
      <c r="E7" s="38" t="s">
        <v>224</v>
      </c>
      <c r="F7" s="39" t="s">
        <v>199</v>
      </c>
      <c r="G7" s="39" t="s">
        <v>247</v>
      </c>
      <c r="H7" s="40">
        <v>1248246</v>
      </c>
      <c r="I7" s="40">
        <v>403838</v>
      </c>
      <c r="J7" s="40">
        <v>323025</v>
      </c>
      <c r="K7" s="41">
        <f>J7/H7</f>
        <v>0.25878312448027074</v>
      </c>
    </row>
    <row r="8" spans="1:13" s="2" customFormat="1" ht="27" customHeight="1" thickBot="1" x14ac:dyDescent="0.25">
      <c r="A8" s="516" t="s">
        <v>221</v>
      </c>
      <c r="B8" s="517"/>
      <c r="C8" s="517"/>
      <c r="D8" s="517"/>
      <c r="E8" s="517"/>
      <c r="F8" s="517"/>
      <c r="G8" s="517"/>
      <c r="H8" s="42">
        <f>SUM(H7:H7)</f>
        <v>1248246</v>
      </c>
      <c r="I8" s="42">
        <f>SUM(I7:I7)</f>
        <v>403838</v>
      </c>
      <c r="J8" s="42">
        <f>SUM(J7:J7)</f>
        <v>323025</v>
      </c>
      <c r="K8" s="43">
        <f>+J8/H8</f>
        <v>0.25878312448027074</v>
      </c>
    </row>
    <row r="9" spans="1:13" s="7" customFormat="1" ht="12.75" customHeight="1" thickBot="1" x14ac:dyDescent="0.25">
      <c r="A9" s="511"/>
      <c r="B9" s="511"/>
      <c r="C9" s="511"/>
      <c r="D9" s="511"/>
      <c r="E9" s="511"/>
      <c r="F9" s="511"/>
      <c r="G9" s="511"/>
      <c r="H9" s="511"/>
      <c r="I9" s="511"/>
      <c r="J9" s="511"/>
      <c r="K9" s="511"/>
    </row>
    <row r="10" spans="1:13" ht="13.5" x14ac:dyDescent="0.2">
      <c r="A10" s="482" t="s">
        <v>235</v>
      </c>
      <c r="B10" s="483"/>
      <c r="C10" s="483"/>
      <c r="D10" s="483"/>
      <c r="E10" s="483"/>
      <c r="F10" s="483"/>
      <c r="G10" s="483"/>
      <c r="H10" s="483"/>
      <c r="I10" s="483"/>
      <c r="J10" s="483"/>
      <c r="K10" s="484"/>
    </row>
    <row r="11" spans="1:13" ht="11.25" customHeight="1" x14ac:dyDescent="0.2">
      <c r="A11" s="490" t="s">
        <v>222</v>
      </c>
      <c r="B11" s="485" t="s">
        <v>227</v>
      </c>
      <c r="C11" s="485" t="s">
        <v>223</v>
      </c>
      <c r="D11" s="485"/>
      <c r="E11" s="485"/>
      <c r="F11" s="485" t="s">
        <v>225</v>
      </c>
      <c r="G11" s="485" t="s">
        <v>226</v>
      </c>
      <c r="H11" s="492" t="s">
        <v>251</v>
      </c>
      <c r="I11" s="493"/>
      <c r="J11" s="493"/>
      <c r="K11" s="494"/>
    </row>
    <row r="12" spans="1:13" ht="27.75" thickBot="1" x14ac:dyDescent="0.25">
      <c r="A12" s="491"/>
      <c r="B12" s="486"/>
      <c r="C12" s="33" t="s">
        <v>63</v>
      </c>
      <c r="D12" s="33" t="s">
        <v>64</v>
      </c>
      <c r="E12" s="33" t="s">
        <v>65</v>
      </c>
      <c r="F12" s="486"/>
      <c r="G12" s="486"/>
      <c r="H12" s="34" t="s">
        <v>228</v>
      </c>
      <c r="I12" s="33" t="s">
        <v>229</v>
      </c>
      <c r="J12" s="33" t="s">
        <v>230</v>
      </c>
      <c r="K12" s="35" t="s">
        <v>231</v>
      </c>
    </row>
    <row r="13" spans="1:13" s="2" customFormat="1" ht="42" customHeight="1" x14ac:dyDescent="0.2">
      <c r="A13" s="518" t="s">
        <v>66</v>
      </c>
      <c r="B13" s="37" t="s">
        <v>69</v>
      </c>
      <c r="C13" s="38" t="s">
        <v>224</v>
      </c>
      <c r="D13" s="38"/>
      <c r="E13" s="38"/>
      <c r="F13" s="39" t="s">
        <v>85</v>
      </c>
      <c r="G13" s="519" t="s">
        <v>68</v>
      </c>
      <c r="H13" s="44">
        <v>20000</v>
      </c>
      <c r="I13" s="45"/>
      <c r="J13" s="45"/>
      <c r="K13" s="46"/>
    </row>
    <row r="14" spans="1:13" s="2" customFormat="1" ht="24.75" customHeight="1" x14ac:dyDescent="0.2">
      <c r="A14" s="504"/>
      <c r="B14" s="47" t="s">
        <v>70</v>
      </c>
      <c r="C14" s="48" t="s">
        <v>224</v>
      </c>
      <c r="D14" s="48"/>
      <c r="E14" s="48"/>
      <c r="F14" s="49" t="s">
        <v>199</v>
      </c>
      <c r="G14" s="512"/>
      <c r="H14" s="13">
        <v>42400</v>
      </c>
      <c r="I14" s="13">
        <v>103000</v>
      </c>
      <c r="J14" s="50"/>
      <c r="K14" s="51"/>
    </row>
    <row r="15" spans="1:13" s="2" customFormat="1" ht="29.25" customHeight="1" x14ac:dyDescent="0.2">
      <c r="A15" s="504"/>
      <c r="B15" s="47" t="s">
        <v>71</v>
      </c>
      <c r="C15" s="48" t="s">
        <v>224</v>
      </c>
      <c r="D15" s="48"/>
      <c r="E15" s="48"/>
      <c r="F15" s="49" t="s">
        <v>67</v>
      </c>
      <c r="G15" s="512"/>
      <c r="H15" s="13">
        <v>50000</v>
      </c>
      <c r="I15" s="13">
        <v>40962</v>
      </c>
      <c r="J15" s="13">
        <v>40962</v>
      </c>
      <c r="K15" s="14">
        <f>J15/H15</f>
        <v>0.81923999999999997</v>
      </c>
      <c r="M15" s="9"/>
    </row>
    <row r="16" spans="1:13" s="2" customFormat="1" ht="24" customHeight="1" x14ac:dyDescent="0.2">
      <c r="A16" s="504"/>
      <c r="B16" s="47" t="s">
        <v>72</v>
      </c>
      <c r="C16" s="48" t="s">
        <v>224</v>
      </c>
      <c r="D16" s="48"/>
      <c r="E16" s="48"/>
      <c r="F16" s="49" t="s">
        <v>179</v>
      </c>
      <c r="G16" s="512"/>
      <c r="H16" s="13">
        <v>45000</v>
      </c>
      <c r="I16" s="15">
        <v>16627.13</v>
      </c>
      <c r="J16" s="16">
        <v>9859.69</v>
      </c>
      <c r="K16" s="17"/>
    </row>
    <row r="17" spans="1:11" s="2" customFormat="1" ht="24.75" customHeight="1" x14ac:dyDescent="0.2">
      <c r="A17" s="504"/>
      <c r="B17" s="47" t="s">
        <v>73</v>
      </c>
      <c r="C17" s="48" t="s">
        <v>224</v>
      </c>
      <c r="D17" s="48"/>
      <c r="E17" s="48"/>
      <c r="F17" s="49" t="s">
        <v>171</v>
      </c>
      <c r="G17" s="512"/>
      <c r="H17" s="13">
        <v>34608</v>
      </c>
      <c r="I17" s="13">
        <v>12000</v>
      </c>
      <c r="J17" s="13">
        <v>1011</v>
      </c>
      <c r="K17" s="14">
        <f>J17/H17</f>
        <v>2.9212898751733704E-2</v>
      </c>
    </row>
    <row r="18" spans="1:11" s="2" customFormat="1" ht="35.25" customHeight="1" x14ac:dyDescent="0.2">
      <c r="A18" s="504"/>
      <c r="B18" s="47" t="s">
        <v>232</v>
      </c>
      <c r="C18" s="48" t="s">
        <v>224</v>
      </c>
      <c r="D18" s="48"/>
      <c r="E18" s="48"/>
      <c r="F18" s="49" t="s">
        <v>76</v>
      </c>
      <c r="G18" s="512"/>
      <c r="H18" s="13">
        <v>150736</v>
      </c>
      <c r="I18" s="13">
        <v>48000</v>
      </c>
      <c r="J18" s="13">
        <f>24400+1500</f>
        <v>25900</v>
      </c>
      <c r="K18" s="51"/>
    </row>
    <row r="19" spans="1:11" s="2" customFormat="1" ht="27" customHeight="1" x14ac:dyDescent="0.2">
      <c r="A19" s="505"/>
      <c r="B19" s="47" t="s">
        <v>74</v>
      </c>
      <c r="C19" s="48" t="s">
        <v>224</v>
      </c>
      <c r="D19" s="48"/>
      <c r="E19" s="48"/>
      <c r="F19" s="52" t="s">
        <v>85</v>
      </c>
      <c r="G19" s="513"/>
      <c r="H19" s="13">
        <v>10000</v>
      </c>
      <c r="I19" s="50"/>
      <c r="J19" s="50"/>
      <c r="K19" s="51"/>
    </row>
    <row r="20" spans="1:11" s="2" customFormat="1" ht="27" customHeight="1" thickBot="1" x14ac:dyDescent="0.25">
      <c r="A20" s="516" t="s">
        <v>221</v>
      </c>
      <c r="B20" s="517"/>
      <c r="C20" s="517"/>
      <c r="D20" s="517"/>
      <c r="E20" s="517"/>
      <c r="F20" s="517"/>
      <c r="G20" s="517"/>
      <c r="H20" s="53">
        <f>SUM(H13:H19)</f>
        <v>352744</v>
      </c>
      <c r="I20" s="53">
        <f>SUM(I13:I19)</f>
        <v>220589.13</v>
      </c>
      <c r="J20" s="53">
        <f>SUM(J13:J19)</f>
        <v>77732.69</v>
      </c>
      <c r="K20" s="54">
        <f>+J20/H20</f>
        <v>0.22036573265597714</v>
      </c>
    </row>
    <row r="21" spans="1:11" s="7" customFormat="1" ht="12.75" customHeight="1" thickBot="1" x14ac:dyDescent="0.25">
      <c r="A21" s="478"/>
      <c r="B21" s="478"/>
      <c r="C21" s="478"/>
      <c r="D21" s="478"/>
      <c r="E21" s="478"/>
      <c r="F21" s="478"/>
      <c r="G21" s="478"/>
      <c r="H21" s="478"/>
      <c r="I21" s="478"/>
      <c r="J21" s="478"/>
      <c r="K21" s="478"/>
    </row>
    <row r="22" spans="1:11" ht="13.5" x14ac:dyDescent="0.2">
      <c r="A22" s="482" t="s">
        <v>236</v>
      </c>
      <c r="B22" s="483"/>
      <c r="C22" s="483"/>
      <c r="D22" s="483"/>
      <c r="E22" s="483"/>
      <c r="F22" s="483"/>
      <c r="G22" s="483"/>
      <c r="H22" s="483"/>
      <c r="I22" s="483"/>
      <c r="J22" s="483"/>
      <c r="K22" s="484"/>
    </row>
    <row r="23" spans="1:11" ht="11.25" customHeight="1" x14ac:dyDescent="0.2">
      <c r="A23" s="490" t="s">
        <v>222</v>
      </c>
      <c r="B23" s="485" t="s">
        <v>227</v>
      </c>
      <c r="C23" s="485" t="s">
        <v>223</v>
      </c>
      <c r="D23" s="485"/>
      <c r="E23" s="485"/>
      <c r="F23" s="485" t="s">
        <v>225</v>
      </c>
      <c r="G23" s="485" t="s">
        <v>226</v>
      </c>
      <c r="H23" s="492" t="s">
        <v>251</v>
      </c>
      <c r="I23" s="493"/>
      <c r="J23" s="493"/>
      <c r="K23" s="494"/>
    </row>
    <row r="24" spans="1:11" ht="27.75" thickBot="1" x14ac:dyDescent="0.25">
      <c r="A24" s="491"/>
      <c r="B24" s="486"/>
      <c r="C24" s="33" t="s">
        <v>63</v>
      </c>
      <c r="D24" s="33" t="s">
        <v>64</v>
      </c>
      <c r="E24" s="33" t="s">
        <v>65</v>
      </c>
      <c r="F24" s="486"/>
      <c r="G24" s="486"/>
      <c r="H24" s="34" t="s">
        <v>228</v>
      </c>
      <c r="I24" s="33" t="s">
        <v>229</v>
      </c>
      <c r="J24" s="33" t="s">
        <v>230</v>
      </c>
      <c r="K24" s="35" t="s">
        <v>231</v>
      </c>
    </row>
    <row r="25" spans="1:11" s="2" customFormat="1" ht="24" customHeight="1" x14ac:dyDescent="0.2">
      <c r="A25" s="503" t="s">
        <v>75</v>
      </c>
      <c r="B25" s="55" t="s">
        <v>78</v>
      </c>
      <c r="C25" s="48" t="s">
        <v>224</v>
      </c>
      <c r="D25" s="48"/>
      <c r="E25" s="48"/>
      <c r="F25" s="48" t="s">
        <v>76</v>
      </c>
      <c r="G25" s="509" t="s">
        <v>77</v>
      </c>
      <c r="H25" s="13">
        <v>22217</v>
      </c>
      <c r="I25" s="13">
        <v>16660</v>
      </c>
      <c r="J25" s="13">
        <v>9996</v>
      </c>
      <c r="K25" s="56">
        <f>+J25/H25</f>
        <v>0.44992573254714857</v>
      </c>
    </row>
    <row r="26" spans="1:11" s="2" customFormat="1" ht="24" customHeight="1" x14ac:dyDescent="0.2">
      <c r="A26" s="504"/>
      <c r="B26" s="47" t="s">
        <v>79</v>
      </c>
      <c r="C26" s="48" t="s">
        <v>224</v>
      </c>
      <c r="D26" s="48"/>
      <c r="E26" s="48"/>
      <c r="F26" s="48" t="s">
        <v>76</v>
      </c>
      <c r="G26" s="512"/>
      <c r="H26" s="13">
        <v>9920</v>
      </c>
      <c r="I26" s="13">
        <v>5500</v>
      </c>
      <c r="J26" s="13">
        <v>1100</v>
      </c>
      <c r="K26" s="56">
        <f t="shared" ref="K26:K31" si="0">+J26/H26</f>
        <v>0.11088709677419355</v>
      </c>
    </row>
    <row r="27" spans="1:11" s="2" customFormat="1" ht="27.75" customHeight="1" x14ac:dyDescent="0.2">
      <c r="A27" s="504"/>
      <c r="B27" s="57" t="s">
        <v>80</v>
      </c>
      <c r="C27" s="48" t="s">
        <v>224</v>
      </c>
      <c r="D27" s="48"/>
      <c r="E27" s="48"/>
      <c r="F27" s="48" t="s">
        <v>76</v>
      </c>
      <c r="G27" s="512"/>
      <c r="H27" s="13">
        <v>42297</v>
      </c>
      <c r="I27" s="50"/>
      <c r="J27" s="50"/>
      <c r="K27" s="56">
        <f t="shared" si="0"/>
        <v>0</v>
      </c>
    </row>
    <row r="28" spans="1:11" s="2" customFormat="1" ht="23.25" customHeight="1" x14ac:dyDescent="0.2">
      <c r="A28" s="504"/>
      <c r="B28" s="47" t="s">
        <v>81</v>
      </c>
      <c r="C28" s="48" t="s">
        <v>224</v>
      </c>
      <c r="D28" s="48"/>
      <c r="E28" s="48"/>
      <c r="F28" s="48" t="s">
        <v>199</v>
      </c>
      <c r="G28" s="512"/>
      <c r="H28" s="13">
        <v>13144</v>
      </c>
      <c r="I28" s="13">
        <v>21767</v>
      </c>
      <c r="J28" s="13">
        <v>21767</v>
      </c>
      <c r="K28" s="56">
        <f t="shared" si="0"/>
        <v>1.6560407790626901</v>
      </c>
    </row>
    <row r="29" spans="1:11" s="2" customFormat="1" ht="24" customHeight="1" x14ac:dyDescent="0.2">
      <c r="A29" s="504"/>
      <c r="B29" s="47" t="s">
        <v>82</v>
      </c>
      <c r="C29" s="48" t="s">
        <v>224</v>
      </c>
      <c r="D29" s="48"/>
      <c r="E29" s="48"/>
      <c r="F29" s="48" t="s">
        <v>199</v>
      </c>
      <c r="G29" s="512"/>
      <c r="H29" s="13">
        <v>15900</v>
      </c>
      <c r="I29" s="13">
        <v>4879</v>
      </c>
      <c r="J29" s="13">
        <v>4879</v>
      </c>
      <c r="K29" s="56">
        <f t="shared" si="0"/>
        <v>0.30685534591194968</v>
      </c>
    </row>
    <row r="30" spans="1:11" s="2" customFormat="1" ht="26.25" customHeight="1" x14ac:dyDescent="0.2">
      <c r="A30" s="505"/>
      <c r="B30" s="47" t="s">
        <v>83</v>
      </c>
      <c r="C30" s="48" t="s">
        <v>224</v>
      </c>
      <c r="D30" s="48"/>
      <c r="E30" s="48"/>
      <c r="F30" s="48" t="s">
        <v>85</v>
      </c>
      <c r="G30" s="513"/>
      <c r="H30" s="13">
        <v>4000</v>
      </c>
      <c r="I30" s="50"/>
      <c r="J30" s="50"/>
      <c r="K30" s="56">
        <f t="shared" si="0"/>
        <v>0</v>
      </c>
    </row>
    <row r="31" spans="1:11" s="2" customFormat="1" ht="27" customHeight="1" thickBot="1" x14ac:dyDescent="0.25">
      <c r="A31" s="476" t="s">
        <v>221</v>
      </c>
      <c r="B31" s="477"/>
      <c r="C31" s="477"/>
      <c r="D31" s="477"/>
      <c r="E31" s="477"/>
      <c r="F31" s="477"/>
      <c r="G31" s="477"/>
      <c r="H31" s="58">
        <f>SUM(H25:H30)</f>
        <v>107478</v>
      </c>
      <c r="I31" s="58">
        <f>+SUM(I25:I30)</f>
        <v>48806</v>
      </c>
      <c r="J31" s="58">
        <f>+SUM(J25:J30)</f>
        <v>37742</v>
      </c>
      <c r="K31" s="56">
        <f t="shared" si="0"/>
        <v>0.35116023744394204</v>
      </c>
    </row>
    <row r="32" spans="1:11" s="2" customFormat="1" ht="12.75" customHeight="1" thickBot="1" x14ac:dyDescent="0.25">
      <c r="A32" s="478"/>
      <c r="B32" s="478"/>
      <c r="C32" s="478"/>
      <c r="D32" s="478"/>
      <c r="E32" s="478"/>
      <c r="F32" s="478"/>
      <c r="G32" s="478"/>
      <c r="H32" s="478"/>
      <c r="I32" s="478"/>
      <c r="J32" s="478"/>
      <c r="K32" s="478"/>
    </row>
    <row r="33" spans="1:11" ht="13.5" x14ac:dyDescent="0.2">
      <c r="A33" s="482" t="s">
        <v>237</v>
      </c>
      <c r="B33" s="483"/>
      <c r="C33" s="483"/>
      <c r="D33" s="483"/>
      <c r="E33" s="483"/>
      <c r="F33" s="483"/>
      <c r="G33" s="483"/>
      <c r="H33" s="483"/>
      <c r="I33" s="483"/>
      <c r="J33" s="483"/>
      <c r="K33" s="484"/>
    </row>
    <row r="34" spans="1:11" ht="11.25" customHeight="1" x14ac:dyDescent="0.2">
      <c r="A34" s="490" t="s">
        <v>222</v>
      </c>
      <c r="B34" s="485" t="s">
        <v>227</v>
      </c>
      <c r="C34" s="485" t="s">
        <v>223</v>
      </c>
      <c r="D34" s="485"/>
      <c r="E34" s="485"/>
      <c r="F34" s="485" t="s">
        <v>225</v>
      </c>
      <c r="G34" s="485" t="s">
        <v>226</v>
      </c>
      <c r="H34" s="492" t="s">
        <v>251</v>
      </c>
      <c r="I34" s="493"/>
      <c r="J34" s="493"/>
      <c r="K34" s="494"/>
    </row>
    <row r="35" spans="1:11" ht="27.75" thickBot="1" x14ac:dyDescent="0.25">
      <c r="A35" s="491"/>
      <c r="B35" s="486"/>
      <c r="C35" s="33" t="s">
        <v>63</v>
      </c>
      <c r="D35" s="33" t="s">
        <v>64</v>
      </c>
      <c r="E35" s="33" t="s">
        <v>65</v>
      </c>
      <c r="F35" s="486"/>
      <c r="G35" s="486"/>
      <c r="H35" s="34" t="s">
        <v>228</v>
      </c>
      <c r="I35" s="33" t="s">
        <v>229</v>
      </c>
      <c r="J35" s="33" t="s">
        <v>230</v>
      </c>
      <c r="K35" s="35" t="s">
        <v>231</v>
      </c>
    </row>
    <row r="36" spans="1:11" s="2" customFormat="1" ht="24" customHeight="1" x14ac:dyDescent="0.25">
      <c r="A36" s="510" t="s">
        <v>84</v>
      </c>
      <c r="B36" s="47" t="s">
        <v>87</v>
      </c>
      <c r="C36" s="48" t="s">
        <v>224</v>
      </c>
      <c r="D36" s="48"/>
      <c r="E36" s="48"/>
      <c r="F36" s="48" t="s">
        <v>85</v>
      </c>
      <c r="G36" s="485" t="s">
        <v>86</v>
      </c>
      <c r="H36" s="59">
        <v>10000</v>
      </c>
      <c r="I36" s="23">
        <v>0</v>
      </c>
      <c r="J36" s="23">
        <v>0</v>
      </c>
      <c r="K36" s="60"/>
    </row>
    <row r="37" spans="1:11" s="2" customFormat="1" ht="24.75" customHeight="1" x14ac:dyDescent="0.25">
      <c r="A37" s="510"/>
      <c r="B37" s="47" t="s">
        <v>88</v>
      </c>
      <c r="C37" s="48" t="s">
        <v>224</v>
      </c>
      <c r="D37" s="48"/>
      <c r="E37" s="48"/>
      <c r="F37" s="48" t="s">
        <v>85</v>
      </c>
      <c r="G37" s="485"/>
      <c r="H37" s="59">
        <v>20000</v>
      </c>
      <c r="I37" s="23">
        <v>0</v>
      </c>
      <c r="J37" s="23">
        <v>0</v>
      </c>
      <c r="K37" s="60"/>
    </row>
    <row r="38" spans="1:11" s="2" customFormat="1" ht="66.75" customHeight="1" x14ac:dyDescent="0.25">
      <c r="A38" s="510"/>
      <c r="B38" s="47" t="s">
        <v>89</v>
      </c>
      <c r="C38" s="48" t="s">
        <v>224</v>
      </c>
      <c r="D38" s="48"/>
      <c r="E38" s="48"/>
      <c r="F38" s="48" t="s">
        <v>179</v>
      </c>
      <c r="G38" s="485"/>
      <c r="H38" s="59">
        <v>12500</v>
      </c>
      <c r="I38" s="23">
        <v>0</v>
      </c>
      <c r="J38" s="23">
        <v>0</v>
      </c>
      <c r="K38" s="60"/>
    </row>
    <row r="39" spans="1:11" s="2" customFormat="1" ht="39.75" customHeight="1" x14ac:dyDescent="0.25">
      <c r="A39" s="510"/>
      <c r="B39" s="47" t="s">
        <v>90</v>
      </c>
      <c r="C39" s="48" t="s">
        <v>224</v>
      </c>
      <c r="D39" s="48"/>
      <c r="E39" s="48"/>
      <c r="F39" s="48" t="s">
        <v>199</v>
      </c>
      <c r="G39" s="485"/>
      <c r="H39" s="59">
        <v>9858</v>
      </c>
      <c r="I39" s="23">
        <v>0</v>
      </c>
      <c r="J39" s="23">
        <v>0</v>
      </c>
      <c r="K39" s="60"/>
    </row>
    <row r="40" spans="1:11" s="2" customFormat="1" ht="27" customHeight="1" thickBot="1" x14ac:dyDescent="0.3">
      <c r="A40" s="476" t="s">
        <v>221</v>
      </c>
      <c r="B40" s="477"/>
      <c r="C40" s="477"/>
      <c r="D40" s="477"/>
      <c r="E40" s="477"/>
      <c r="F40" s="477"/>
      <c r="G40" s="477"/>
      <c r="H40" s="61">
        <f>SUM(H36:H39)</f>
        <v>52358</v>
      </c>
      <c r="I40" s="62">
        <f>+SUM(I36:I39)</f>
        <v>0</v>
      </c>
      <c r="J40" s="62">
        <f>+SUM(J36:J39)</f>
        <v>0</v>
      </c>
      <c r="K40" s="63"/>
    </row>
    <row r="41" spans="1:11" s="2" customFormat="1" ht="12.75" customHeight="1" thickBot="1" x14ac:dyDescent="0.25">
      <c r="A41" s="478"/>
      <c r="B41" s="478"/>
      <c r="C41" s="478"/>
      <c r="D41" s="478"/>
      <c r="E41" s="478"/>
      <c r="F41" s="478"/>
      <c r="G41" s="478"/>
      <c r="H41" s="478"/>
      <c r="I41" s="478"/>
      <c r="J41" s="478"/>
      <c r="K41" s="478"/>
    </row>
    <row r="42" spans="1:11" ht="13.5" x14ac:dyDescent="0.2">
      <c r="A42" s="482" t="s">
        <v>238</v>
      </c>
      <c r="B42" s="483"/>
      <c r="C42" s="483"/>
      <c r="D42" s="483"/>
      <c r="E42" s="483"/>
      <c r="F42" s="483"/>
      <c r="G42" s="483"/>
      <c r="H42" s="483"/>
      <c r="I42" s="483"/>
      <c r="J42" s="483"/>
      <c r="K42" s="484"/>
    </row>
    <row r="43" spans="1:11" ht="11.25" customHeight="1" x14ac:dyDescent="0.2">
      <c r="A43" s="490" t="s">
        <v>222</v>
      </c>
      <c r="B43" s="485" t="s">
        <v>227</v>
      </c>
      <c r="C43" s="485" t="s">
        <v>223</v>
      </c>
      <c r="D43" s="485"/>
      <c r="E43" s="485"/>
      <c r="F43" s="485" t="s">
        <v>225</v>
      </c>
      <c r="G43" s="485" t="s">
        <v>226</v>
      </c>
      <c r="H43" s="492" t="s">
        <v>251</v>
      </c>
      <c r="I43" s="493"/>
      <c r="J43" s="493"/>
      <c r="K43" s="494"/>
    </row>
    <row r="44" spans="1:11" ht="27.75" thickBot="1" x14ac:dyDescent="0.25">
      <c r="A44" s="491"/>
      <c r="B44" s="486"/>
      <c r="C44" s="33" t="s">
        <v>63</v>
      </c>
      <c r="D44" s="33" t="s">
        <v>64</v>
      </c>
      <c r="E44" s="33" t="s">
        <v>65</v>
      </c>
      <c r="F44" s="486"/>
      <c r="G44" s="486"/>
      <c r="H44" s="34" t="s">
        <v>228</v>
      </c>
      <c r="I44" s="33" t="s">
        <v>229</v>
      </c>
      <c r="J44" s="33" t="s">
        <v>230</v>
      </c>
      <c r="K44" s="35" t="s">
        <v>231</v>
      </c>
    </row>
    <row r="45" spans="1:11" s="2" customFormat="1" ht="52.5" customHeight="1" x14ac:dyDescent="0.25">
      <c r="A45" s="510" t="s">
        <v>91</v>
      </c>
      <c r="B45" s="47" t="s">
        <v>93</v>
      </c>
      <c r="C45" s="48" t="s">
        <v>224</v>
      </c>
      <c r="D45" s="48"/>
      <c r="E45" s="48"/>
      <c r="F45" s="48" t="s">
        <v>76</v>
      </c>
      <c r="G45" s="509" t="s">
        <v>92</v>
      </c>
      <c r="H45" s="59">
        <v>29420</v>
      </c>
      <c r="I45" s="23">
        <v>0</v>
      </c>
      <c r="J45" s="23">
        <v>0</v>
      </c>
      <c r="K45" s="60"/>
    </row>
    <row r="46" spans="1:11" ht="66.75" customHeight="1" x14ac:dyDescent="0.25">
      <c r="A46" s="510"/>
      <c r="B46" s="47" t="s">
        <v>94</v>
      </c>
      <c r="C46" s="48"/>
      <c r="D46" s="48" t="s">
        <v>224</v>
      </c>
      <c r="E46" s="48"/>
      <c r="F46" s="48" t="s">
        <v>76</v>
      </c>
      <c r="G46" s="512"/>
      <c r="H46" s="59">
        <v>22917</v>
      </c>
      <c r="I46" s="23">
        <v>0</v>
      </c>
      <c r="J46" s="23">
        <v>0</v>
      </c>
      <c r="K46" s="60"/>
    </row>
    <row r="47" spans="1:11" ht="48" customHeight="1" x14ac:dyDescent="0.25">
      <c r="A47" s="515"/>
      <c r="B47" s="57" t="s">
        <v>95</v>
      </c>
      <c r="C47" s="48"/>
      <c r="D47" s="48"/>
      <c r="E47" s="48" t="s">
        <v>224</v>
      </c>
      <c r="F47" s="48" t="s">
        <v>76</v>
      </c>
      <c r="G47" s="512"/>
      <c r="H47" s="59">
        <v>17717</v>
      </c>
      <c r="I47" s="23">
        <v>0</v>
      </c>
      <c r="J47" s="23">
        <v>0</v>
      </c>
      <c r="K47" s="60"/>
    </row>
    <row r="48" spans="1:11" s="2" customFormat="1" ht="27" x14ac:dyDescent="0.25">
      <c r="A48" s="515"/>
      <c r="B48" s="47" t="s">
        <v>96</v>
      </c>
      <c r="C48" s="48"/>
      <c r="D48" s="48" t="s">
        <v>224</v>
      </c>
      <c r="E48" s="48"/>
      <c r="F48" s="48" t="s">
        <v>67</v>
      </c>
      <c r="G48" s="512"/>
      <c r="H48" s="59">
        <v>10000</v>
      </c>
      <c r="I48" s="23">
        <v>0</v>
      </c>
      <c r="J48" s="23">
        <v>0</v>
      </c>
      <c r="K48" s="60"/>
    </row>
    <row r="49" spans="1:11" s="2" customFormat="1" ht="27" x14ac:dyDescent="0.25">
      <c r="A49" s="515"/>
      <c r="B49" s="57" t="s">
        <v>97</v>
      </c>
      <c r="C49" s="48"/>
      <c r="D49" s="48" t="s">
        <v>224</v>
      </c>
      <c r="E49" s="48"/>
      <c r="F49" s="48" t="s">
        <v>85</v>
      </c>
      <c r="G49" s="512"/>
      <c r="H49" s="59">
        <v>10000</v>
      </c>
      <c r="I49" s="23">
        <v>0</v>
      </c>
      <c r="J49" s="23">
        <v>0</v>
      </c>
      <c r="K49" s="60"/>
    </row>
    <row r="50" spans="1:11" s="2" customFormat="1" ht="64.5" customHeight="1" x14ac:dyDescent="0.25">
      <c r="A50" s="515"/>
      <c r="B50" s="57" t="s">
        <v>98</v>
      </c>
      <c r="C50" s="48"/>
      <c r="D50" s="48"/>
      <c r="E50" s="48" t="s">
        <v>224</v>
      </c>
      <c r="F50" s="48" t="s">
        <v>67</v>
      </c>
      <c r="G50" s="512"/>
      <c r="H50" s="59">
        <v>8000</v>
      </c>
      <c r="I50" s="23">
        <v>0</v>
      </c>
      <c r="J50" s="23">
        <v>0</v>
      </c>
      <c r="K50" s="60"/>
    </row>
    <row r="51" spans="1:11" s="2" customFormat="1" ht="50.25" customHeight="1" x14ac:dyDescent="0.25">
      <c r="A51" s="515"/>
      <c r="B51" s="55" t="s">
        <v>99</v>
      </c>
      <c r="C51" s="48"/>
      <c r="D51" s="48" t="s">
        <v>224</v>
      </c>
      <c r="E51" s="48"/>
      <c r="F51" s="48" t="s">
        <v>85</v>
      </c>
      <c r="G51" s="513"/>
      <c r="H51" s="59">
        <v>10000</v>
      </c>
      <c r="I51" s="23">
        <v>0</v>
      </c>
      <c r="J51" s="23">
        <v>0</v>
      </c>
      <c r="K51" s="60"/>
    </row>
    <row r="52" spans="1:11" s="2" customFormat="1" ht="27" customHeight="1" thickBot="1" x14ac:dyDescent="0.3">
      <c r="A52" s="476" t="s">
        <v>221</v>
      </c>
      <c r="B52" s="477"/>
      <c r="C52" s="477"/>
      <c r="D52" s="477"/>
      <c r="E52" s="477"/>
      <c r="F52" s="477"/>
      <c r="G52" s="477"/>
      <c r="H52" s="61">
        <f>SUM(H45:H51)</f>
        <v>108054</v>
      </c>
      <c r="I52" s="62">
        <f>+SUM(I45:I51)</f>
        <v>0</v>
      </c>
      <c r="J52" s="62">
        <f>+SUM(J45:J51)</f>
        <v>0</v>
      </c>
      <c r="K52" s="63"/>
    </row>
    <row r="53" spans="1:11" s="2" customFormat="1" ht="12.75" customHeight="1" thickBot="1" x14ac:dyDescent="0.25">
      <c r="A53" s="478"/>
      <c r="B53" s="478"/>
      <c r="C53" s="478"/>
      <c r="D53" s="478"/>
      <c r="E53" s="478"/>
      <c r="F53" s="478"/>
      <c r="G53" s="478"/>
      <c r="H53" s="478"/>
      <c r="I53" s="478"/>
      <c r="J53" s="478"/>
      <c r="K53" s="478"/>
    </row>
    <row r="54" spans="1:11" ht="13.5" x14ac:dyDescent="0.2">
      <c r="A54" s="482" t="s">
        <v>239</v>
      </c>
      <c r="B54" s="483"/>
      <c r="C54" s="483"/>
      <c r="D54" s="483"/>
      <c r="E54" s="483"/>
      <c r="F54" s="483"/>
      <c r="G54" s="483"/>
      <c r="H54" s="483"/>
      <c r="I54" s="483"/>
      <c r="J54" s="483"/>
      <c r="K54" s="484"/>
    </row>
    <row r="55" spans="1:11" ht="11.25" customHeight="1" x14ac:dyDescent="0.2">
      <c r="A55" s="490" t="s">
        <v>222</v>
      </c>
      <c r="B55" s="485" t="s">
        <v>227</v>
      </c>
      <c r="C55" s="485" t="s">
        <v>223</v>
      </c>
      <c r="D55" s="485"/>
      <c r="E55" s="485"/>
      <c r="F55" s="485" t="s">
        <v>225</v>
      </c>
      <c r="G55" s="485" t="s">
        <v>226</v>
      </c>
      <c r="H55" s="492" t="s">
        <v>251</v>
      </c>
      <c r="I55" s="493"/>
      <c r="J55" s="493"/>
      <c r="K55" s="494"/>
    </row>
    <row r="56" spans="1:11" ht="27.75" thickBot="1" x14ac:dyDescent="0.25">
      <c r="A56" s="491"/>
      <c r="B56" s="486"/>
      <c r="C56" s="33" t="s">
        <v>63</v>
      </c>
      <c r="D56" s="33" t="s">
        <v>64</v>
      </c>
      <c r="E56" s="33" t="s">
        <v>65</v>
      </c>
      <c r="F56" s="486"/>
      <c r="G56" s="486"/>
      <c r="H56" s="34" t="s">
        <v>228</v>
      </c>
      <c r="I56" s="33" t="s">
        <v>229</v>
      </c>
      <c r="J56" s="33" t="s">
        <v>230</v>
      </c>
      <c r="K56" s="35" t="s">
        <v>231</v>
      </c>
    </row>
    <row r="57" spans="1:11" s="2" customFormat="1" ht="47.25" customHeight="1" x14ac:dyDescent="0.25">
      <c r="A57" s="514" t="s">
        <v>100</v>
      </c>
      <c r="B57" s="55" t="s">
        <v>102</v>
      </c>
      <c r="C57" s="48"/>
      <c r="D57" s="48" t="s">
        <v>224</v>
      </c>
      <c r="E57" s="48"/>
      <c r="F57" s="48" t="s">
        <v>85</v>
      </c>
      <c r="G57" s="485" t="s">
        <v>101</v>
      </c>
      <c r="H57" s="64">
        <v>10000</v>
      </c>
      <c r="I57" s="65">
        <v>0</v>
      </c>
      <c r="J57" s="65">
        <v>0</v>
      </c>
      <c r="K57" s="66"/>
    </row>
    <row r="58" spans="1:11" s="2" customFormat="1" ht="37.5" customHeight="1" x14ac:dyDescent="0.25">
      <c r="A58" s="514"/>
      <c r="B58" s="47" t="s">
        <v>103</v>
      </c>
      <c r="C58" s="48"/>
      <c r="D58" s="48" t="s">
        <v>224</v>
      </c>
      <c r="E58" s="48"/>
      <c r="F58" s="48" t="s">
        <v>85</v>
      </c>
      <c r="G58" s="485"/>
      <c r="H58" s="59">
        <v>10000</v>
      </c>
      <c r="I58" s="65">
        <v>0</v>
      </c>
      <c r="J58" s="65">
        <v>0</v>
      </c>
      <c r="K58" s="60"/>
    </row>
    <row r="59" spans="1:11" ht="58.5" customHeight="1" x14ac:dyDescent="0.25">
      <c r="A59" s="514"/>
      <c r="B59" s="47" t="s">
        <v>104</v>
      </c>
      <c r="C59" s="48"/>
      <c r="D59" s="48" t="s">
        <v>224</v>
      </c>
      <c r="E59" s="48"/>
      <c r="F59" s="48" t="s">
        <v>76</v>
      </c>
      <c r="G59" s="485"/>
      <c r="H59" s="59">
        <v>39420</v>
      </c>
      <c r="I59" s="65">
        <v>0</v>
      </c>
      <c r="J59" s="65">
        <v>0</v>
      </c>
      <c r="K59" s="60"/>
    </row>
    <row r="60" spans="1:11" ht="49.5" customHeight="1" x14ac:dyDescent="0.25">
      <c r="A60" s="514"/>
      <c r="B60" s="47" t="s">
        <v>106</v>
      </c>
      <c r="C60" s="48"/>
      <c r="D60" s="48"/>
      <c r="E60" s="48" t="s">
        <v>224</v>
      </c>
      <c r="F60" s="48" t="s">
        <v>76</v>
      </c>
      <c r="G60" s="485"/>
      <c r="H60" s="59">
        <v>9500</v>
      </c>
      <c r="I60" s="65">
        <v>0</v>
      </c>
      <c r="J60" s="65">
        <v>0</v>
      </c>
      <c r="K60" s="60"/>
    </row>
    <row r="61" spans="1:11" s="2" customFormat="1" ht="60" customHeight="1" x14ac:dyDescent="0.25">
      <c r="A61" s="514"/>
      <c r="B61" s="57" t="s">
        <v>107</v>
      </c>
      <c r="C61" s="48"/>
      <c r="D61" s="48"/>
      <c r="E61" s="48" t="s">
        <v>224</v>
      </c>
      <c r="F61" s="48" t="s">
        <v>85</v>
      </c>
      <c r="G61" s="485"/>
      <c r="H61" s="59">
        <v>10000</v>
      </c>
      <c r="I61" s="65">
        <v>0</v>
      </c>
      <c r="J61" s="65">
        <v>0</v>
      </c>
      <c r="K61" s="60"/>
    </row>
    <row r="62" spans="1:11" s="2" customFormat="1" ht="74.25" customHeight="1" x14ac:dyDescent="0.25">
      <c r="A62" s="514"/>
      <c r="B62" s="57" t="s">
        <v>252</v>
      </c>
      <c r="C62" s="48"/>
      <c r="D62" s="48"/>
      <c r="E62" s="48" t="s">
        <v>224</v>
      </c>
      <c r="F62" s="48" t="s">
        <v>85</v>
      </c>
      <c r="G62" s="485"/>
      <c r="H62" s="59">
        <v>20000</v>
      </c>
      <c r="I62" s="65">
        <v>0</v>
      </c>
      <c r="J62" s="65">
        <v>0</v>
      </c>
      <c r="K62" s="60"/>
    </row>
    <row r="63" spans="1:11" s="2" customFormat="1" ht="27" customHeight="1" thickBot="1" x14ac:dyDescent="0.3">
      <c r="A63" s="476" t="s">
        <v>221</v>
      </c>
      <c r="B63" s="477"/>
      <c r="C63" s="477"/>
      <c r="D63" s="477"/>
      <c r="E63" s="477"/>
      <c r="F63" s="477"/>
      <c r="G63" s="477"/>
      <c r="H63" s="61">
        <f>SUM(H57:H62)</f>
        <v>98920</v>
      </c>
      <c r="I63" s="62">
        <f>+SUM(I57:I62)</f>
        <v>0</v>
      </c>
      <c r="J63" s="62">
        <f>+SUM(J57:J62)</f>
        <v>0</v>
      </c>
      <c r="K63" s="63"/>
    </row>
    <row r="64" spans="1:11" s="2" customFormat="1" ht="12.75" customHeight="1" thickBot="1" x14ac:dyDescent="0.25">
      <c r="A64" s="478"/>
      <c r="B64" s="478"/>
      <c r="C64" s="478"/>
      <c r="D64" s="478"/>
      <c r="E64" s="478"/>
      <c r="F64" s="478"/>
      <c r="G64" s="478"/>
      <c r="H64" s="478"/>
      <c r="I64" s="478"/>
      <c r="J64" s="478"/>
      <c r="K64" s="478"/>
    </row>
    <row r="65" spans="1:11" ht="13.5" x14ac:dyDescent="0.2">
      <c r="A65" s="482" t="s">
        <v>240</v>
      </c>
      <c r="B65" s="483"/>
      <c r="C65" s="483"/>
      <c r="D65" s="483"/>
      <c r="E65" s="483"/>
      <c r="F65" s="483"/>
      <c r="G65" s="483"/>
      <c r="H65" s="483"/>
      <c r="I65" s="483"/>
      <c r="J65" s="483"/>
      <c r="K65" s="484"/>
    </row>
    <row r="66" spans="1:11" ht="11.25" customHeight="1" x14ac:dyDescent="0.2">
      <c r="A66" s="490" t="s">
        <v>222</v>
      </c>
      <c r="B66" s="485" t="s">
        <v>227</v>
      </c>
      <c r="C66" s="485" t="s">
        <v>223</v>
      </c>
      <c r="D66" s="485"/>
      <c r="E66" s="485"/>
      <c r="F66" s="485" t="s">
        <v>225</v>
      </c>
      <c r="G66" s="485" t="s">
        <v>226</v>
      </c>
      <c r="H66" s="492" t="s">
        <v>251</v>
      </c>
      <c r="I66" s="493"/>
      <c r="J66" s="493"/>
      <c r="K66" s="494"/>
    </row>
    <row r="67" spans="1:11" ht="27.75" thickBot="1" x14ac:dyDescent="0.25">
      <c r="A67" s="491"/>
      <c r="B67" s="486"/>
      <c r="C67" s="33" t="s">
        <v>63</v>
      </c>
      <c r="D67" s="33" t="s">
        <v>64</v>
      </c>
      <c r="E67" s="33" t="s">
        <v>65</v>
      </c>
      <c r="F67" s="486"/>
      <c r="G67" s="486"/>
      <c r="H67" s="34" t="s">
        <v>228</v>
      </c>
      <c r="I67" s="33" t="s">
        <v>229</v>
      </c>
      <c r="J67" s="33" t="s">
        <v>230</v>
      </c>
      <c r="K67" s="35" t="s">
        <v>231</v>
      </c>
    </row>
    <row r="68" spans="1:11" s="2" customFormat="1" ht="27" x14ac:dyDescent="0.25">
      <c r="A68" s="503" t="s">
        <v>108</v>
      </c>
      <c r="B68" s="47" t="s">
        <v>110</v>
      </c>
      <c r="C68" s="48" t="s">
        <v>224</v>
      </c>
      <c r="D68" s="48" t="s">
        <v>224</v>
      </c>
      <c r="E68" s="48"/>
      <c r="F68" s="48" t="s">
        <v>67</v>
      </c>
      <c r="G68" s="509" t="s">
        <v>109</v>
      </c>
      <c r="H68" s="59">
        <v>30000</v>
      </c>
      <c r="I68" s="23">
        <v>0</v>
      </c>
      <c r="J68" s="23">
        <v>0</v>
      </c>
      <c r="K68" s="60"/>
    </row>
    <row r="69" spans="1:11" s="2" customFormat="1" ht="40.5" x14ac:dyDescent="0.25">
      <c r="A69" s="504"/>
      <c r="B69" s="57" t="s">
        <v>111</v>
      </c>
      <c r="C69" s="48"/>
      <c r="D69" s="48" t="s">
        <v>224</v>
      </c>
      <c r="E69" s="48"/>
      <c r="F69" s="48" t="s">
        <v>67</v>
      </c>
      <c r="G69" s="512"/>
      <c r="H69" s="59">
        <v>20000</v>
      </c>
      <c r="I69" s="23">
        <v>0</v>
      </c>
      <c r="J69" s="23">
        <v>0</v>
      </c>
      <c r="K69" s="60"/>
    </row>
    <row r="70" spans="1:11" s="2" customFormat="1" ht="27" x14ac:dyDescent="0.25">
      <c r="A70" s="504"/>
      <c r="B70" s="47" t="s">
        <v>112</v>
      </c>
      <c r="C70" s="48"/>
      <c r="D70" s="48" t="s">
        <v>224</v>
      </c>
      <c r="E70" s="48"/>
      <c r="F70" s="48" t="s">
        <v>67</v>
      </c>
      <c r="G70" s="512"/>
      <c r="H70" s="59">
        <v>40000</v>
      </c>
      <c r="I70" s="23">
        <v>0</v>
      </c>
      <c r="J70" s="23">
        <v>0</v>
      </c>
      <c r="K70" s="60"/>
    </row>
    <row r="71" spans="1:11" s="2" customFormat="1" ht="40.5" x14ac:dyDescent="0.25">
      <c r="A71" s="504"/>
      <c r="B71" s="57" t="s">
        <v>113</v>
      </c>
      <c r="C71" s="48"/>
      <c r="D71" s="48" t="s">
        <v>224</v>
      </c>
      <c r="E71" s="48"/>
      <c r="F71" s="48" t="s">
        <v>179</v>
      </c>
      <c r="G71" s="513"/>
      <c r="H71" s="59">
        <v>60000</v>
      </c>
      <c r="I71" s="23">
        <v>0</v>
      </c>
      <c r="J71" s="23">
        <v>0</v>
      </c>
      <c r="K71" s="60"/>
    </row>
    <row r="72" spans="1:11" s="2" customFormat="1" ht="40.5" x14ac:dyDescent="0.25">
      <c r="A72" s="504"/>
      <c r="B72" s="57" t="s">
        <v>114</v>
      </c>
      <c r="C72" s="48"/>
      <c r="D72" s="48"/>
      <c r="E72" s="48" t="s">
        <v>224</v>
      </c>
      <c r="F72" s="48" t="s">
        <v>171</v>
      </c>
      <c r="G72" s="509" t="s">
        <v>109</v>
      </c>
      <c r="H72" s="59">
        <v>10500</v>
      </c>
      <c r="I72" s="23">
        <v>0</v>
      </c>
      <c r="J72" s="23">
        <v>0</v>
      </c>
      <c r="K72" s="60"/>
    </row>
    <row r="73" spans="1:11" s="2" customFormat="1" ht="40.5" x14ac:dyDescent="0.25">
      <c r="A73" s="504"/>
      <c r="B73" s="57" t="s">
        <v>115</v>
      </c>
      <c r="C73" s="48"/>
      <c r="D73" s="48" t="s">
        <v>224</v>
      </c>
      <c r="E73" s="48"/>
      <c r="F73" s="48" t="s">
        <v>199</v>
      </c>
      <c r="G73" s="512"/>
      <c r="H73" s="59">
        <v>26000</v>
      </c>
      <c r="I73" s="23">
        <v>0</v>
      </c>
      <c r="J73" s="23">
        <v>0</v>
      </c>
      <c r="K73" s="60"/>
    </row>
    <row r="74" spans="1:11" ht="27" x14ac:dyDescent="0.25">
      <c r="A74" s="504"/>
      <c r="B74" s="57" t="s">
        <v>116</v>
      </c>
      <c r="C74" s="48"/>
      <c r="D74" s="48" t="s">
        <v>224</v>
      </c>
      <c r="E74" s="48"/>
      <c r="F74" s="48" t="s">
        <v>76</v>
      </c>
      <c r="G74" s="512"/>
      <c r="H74" s="59">
        <v>11420</v>
      </c>
      <c r="I74" s="23">
        <v>0</v>
      </c>
      <c r="J74" s="23">
        <v>0</v>
      </c>
      <c r="K74" s="60"/>
    </row>
    <row r="75" spans="1:11" s="2" customFormat="1" ht="27" x14ac:dyDescent="0.25">
      <c r="A75" s="504"/>
      <c r="B75" s="57" t="s">
        <v>117</v>
      </c>
      <c r="C75" s="48"/>
      <c r="D75" s="48"/>
      <c r="E75" s="48" t="s">
        <v>224</v>
      </c>
      <c r="F75" s="48" t="s">
        <v>199</v>
      </c>
      <c r="G75" s="512"/>
      <c r="H75" s="59">
        <v>5500</v>
      </c>
      <c r="I75" s="23">
        <v>0</v>
      </c>
      <c r="J75" s="23">
        <v>0</v>
      </c>
      <c r="K75" s="60"/>
    </row>
    <row r="76" spans="1:11" s="2" customFormat="1" ht="13.5" x14ac:dyDescent="0.25">
      <c r="A76" s="504"/>
      <c r="B76" s="47" t="s">
        <v>118</v>
      </c>
      <c r="C76" s="48"/>
      <c r="D76" s="48"/>
      <c r="E76" s="48" t="s">
        <v>224</v>
      </c>
      <c r="F76" s="48" t="s">
        <v>85</v>
      </c>
      <c r="G76" s="512"/>
      <c r="H76" s="59">
        <v>10000</v>
      </c>
      <c r="I76" s="23">
        <v>0</v>
      </c>
      <c r="J76" s="23">
        <v>0</v>
      </c>
      <c r="K76" s="60"/>
    </row>
    <row r="77" spans="1:11" s="2" customFormat="1" ht="40.5" x14ac:dyDescent="0.25">
      <c r="A77" s="504"/>
      <c r="B77" s="47" t="s">
        <v>119</v>
      </c>
      <c r="C77" s="48"/>
      <c r="D77" s="48"/>
      <c r="E77" s="48" t="s">
        <v>224</v>
      </c>
      <c r="F77" s="48" t="s">
        <v>85</v>
      </c>
      <c r="G77" s="512"/>
      <c r="H77" s="59">
        <v>10000</v>
      </c>
      <c r="I77" s="23">
        <v>0</v>
      </c>
      <c r="J77" s="23">
        <v>0</v>
      </c>
      <c r="K77" s="60"/>
    </row>
    <row r="78" spans="1:11" s="2" customFormat="1" ht="27" x14ac:dyDescent="0.25">
      <c r="A78" s="504"/>
      <c r="B78" s="47" t="s">
        <v>120</v>
      </c>
      <c r="C78" s="48"/>
      <c r="D78" s="48"/>
      <c r="E78" s="48" t="s">
        <v>224</v>
      </c>
      <c r="F78" s="48" t="s">
        <v>199</v>
      </c>
      <c r="G78" s="512"/>
      <c r="H78" s="59">
        <v>17000</v>
      </c>
      <c r="I78" s="23">
        <v>0</v>
      </c>
      <c r="J78" s="23">
        <v>0</v>
      </c>
      <c r="K78" s="60"/>
    </row>
    <row r="79" spans="1:11" s="2" customFormat="1" ht="27" x14ac:dyDescent="0.25">
      <c r="A79" s="504"/>
      <c r="B79" s="47" t="s">
        <v>121</v>
      </c>
      <c r="C79" s="48"/>
      <c r="D79" s="48"/>
      <c r="E79" s="48" t="s">
        <v>224</v>
      </c>
      <c r="F79" s="48" t="s">
        <v>199</v>
      </c>
      <c r="G79" s="512"/>
      <c r="H79" s="59">
        <v>8000</v>
      </c>
      <c r="I79" s="23">
        <v>0</v>
      </c>
      <c r="J79" s="23">
        <v>0</v>
      </c>
      <c r="K79" s="60"/>
    </row>
    <row r="80" spans="1:11" s="2" customFormat="1" ht="13.5" x14ac:dyDescent="0.25">
      <c r="A80" s="504"/>
      <c r="B80" s="57" t="s">
        <v>122</v>
      </c>
      <c r="C80" s="48"/>
      <c r="D80" s="48" t="s">
        <v>224</v>
      </c>
      <c r="E80" s="48"/>
      <c r="F80" s="48" t="s">
        <v>199</v>
      </c>
      <c r="G80" s="512"/>
      <c r="H80" s="59">
        <v>31800</v>
      </c>
      <c r="I80" s="23">
        <v>0</v>
      </c>
      <c r="J80" s="23">
        <v>0</v>
      </c>
      <c r="K80" s="60"/>
    </row>
    <row r="81" spans="1:11" s="2" customFormat="1" ht="27" x14ac:dyDescent="0.25">
      <c r="A81" s="504"/>
      <c r="B81" s="57" t="s">
        <v>123</v>
      </c>
      <c r="C81" s="48"/>
      <c r="D81" s="48"/>
      <c r="E81" s="48" t="s">
        <v>224</v>
      </c>
      <c r="F81" s="48" t="s">
        <v>67</v>
      </c>
      <c r="G81" s="512"/>
      <c r="H81" s="59">
        <v>40000</v>
      </c>
      <c r="I81" s="23">
        <v>0</v>
      </c>
      <c r="J81" s="23">
        <v>0</v>
      </c>
      <c r="K81" s="60"/>
    </row>
    <row r="82" spans="1:11" s="2" customFormat="1" ht="13.5" x14ac:dyDescent="0.25">
      <c r="A82" s="504"/>
      <c r="B82" s="57" t="s">
        <v>124</v>
      </c>
      <c r="C82" s="48"/>
      <c r="D82" s="48"/>
      <c r="E82" s="48" t="s">
        <v>224</v>
      </c>
      <c r="F82" s="48" t="s">
        <v>67</v>
      </c>
      <c r="G82" s="512"/>
      <c r="H82" s="59">
        <v>20000</v>
      </c>
      <c r="I82" s="23">
        <v>0</v>
      </c>
      <c r="J82" s="23">
        <v>0</v>
      </c>
      <c r="K82" s="60"/>
    </row>
    <row r="83" spans="1:11" s="2" customFormat="1" ht="27" x14ac:dyDescent="0.25">
      <c r="A83" s="505"/>
      <c r="B83" s="57" t="s">
        <v>125</v>
      </c>
      <c r="C83" s="48"/>
      <c r="D83" s="48" t="s">
        <v>224</v>
      </c>
      <c r="E83" s="48" t="s">
        <v>224</v>
      </c>
      <c r="F83" s="48" t="s">
        <v>76</v>
      </c>
      <c r="G83" s="513"/>
      <c r="H83" s="59">
        <v>18970</v>
      </c>
      <c r="I83" s="23">
        <v>0</v>
      </c>
      <c r="J83" s="23">
        <v>0</v>
      </c>
      <c r="K83" s="60"/>
    </row>
    <row r="84" spans="1:11" s="2" customFormat="1" ht="14.25" thickBot="1" x14ac:dyDescent="0.3">
      <c r="A84" s="476" t="s">
        <v>221</v>
      </c>
      <c r="B84" s="477"/>
      <c r="C84" s="477"/>
      <c r="D84" s="477"/>
      <c r="E84" s="477"/>
      <c r="F84" s="477"/>
      <c r="G84" s="477"/>
      <c r="H84" s="61">
        <f>SUM(H68:H83)</f>
        <v>359190</v>
      </c>
      <c r="I84" s="62">
        <f>+SUM(I68:I83)</f>
        <v>0</v>
      </c>
      <c r="J84" s="62">
        <f>+SUM(J68:J83)</f>
        <v>0</v>
      </c>
      <c r="K84" s="63"/>
    </row>
    <row r="85" spans="1:11" s="2" customFormat="1" ht="14.25" thickBot="1" x14ac:dyDescent="0.25">
      <c r="A85" s="478"/>
      <c r="B85" s="478"/>
      <c r="C85" s="478"/>
      <c r="D85" s="478"/>
      <c r="E85" s="478"/>
      <c r="F85" s="478"/>
      <c r="G85" s="478"/>
      <c r="H85" s="478"/>
      <c r="I85" s="478"/>
      <c r="J85" s="478"/>
      <c r="K85" s="478"/>
    </row>
    <row r="86" spans="1:11" ht="13.5" x14ac:dyDescent="0.2">
      <c r="A86" s="482" t="s">
        <v>241</v>
      </c>
      <c r="B86" s="483"/>
      <c r="C86" s="483"/>
      <c r="D86" s="483"/>
      <c r="E86" s="483"/>
      <c r="F86" s="483"/>
      <c r="G86" s="483"/>
      <c r="H86" s="483"/>
      <c r="I86" s="483"/>
      <c r="J86" s="483"/>
      <c r="K86" s="484"/>
    </row>
    <row r="87" spans="1:11" ht="11.25" customHeight="1" x14ac:dyDescent="0.2">
      <c r="A87" s="490" t="s">
        <v>222</v>
      </c>
      <c r="B87" s="485" t="s">
        <v>227</v>
      </c>
      <c r="C87" s="485" t="s">
        <v>223</v>
      </c>
      <c r="D87" s="485"/>
      <c r="E87" s="485"/>
      <c r="F87" s="485" t="s">
        <v>225</v>
      </c>
      <c r="G87" s="485" t="s">
        <v>226</v>
      </c>
      <c r="H87" s="492" t="s">
        <v>251</v>
      </c>
      <c r="I87" s="493"/>
      <c r="J87" s="493"/>
      <c r="K87" s="494"/>
    </row>
    <row r="88" spans="1:11" ht="27.75" thickBot="1" x14ac:dyDescent="0.25">
      <c r="A88" s="491"/>
      <c r="B88" s="486"/>
      <c r="C88" s="33" t="s">
        <v>63</v>
      </c>
      <c r="D88" s="33" t="s">
        <v>64</v>
      </c>
      <c r="E88" s="33" t="s">
        <v>65</v>
      </c>
      <c r="F88" s="486"/>
      <c r="G88" s="486"/>
      <c r="H88" s="34" t="s">
        <v>228</v>
      </c>
      <c r="I88" s="33" t="s">
        <v>229</v>
      </c>
      <c r="J88" s="33" t="s">
        <v>230</v>
      </c>
      <c r="K88" s="35" t="s">
        <v>231</v>
      </c>
    </row>
    <row r="89" spans="1:11" s="2" customFormat="1" ht="40.5" x14ac:dyDescent="0.25">
      <c r="A89" s="510" t="s">
        <v>126</v>
      </c>
      <c r="B89" s="55" t="s">
        <v>128</v>
      </c>
      <c r="C89" s="48"/>
      <c r="D89" s="48" t="s">
        <v>224</v>
      </c>
      <c r="E89" s="48" t="s">
        <v>224</v>
      </c>
      <c r="F89" s="48" t="s">
        <v>67</v>
      </c>
      <c r="G89" s="485" t="s">
        <v>127</v>
      </c>
      <c r="H89" s="59">
        <v>8000</v>
      </c>
      <c r="I89" s="23">
        <v>0</v>
      </c>
      <c r="J89" s="23">
        <v>0</v>
      </c>
      <c r="K89" s="60"/>
    </row>
    <row r="90" spans="1:11" s="2" customFormat="1" ht="27" x14ac:dyDescent="0.25">
      <c r="A90" s="510"/>
      <c r="B90" s="47" t="s">
        <v>129</v>
      </c>
      <c r="C90" s="48"/>
      <c r="D90" s="48" t="s">
        <v>224</v>
      </c>
      <c r="E90" s="48" t="s">
        <v>224</v>
      </c>
      <c r="F90" s="48" t="s">
        <v>67</v>
      </c>
      <c r="G90" s="485"/>
      <c r="H90" s="59">
        <v>60000</v>
      </c>
      <c r="I90" s="23">
        <v>0</v>
      </c>
      <c r="J90" s="23">
        <v>0</v>
      </c>
      <c r="K90" s="60"/>
    </row>
    <row r="91" spans="1:11" s="2" customFormat="1" ht="27" x14ac:dyDescent="0.25">
      <c r="A91" s="510"/>
      <c r="B91" s="47" t="s">
        <v>130</v>
      </c>
      <c r="C91" s="48"/>
      <c r="D91" s="48" t="s">
        <v>224</v>
      </c>
      <c r="E91" s="48"/>
      <c r="F91" s="48" t="s">
        <v>179</v>
      </c>
      <c r="G91" s="485"/>
      <c r="H91" s="59">
        <v>12000</v>
      </c>
      <c r="I91" s="23">
        <v>0</v>
      </c>
      <c r="J91" s="23">
        <v>0</v>
      </c>
      <c r="K91" s="60"/>
    </row>
    <row r="92" spans="1:11" s="2" customFormat="1" ht="40.5" x14ac:dyDescent="0.25">
      <c r="A92" s="510"/>
      <c r="B92" s="57" t="s">
        <v>131</v>
      </c>
      <c r="C92" s="48"/>
      <c r="D92" s="48"/>
      <c r="E92" s="48" t="s">
        <v>224</v>
      </c>
      <c r="F92" s="48" t="s">
        <v>85</v>
      </c>
      <c r="G92" s="485"/>
      <c r="H92" s="59">
        <v>10000</v>
      </c>
      <c r="I92" s="23">
        <v>0</v>
      </c>
      <c r="J92" s="23">
        <v>0</v>
      </c>
      <c r="K92" s="60"/>
    </row>
    <row r="93" spans="1:11" s="2" customFormat="1" ht="14.25" thickBot="1" x14ac:dyDescent="0.3">
      <c r="A93" s="476" t="s">
        <v>221</v>
      </c>
      <c r="B93" s="477"/>
      <c r="C93" s="477"/>
      <c r="D93" s="477"/>
      <c r="E93" s="477"/>
      <c r="F93" s="477"/>
      <c r="G93" s="477"/>
      <c r="H93" s="61">
        <f>SUM(H89:H92)</f>
        <v>90000</v>
      </c>
      <c r="I93" s="62">
        <f>+SUM(I89:I92)</f>
        <v>0</v>
      </c>
      <c r="J93" s="62">
        <f>+SUM(J89:J92)</f>
        <v>0</v>
      </c>
      <c r="K93" s="63"/>
    </row>
    <row r="94" spans="1:11" s="2" customFormat="1" ht="14.25" thickBot="1" x14ac:dyDescent="0.25">
      <c r="A94" s="511"/>
      <c r="B94" s="511"/>
      <c r="C94" s="511"/>
      <c r="D94" s="511"/>
      <c r="E94" s="511"/>
      <c r="F94" s="511"/>
      <c r="G94" s="511"/>
      <c r="H94" s="511"/>
      <c r="I94" s="511"/>
      <c r="J94" s="511"/>
      <c r="K94" s="511"/>
    </row>
    <row r="95" spans="1:11" ht="13.5" x14ac:dyDescent="0.2">
      <c r="A95" s="482" t="s">
        <v>242</v>
      </c>
      <c r="B95" s="483"/>
      <c r="C95" s="483"/>
      <c r="D95" s="483"/>
      <c r="E95" s="483"/>
      <c r="F95" s="483"/>
      <c r="G95" s="483"/>
      <c r="H95" s="483"/>
      <c r="I95" s="483"/>
      <c r="J95" s="483"/>
      <c r="K95" s="484"/>
    </row>
    <row r="96" spans="1:11" ht="11.25" customHeight="1" x14ac:dyDescent="0.2">
      <c r="A96" s="490" t="s">
        <v>222</v>
      </c>
      <c r="B96" s="485" t="s">
        <v>227</v>
      </c>
      <c r="C96" s="485" t="s">
        <v>223</v>
      </c>
      <c r="D96" s="485"/>
      <c r="E96" s="485"/>
      <c r="F96" s="485" t="s">
        <v>225</v>
      </c>
      <c r="G96" s="485" t="s">
        <v>226</v>
      </c>
      <c r="H96" s="492" t="s">
        <v>251</v>
      </c>
      <c r="I96" s="493"/>
      <c r="J96" s="493"/>
      <c r="K96" s="494"/>
    </row>
    <row r="97" spans="1:11" ht="27.75" thickBot="1" x14ac:dyDescent="0.25">
      <c r="A97" s="491"/>
      <c r="B97" s="486"/>
      <c r="C97" s="33" t="s">
        <v>63</v>
      </c>
      <c r="D97" s="33" t="s">
        <v>64</v>
      </c>
      <c r="E97" s="33" t="s">
        <v>65</v>
      </c>
      <c r="F97" s="486"/>
      <c r="G97" s="486"/>
      <c r="H97" s="34" t="s">
        <v>228</v>
      </c>
      <c r="I97" s="33" t="s">
        <v>229</v>
      </c>
      <c r="J97" s="33" t="s">
        <v>230</v>
      </c>
      <c r="K97" s="35" t="s">
        <v>231</v>
      </c>
    </row>
    <row r="98" spans="1:11" s="2" customFormat="1" ht="27" x14ac:dyDescent="0.25">
      <c r="A98" s="510" t="s">
        <v>132</v>
      </c>
      <c r="B98" s="55" t="s">
        <v>134</v>
      </c>
      <c r="C98" s="48" t="s">
        <v>224</v>
      </c>
      <c r="D98" s="48"/>
      <c r="E98" s="48"/>
      <c r="F98" s="48" t="s">
        <v>85</v>
      </c>
      <c r="G98" s="485" t="s">
        <v>133</v>
      </c>
      <c r="H98" s="59">
        <v>20000</v>
      </c>
      <c r="I98" s="23">
        <v>0</v>
      </c>
      <c r="J98" s="23">
        <v>0</v>
      </c>
      <c r="K98" s="60"/>
    </row>
    <row r="99" spans="1:11" s="2" customFormat="1" ht="67.5" x14ac:dyDescent="0.25">
      <c r="A99" s="510"/>
      <c r="B99" s="47" t="s">
        <v>135</v>
      </c>
      <c r="C99" s="48"/>
      <c r="D99" s="48" t="s">
        <v>224</v>
      </c>
      <c r="E99" s="48"/>
      <c r="F99" s="48" t="s">
        <v>85</v>
      </c>
      <c r="G99" s="485"/>
      <c r="H99" s="59">
        <v>50000</v>
      </c>
      <c r="I99" s="23">
        <v>0</v>
      </c>
      <c r="J99" s="23">
        <v>0</v>
      </c>
      <c r="K99" s="60"/>
    </row>
    <row r="100" spans="1:11" s="2" customFormat="1" ht="40.5" x14ac:dyDescent="0.25">
      <c r="A100" s="510"/>
      <c r="B100" s="47" t="s">
        <v>136</v>
      </c>
      <c r="C100" s="48"/>
      <c r="D100" s="48" t="s">
        <v>224</v>
      </c>
      <c r="E100" s="48"/>
      <c r="F100" s="48" t="s">
        <v>85</v>
      </c>
      <c r="G100" s="485"/>
      <c r="H100" s="59">
        <v>20000</v>
      </c>
      <c r="I100" s="23">
        <v>0</v>
      </c>
      <c r="J100" s="23">
        <v>0</v>
      </c>
      <c r="K100" s="60"/>
    </row>
    <row r="101" spans="1:11" s="2" customFormat="1" ht="27" x14ac:dyDescent="0.25">
      <c r="A101" s="510"/>
      <c r="B101" s="47" t="s">
        <v>137</v>
      </c>
      <c r="C101" s="48"/>
      <c r="D101" s="48" t="s">
        <v>224</v>
      </c>
      <c r="E101" s="48" t="s">
        <v>224</v>
      </c>
      <c r="F101" s="48" t="s">
        <v>67</v>
      </c>
      <c r="G101" s="485"/>
      <c r="H101" s="59">
        <v>24000</v>
      </c>
      <c r="I101" s="23">
        <v>0</v>
      </c>
      <c r="J101" s="23">
        <v>0</v>
      </c>
      <c r="K101" s="60"/>
    </row>
    <row r="102" spans="1:11" s="2" customFormat="1" ht="27" x14ac:dyDescent="0.25">
      <c r="A102" s="510"/>
      <c r="B102" s="47" t="s">
        <v>138</v>
      </c>
      <c r="C102" s="48"/>
      <c r="D102" s="48" t="s">
        <v>224</v>
      </c>
      <c r="E102" s="48" t="s">
        <v>224</v>
      </c>
      <c r="F102" s="48" t="s">
        <v>179</v>
      </c>
      <c r="G102" s="485"/>
      <c r="H102" s="59">
        <v>17000</v>
      </c>
      <c r="I102" s="23">
        <v>0</v>
      </c>
      <c r="J102" s="23">
        <v>0</v>
      </c>
      <c r="K102" s="60"/>
    </row>
    <row r="103" spans="1:11" s="2" customFormat="1" ht="40.5" x14ac:dyDescent="0.25">
      <c r="A103" s="510"/>
      <c r="B103" s="57" t="s">
        <v>139</v>
      </c>
      <c r="C103" s="48"/>
      <c r="D103" s="48" t="s">
        <v>224</v>
      </c>
      <c r="E103" s="48"/>
      <c r="F103" s="48" t="s">
        <v>67</v>
      </c>
      <c r="G103" s="485"/>
      <c r="H103" s="59">
        <v>10000</v>
      </c>
      <c r="I103" s="23">
        <v>0</v>
      </c>
      <c r="J103" s="23">
        <v>0</v>
      </c>
      <c r="K103" s="60"/>
    </row>
    <row r="104" spans="1:11" s="2" customFormat="1" ht="40.5" x14ac:dyDescent="0.25">
      <c r="A104" s="510"/>
      <c r="B104" s="55" t="s">
        <v>140</v>
      </c>
      <c r="C104" s="48"/>
      <c r="D104" s="48" t="s">
        <v>224</v>
      </c>
      <c r="E104" s="48" t="s">
        <v>224</v>
      </c>
      <c r="F104" s="48" t="s">
        <v>67</v>
      </c>
      <c r="G104" s="485"/>
      <c r="H104" s="59">
        <v>44000</v>
      </c>
      <c r="I104" s="23">
        <v>0</v>
      </c>
      <c r="J104" s="23">
        <v>0</v>
      </c>
      <c r="K104" s="60"/>
    </row>
    <row r="105" spans="1:11" s="2" customFormat="1" ht="14.25" thickBot="1" x14ac:dyDescent="0.3">
      <c r="A105" s="476" t="s">
        <v>221</v>
      </c>
      <c r="B105" s="477"/>
      <c r="C105" s="477"/>
      <c r="D105" s="477"/>
      <c r="E105" s="477"/>
      <c r="F105" s="477"/>
      <c r="G105" s="477"/>
      <c r="H105" s="61">
        <f>SUM(H98:H104)</f>
        <v>185000</v>
      </c>
      <c r="I105" s="62">
        <f>+SUM(I98:I104)</f>
        <v>0</v>
      </c>
      <c r="J105" s="62">
        <f>+SUM(J98:J104)</f>
        <v>0</v>
      </c>
      <c r="K105" s="63"/>
    </row>
    <row r="106" spans="1:11" s="2" customFormat="1" ht="14.25" thickBot="1" x14ac:dyDescent="0.25">
      <c r="A106" s="478"/>
      <c r="B106" s="478"/>
      <c r="C106" s="478"/>
      <c r="D106" s="478"/>
      <c r="E106" s="478"/>
      <c r="F106" s="478"/>
      <c r="G106" s="478"/>
      <c r="H106" s="478"/>
      <c r="I106" s="478"/>
      <c r="J106" s="478"/>
      <c r="K106" s="478"/>
    </row>
    <row r="107" spans="1:11" ht="13.5" x14ac:dyDescent="0.2">
      <c r="A107" s="482" t="s">
        <v>243</v>
      </c>
      <c r="B107" s="483"/>
      <c r="C107" s="483"/>
      <c r="D107" s="483"/>
      <c r="E107" s="483"/>
      <c r="F107" s="483"/>
      <c r="G107" s="483"/>
      <c r="H107" s="483"/>
      <c r="I107" s="483"/>
      <c r="J107" s="483"/>
      <c r="K107" s="484"/>
    </row>
    <row r="108" spans="1:11" ht="11.25" customHeight="1" x14ac:dyDescent="0.2">
      <c r="A108" s="490" t="s">
        <v>222</v>
      </c>
      <c r="B108" s="485" t="s">
        <v>227</v>
      </c>
      <c r="C108" s="485" t="s">
        <v>223</v>
      </c>
      <c r="D108" s="485"/>
      <c r="E108" s="485"/>
      <c r="F108" s="485" t="s">
        <v>225</v>
      </c>
      <c r="G108" s="485" t="s">
        <v>226</v>
      </c>
      <c r="H108" s="492" t="s">
        <v>251</v>
      </c>
      <c r="I108" s="493"/>
      <c r="J108" s="493"/>
      <c r="K108" s="494"/>
    </row>
    <row r="109" spans="1:11" ht="27.75" thickBot="1" x14ac:dyDescent="0.25">
      <c r="A109" s="491"/>
      <c r="B109" s="486"/>
      <c r="C109" s="33" t="s">
        <v>63</v>
      </c>
      <c r="D109" s="33" t="s">
        <v>64</v>
      </c>
      <c r="E109" s="33" t="s">
        <v>65</v>
      </c>
      <c r="F109" s="486"/>
      <c r="G109" s="486"/>
      <c r="H109" s="34" t="s">
        <v>228</v>
      </c>
      <c r="I109" s="33" t="s">
        <v>229</v>
      </c>
      <c r="J109" s="33" t="s">
        <v>230</v>
      </c>
      <c r="K109" s="35" t="s">
        <v>231</v>
      </c>
    </row>
    <row r="110" spans="1:11" s="2" customFormat="1" ht="27" x14ac:dyDescent="0.25">
      <c r="A110" s="510" t="s">
        <v>141</v>
      </c>
      <c r="B110" s="57" t="s">
        <v>143</v>
      </c>
      <c r="C110" s="48"/>
      <c r="D110" s="48"/>
      <c r="E110" s="48" t="s">
        <v>224</v>
      </c>
      <c r="F110" s="48" t="s">
        <v>85</v>
      </c>
      <c r="G110" s="509" t="s">
        <v>142</v>
      </c>
      <c r="H110" s="59">
        <v>25000</v>
      </c>
      <c r="I110" s="23">
        <v>0</v>
      </c>
      <c r="J110" s="23">
        <v>0</v>
      </c>
      <c r="K110" s="60"/>
    </row>
    <row r="111" spans="1:11" s="2" customFormat="1" ht="27" x14ac:dyDescent="0.25">
      <c r="A111" s="510"/>
      <c r="B111" s="57" t="s">
        <v>144</v>
      </c>
      <c r="C111" s="48"/>
      <c r="D111" s="48"/>
      <c r="E111" s="48" t="s">
        <v>224</v>
      </c>
      <c r="F111" s="67" t="s">
        <v>85</v>
      </c>
      <c r="G111" s="480"/>
      <c r="H111" s="59">
        <v>10000</v>
      </c>
      <c r="I111" s="23">
        <v>0</v>
      </c>
      <c r="J111" s="23">
        <v>0</v>
      </c>
      <c r="K111" s="60"/>
    </row>
    <row r="112" spans="1:11" s="2" customFormat="1" ht="27" x14ac:dyDescent="0.25">
      <c r="A112" s="510"/>
      <c r="B112" s="57" t="s">
        <v>145</v>
      </c>
      <c r="C112" s="48"/>
      <c r="D112" s="48" t="s">
        <v>224</v>
      </c>
      <c r="E112" s="48" t="s">
        <v>224</v>
      </c>
      <c r="F112" s="67" t="s">
        <v>199</v>
      </c>
      <c r="G112" s="480"/>
      <c r="H112" s="59">
        <v>33100</v>
      </c>
      <c r="I112" s="23">
        <v>0</v>
      </c>
      <c r="J112" s="23">
        <v>0</v>
      </c>
      <c r="K112" s="60"/>
    </row>
    <row r="113" spans="1:11" s="2" customFormat="1" ht="27" x14ac:dyDescent="0.25">
      <c r="A113" s="510"/>
      <c r="B113" s="57" t="s">
        <v>146</v>
      </c>
      <c r="C113" s="48"/>
      <c r="D113" s="48" t="s">
        <v>224</v>
      </c>
      <c r="E113" s="48" t="s">
        <v>224</v>
      </c>
      <c r="F113" s="67" t="s">
        <v>179</v>
      </c>
      <c r="G113" s="480"/>
      <c r="H113" s="59">
        <v>17000</v>
      </c>
      <c r="I113" s="23">
        <v>0</v>
      </c>
      <c r="J113" s="23">
        <v>0</v>
      </c>
      <c r="K113" s="60"/>
    </row>
    <row r="114" spans="1:11" s="2" customFormat="1" ht="13.5" x14ac:dyDescent="0.25">
      <c r="A114" s="510"/>
      <c r="B114" s="57" t="s">
        <v>147</v>
      </c>
      <c r="C114" s="48"/>
      <c r="D114" s="48" t="s">
        <v>224</v>
      </c>
      <c r="E114" s="48" t="s">
        <v>224</v>
      </c>
      <c r="F114" s="67" t="s">
        <v>199</v>
      </c>
      <c r="G114" s="480"/>
      <c r="H114" s="59">
        <v>33100</v>
      </c>
      <c r="I114" s="23">
        <v>0</v>
      </c>
      <c r="J114" s="23">
        <v>0</v>
      </c>
      <c r="K114" s="60"/>
    </row>
    <row r="115" spans="1:11" s="2" customFormat="1" ht="27" x14ac:dyDescent="0.25">
      <c r="A115" s="510"/>
      <c r="B115" s="57" t="s">
        <v>148</v>
      </c>
      <c r="C115" s="48"/>
      <c r="D115" s="48" t="s">
        <v>224</v>
      </c>
      <c r="E115" s="48" t="s">
        <v>224</v>
      </c>
      <c r="F115" s="67" t="s">
        <v>179</v>
      </c>
      <c r="G115" s="480"/>
      <c r="H115" s="59">
        <v>17000</v>
      </c>
      <c r="I115" s="23">
        <v>0</v>
      </c>
      <c r="J115" s="23">
        <v>0</v>
      </c>
      <c r="K115" s="60"/>
    </row>
    <row r="116" spans="1:11" s="2" customFormat="1" ht="27" x14ac:dyDescent="0.25">
      <c r="A116" s="510"/>
      <c r="B116" s="47" t="s">
        <v>149</v>
      </c>
      <c r="C116" s="48"/>
      <c r="D116" s="48"/>
      <c r="E116" s="48" t="s">
        <v>224</v>
      </c>
      <c r="F116" s="67" t="s">
        <v>85</v>
      </c>
      <c r="G116" s="480"/>
      <c r="H116" s="59">
        <v>10000</v>
      </c>
      <c r="I116" s="23">
        <v>0</v>
      </c>
      <c r="J116" s="23">
        <v>0</v>
      </c>
      <c r="K116" s="60"/>
    </row>
    <row r="117" spans="1:11" s="2" customFormat="1" ht="27" x14ac:dyDescent="0.25">
      <c r="A117" s="510"/>
      <c r="B117" s="55" t="s">
        <v>150</v>
      </c>
      <c r="C117" s="48"/>
      <c r="D117" s="48"/>
      <c r="E117" s="48" t="s">
        <v>224</v>
      </c>
      <c r="F117" s="67" t="s">
        <v>85</v>
      </c>
      <c r="G117" s="481"/>
      <c r="H117" s="59">
        <v>20000</v>
      </c>
      <c r="I117" s="23">
        <v>0</v>
      </c>
      <c r="J117" s="23">
        <v>0</v>
      </c>
      <c r="K117" s="60"/>
    </row>
    <row r="118" spans="1:11" s="2" customFormat="1" ht="14.25" thickBot="1" x14ac:dyDescent="0.3">
      <c r="A118" s="476" t="s">
        <v>221</v>
      </c>
      <c r="B118" s="477"/>
      <c r="C118" s="477"/>
      <c r="D118" s="477"/>
      <c r="E118" s="477"/>
      <c r="F118" s="477"/>
      <c r="G118" s="477"/>
      <c r="H118" s="61">
        <f>SUM(H110:H117)</f>
        <v>165200</v>
      </c>
      <c r="I118" s="62">
        <f>+SUM(I110:I117)</f>
        <v>0</v>
      </c>
      <c r="J118" s="62">
        <f>+SUM(J110:J117)</f>
        <v>0</v>
      </c>
      <c r="K118" s="63"/>
    </row>
    <row r="119" spans="1:11" s="2" customFormat="1" ht="14.25" thickBot="1" x14ac:dyDescent="0.25">
      <c r="A119" s="478"/>
      <c r="B119" s="478"/>
      <c r="C119" s="478"/>
      <c r="D119" s="478"/>
      <c r="E119" s="478"/>
      <c r="F119" s="478"/>
      <c r="G119" s="478"/>
      <c r="H119" s="478"/>
      <c r="I119" s="478"/>
      <c r="J119" s="478"/>
      <c r="K119" s="478"/>
    </row>
    <row r="120" spans="1:11" ht="13.5" x14ac:dyDescent="0.2">
      <c r="A120" s="482" t="s">
        <v>244</v>
      </c>
      <c r="B120" s="483"/>
      <c r="C120" s="483"/>
      <c r="D120" s="483"/>
      <c r="E120" s="483"/>
      <c r="F120" s="483"/>
      <c r="G120" s="483"/>
      <c r="H120" s="483"/>
      <c r="I120" s="483"/>
      <c r="J120" s="483"/>
      <c r="K120" s="484"/>
    </row>
    <row r="121" spans="1:11" ht="11.25" customHeight="1" x14ac:dyDescent="0.2">
      <c r="A121" s="490" t="s">
        <v>222</v>
      </c>
      <c r="B121" s="485" t="s">
        <v>227</v>
      </c>
      <c r="C121" s="485" t="s">
        <v>223</v>
      </c>
      <c r="D121" s="485"/>
      <c r="E121" s="485"/>
      <c r="F121" s="485" t="s">
        <v>225</v>
      </c>
      <c r="G121" s="485" t="s">
        <v>226</v>
      </c>
      <c r="H121" s="492" t="s">
        <v>251</v>
      </c>
      <c r="I121" s="493"/>
      <c r="J121" s="493"/>
      <c r="K121" s="494"/>
    </row>
    <row r="122" spans="1:11" ht="27.75" thickBot="1" x14ac:dyDescent="0.25">
      <c r="A122" s="491"/>
      <c r="B122" s="486"/>
      <c r="C122" s="33" t="s">
        <v>63</v>
      </c>
      <c r="D122" s="33" t="s">
        <v>64</v>
      </c>
      <c r="E122" s="33" t="s">
        <v>65</v>
      </c>
      <c r="F122" s="486"/>
      <c r="G122" s="486"/>
      <c r="H122" s="34" t="s">
        <v>228</v>
      </c>
      <c r="I122" s="33" t="s">
        <v>229</v>
      </c>
      <c r="J122" s="33" t="s">
        <v>230</v>
      </c>
      <c r="K122" s="35" t="s">
        <v>231</v>
      </c>
    </row>
    <row r="123" spans="1:11" s="2" customFormat="1" ht="40.5" x14ac:dyDescent="0.25">
      <c r="A123" s="503" t="s">
        <v>151</v>
      </c>
      <c r="B123" s="47" t="s">
        <v>152</v>
      </c>
      <c r="C123" s="48" t="s">
        <v>224</v>
      </c>
      <c r="D123" s="48"/>
      <c r="E123" s="48"/>
      <c r="F123" s="48" t="s">
        <v>199</v>
      </c>
      <c r="G123" s="485" t="s">
        <v>68</v>
      </c>
      <c r="H123" s="59">
        <v>6360</v>
      </c>
      <c r="I123" s="23">
        <v>0</v>
      </c>
      <c r="J123" s="23">
        <v>0</v>
      </c>
      <c r="K123" s="60"/>
    </row>
    <row r="124" spans="1:11" s="2" customFormat="1" ht="27" x14ac:dyDescent="0.25">
      <c r="A124" s="504"/>
      <c r="B124" s="47" t="s">
        <v>153</v>
      </c>
      <c r="C124" s="48" t="s">
        <v>224</v>
      </c>
      <c r="D124" s="48"/>
      <c r="E124" s="48"/>
      <c r="F124" s="48" t="s">
        <v>76</v>
      </c>
      <c r="G124" s="485"/>
      <c r="H124" s="59">
        <v>11217</v>
      </c>
      <c r="I124" s="59">
        <v>1000</v>
      </c>
      <c r="J124" s="67">
        <v>0</v>
      </c>
      <c r="K124" s="60"/>
    </row>
    <row r="125" spans="1:11" s="2" customFormat="1" ht="27" x14ac:dyDescent="0.25">
      <c r="A125" s="504"/>
      <c r="B125" s="47" t="s">
        <v>154</v>
      </c>
      <c r="C125" s="48" t="s">
        <v>224</v>
      </c>
      <c r="D125" s="48"/>
      <c r="E125" s="48"/>
      <c r="F125" s="48" t="s">
        <v>67</v>
      </c>
      <c r="G125" s="485"/>
      <c r="H125" s="59">
        <v>40000</v>
      </c>
      <c r="I125" s="59">
        <v>0</v>
      </c>
      <c r="J125" s="59">
        <v>0</v>
      </c>
      <c r="K125" s="60"/>
    </row>
    <row r="126" spans="1:11" s="2" customFormat="1" ht="27" x14ac:dyDescent="0.25">
      <c r="A126" s="504"/>
      <c r="B126" s="47" t="s">
        <v>155</v>
      </c>
      <c r="C126" s="48" t="s">
        <v>224</v>
      </c>
      <c r="D126" s="48"/>
      <c r="E126" s="48"/>
      <c r="F126" s="48" t="s">
        <v>179</v>
      </c>
      <c r="G126" s="485"/>
      <c r="H126" s="59">
        <v>35000</v>
      </c>
      <c r="I126" s="67">
        <v>0</v>
      </c>
      <c r="J126" s="67">
        <v>2000</v>
      </c>
      <c r="K126" s="60"/>
    </row>
    <row r="127" spans="1:11" s="2" customFormat="1" ht="27" x14ac:dyDescent="0.25">
      <c r="A127" s="504"/>
      <c r="B127" s="47" t="s">
        <v>156</v>
      </c>
      <c r="C127" s="48" t="s">
        <v>224</v>
      </c>
      <c r="D127" s="48"/>
      <c r="E127" s="48"/>
      <c r="F127" s="48" t="s">
        <v>199</v>
      </c>
      <c r="G127" s="485"/>
      <c r="H127" s="59">
        <v>9116</v>
      </c>
      <c r="I127" s="23">
        <v>0</v>
      </c>
      <c r="J127" s="23">
        <v>0</v>
      </c>
      <c r="K127" s="60"/>
    </row>
    <row r="128" spans="1:11" s="2" customFormat="1" ht="27" x14ac:dyDescent="0.25">
      <c r="A128" s="504"/>
      <c r="B128" s="47" t="s">
        <v>157</v>
      </c>
      <c r="C128" s="48" t="s">
        <v>224</v>
      </c>
      <c r="D128" s="48"/>
      <c r="E128" s="48"/>
      <c r="F128" s="48" t="s">
        <v>171</v>
      </c>
      <c r="G128" s="485"/>
      <c r="H128" s="59">
        <v>3500</v>
      </c>
      <c r="I128" s="23">
        <v>0</v>
      </c>
      <c r="J128" s="23">
        <v>0</v>
      </c>
      <c r="K128" s="24">
        <f>J128/H128</f>
        <v>0</v>
      </c>
    </row>
    <row r="129" spans="1:11" s="2" customFormat="1" ht="27" x14ac:dyDescent="0.25">
      <c r="A129" s="504"/>
      <c r="B129" s="47" t="s">
        <v>158</v>
      </c>
      <c r="C129" s="48" t="s">
        <v>224</v>
      </c>
      <c r="D129" s="48"/>
      <c r="E129" s="48"/>
      <c r="F129" s="48" t="s">
        <v>85</v>
      </c>
      <c r="G129" s="485"/>
      <c r="H129" s="59">
        <v>50000</v>
      </c>
      <c r="I129" s="23">
        <v>0</v>
      </c>
      <c r="J129" s="23">
        <v>0</v>
      </c>
      <c r="K129" s="60"/>
    </row>
    <row r="130" spans="1:11" s="2" customFormat="1" ht="27" x14ac:dyDescent="0.25">
      <c r="A130" s="504"/>
      <c r="B130" s="47" t="s">
        <v>159</v>
      </c>
      <c r="C130" s="48"/>
      <c r="D130" s="48" t="s">
        <v>224</v>
      </c>
      <c r="E130" s="48"/>
      <c r="F130" s="48" t="s">
        <v>85</v>
      </c>
      <c r="G130" s="485"/>
      <c r="H130" s="59">
        <v>40000</v>
      </c>
      <c r="I130" s="23">
        <v>0</v>
      </c>
      <c r="J130" s="23">
        <v>0</v>
      </c>
      <c r="K130" s="60"/>
    </row>
    <row r="131" spans="1:11" s="2" customFormat="1" ht="13.5" x14ac:dyDescent="0.25">
      <c r="A131" s="504"/>
      <c r="B131" s="47" t="s">
        <v>160</v>
      </c>
      <c r="C131" s="48"/>
      <c r="D131" s="48" t="s">
        <v>224</v>
      </c>
      <c r="E131" s="48" t="s">
        <v>224</v>
      </c>
      <c r="F131" s="48" t="s">
        <v>67</v>
      </c>
      <c r="G131" s="485"/>
      <c r="H131" s="59">
        <v>20000</v>
      </c>
      <c r="I131" s="23">
        <v>0</v>
      </c>
      <c r="J131" s="23">
        <v>0</v>
      </c>
      <c r="K131" s="60"/>
    </row>
    <row r="132" spans="1:11" s="2" customFormat="1" ht="27" x14ac:dyDescent="0.25">
      <c r="A132" s="504"/>
      <c r="B132" s="47" t="s">
        <v>161</v>
      </c>
      <c r="C132" s="48"/>
      <c r="D132" s="48" t="s">
        <v>224</v>
      </c>
      <c r="E132" s="48"/>
      <c r="F132" s="48" t="s">
        <v>179</v>
      </c>
      <c r="G132" s="485"/>
      <c r="H132" s="59">
        <v>20000</v>
      </c>
      <c r="I132" s="23">
        <v>0</v>
      </c>
      <c r="J132" s="23">
        <v>0</v>
      </c>
      <c r="K132" s="60"/>
    </row>
    <row r="133" spans="1:11" s="2" customFormat="1" ht="27" x14ac:dyDescent="0.25">
      <c r="A133" s="504"/>
      <c r="B133" s="47" t="s">
        <v>162</v>
      </c>
      <c r="C133" s="48" t="s">
        <v>224</v>
      </c>
      <c r="D133" s="48"/>
      <c r="E133" s="48"/>
      <c r="F133" s="48" t="s">
        <v>199</v>
      </c>
      <c r="G133" s="485"/>
      <c r="H133" s="59">
        <v>59106</v>
      </c>
      <c r="I133" s="23">
        <v>0</v>
      </c>
      <c r="J133" s="23">
        <v>0</v>
      </c>
      <c r="K133" s="60"/>
    </row>
    <row r="134" spans="1:11" s="2" customFormat="1" ht="27" x14ac:dyDescent="0.25">
      <c r="A134" s="504"/>
      <c r="B134" s="47" t="s">
        <v>163</v>
      </c>
      <c r="C134" s="48"/>
      <c r="D134" s="48" t="s">
        <v>224</v>
      </c>
      <c r="E134" s="48"/>
      <c r="F134" s="48" t="s">
        <v>199</v>
      </c>
      <c r="G134" s="485"/>
      <c r="H134" s="59">
        <v>95700</v>
      </c>
      <c r="I134" s="23">
        <v>0</v>
      </c>
      <c r="J134" s="23">
        <v>0</v>
      </c>
      <c r="K134" s="60"/>
    </row>
    <row r="135" spans="1:11" s="2" customFormat="1" ht="27" x14ac:dyDescent="0.25">
      <c r="A135" s="504"/>
      <c r="B135" s="47" t="s">
        <v>164</v>
      </c>
      <c r="C135" s="48" t="s">
        <v>224</v>
      </c>
      <c r="D135" s="48"/>
      <c r="E135" s="48"/>
      <c r="F135" s="48" t="s">
        <v>171</v>
      </c>
      <c r="G135" s="485"/>
      <c r="H135" s="59">
        <v>5800</v>
      </c>
      <c r="I135" s="23">
        <v>1000</v>
      </c>
      <c r="J135" s="23">
        <v>0</v>
      </c>
      <c r="K135" s="24">
        <f>J135/H135</f>
        <v>0</v>
      </c>
    </row>
    <row r="136" spans="1:11" ht="27" x14ac:dyDescent="0.25">
      <c r="A136" s="504"/>
      <c r="B136" s="47" t="s">
        <v>165</v>
      </c>
      <c r="C136" s="48"/>
      <c r="D136" s="48" t="s">
        <v>224</v>
      </c>
      <c r="E136" s="48"/>
      <c r="F136" s="48" t="s">
        <v>76</v>
      </c>
      <c r="G136" s="485"/>
      <c r="H136" s="59">
        <v>41017</v>
      </c>
      <c r="I136" s="23">
        <v>0</v>
      </c>
      <c r="J136" s="23">
        <v>0</v>
      </c>
      <c r="K136" s="60"/>
    </row>
    <row r="137" spans="1:11" s="2" customFormat="1" ht="27" x14ac:dyDescent="0.25">
      <c r="A137" s="504"/>
      <c r="B137" s="47" t="s">
        <v>166</v>
      </c>
      <c r="C137" s="48"/>
      <c r="D137" s="48" t="s">
        <v>224</v>
      </c>
      <c r="E137" s="48"/>
      <c r="F137" s="48" t="s">
        <v>85</v>
      </c>
      <c r="G137" s="485"/>
      <c r="H137" s="59">
        <v>20000</v>
      </c>
      <c r="I137" s="23">
        <v>0</v>
      </c>
      <c r="J137" s="23">
        <v>0</v>
      </c>
      <c r="K137" s="60"/>
    </row>
    <row r="138" spans="1:11" s="2" customFormat="1" ht="13.5" x14ac:dyDescent="0.25">
      <c r="A138" s="504"/>
      <c r="B138" s="47" t="s">
        <v>167</v>
      </c>
      <c r="C138" s="48"/>
      <c r="D138" s="48" t="s">
        <v>224</v>
      </c>
      <c r="E138" s="48"/>
      <c r="F138" s="48" t="s">
        <v>85</v>
      </c>
      <c r="G138" s="485"/>
      <c r="H138" s="59">
        <v>20000</v>
      </c>
      <c r="I138" s="23">
        <v>0</v>
      </c>
      <c r="J138" s="23">
        <v>0</v>
      </c>
      <c r="K138" s="60"/>
    </row>
    <row r="139" spans="1:11" s="2" customFormat="1" ht="11.25" customHeight="1" x14ac:dyDescent="0.25">
      <c r="A139" s="504"/>
      <c r="B139" s="47" t="s">
        <v>168</v>
      </c>
      <c r="C139" s="48"/>
      <c r="D139" s="48"/>
      <c r="E139" s="48" t="s">
        <v>224</v>
      </c>
      <c r="F139" s="48" t="s">
        <v>85</v>
      </c>
      <c r="G139" s="485"/>
      <c r="H139" s="59">
        <v>11853</v>
      </c>
      <c r="I139" s="23">
        <v>0</v>
      </c>
      <c r="J139" s="23">
        <v>0</v>
      </c>
      <c r="K139" s="60"/>
    </row>
    <row r="140" spans="1:11" s="2" customFormat="1" ht="13.5" x14ac:dyDescent="0.25">
      <c r="A140" s="505"/>
      <c r="B140" s="47" t="s">
        <v>169</v>
      </c>
      <c r="C140" s="48"/>
      <c r="D140" s="48" t="s">
        <v>224</v>
      </c>
      <c r="E140" s="48"/>
      <c r="F140" s="48" t="s">
        <v>199</v>
      </c>
      <c r="G140" s="485"/>
      <c r="H140" s="22">
        <v>3000</v>
      </c>
      <c r="I140" s="23">
        <v>0</v>
      </c>
      <c r="J140" s="23">
        <v>0</v>
      </c>
      <c r="K140" s="60"/>
    </row>
    <row r="141" spans="1:11" s="2" customFormat="1" ht="14.25" thickBot="1" x14ac:dyDescent="0.25">
      <c r="A141" s="476" t="s">
        <v>221</v>
      </c>
      <c r="B141" s="477"/>
      <c r="C141" s="477"/>
      <c r="D141" s="477"/>
      <c r="E141" s="477"/>
      <c r="F141" s="477"/>
      <c r="G141" s="477"/>
      <c r="H141" s="61">
        <f>SUM(H123:H140)</f>
        <v>491669</v>
      </c>
      <c r="I141" s="61">
        <f>SUM(I123:I140)</f>
        <v>2000</v>
      </c>
      <c r="J141" s="61">
        <f>SUM(J123:J140)</f>
        <v>2000</v>
      </c>
      <c r="K141" s="68">
        <f>+J141/H141</f>
        <v>4.0677773054636351E-3</v>
      </c>
    </row>
    <row r="142" spans="1:11" s="2" customFormat="1" ht="14.25" thickBot="1" x14ac:dyDescent="0.25">
      <c r="A142" s="478"/>
      <c r="B142" s="478"/>
      <c r="C142" s="478"/>
      <c r="D142" s="478"/>
      <c r="E142" s="478"/>
      <c r="F142" s="478"/>
      <c r="G142" s="478"/>
      <c r="H142" s="478"/>
      <c r="I142" s="478"/>
      <c r="J142" s="478"/>
      <c r="K142" s="478"/>
    </row>
    <row r="143" spans="1:11" ht="13.5" x14ac:dyDescent="0.2">
      <c r="A143" s="482" t="s">
        <v>244</v>
      </c>
      <c r="B143" s="483"/>
      <c r="C143" s="483"/>
      <c r="D143" s="483"/>
      <c r="E143" s="483"/>
      <c r="F143" s="483"/>
      <c r="G143" s="483"/>
      <c r="H143" s="483"/>
      <c r="I143" s="483"/>
      <c r="J143" s="483"/>
      <c r="K143" s="484"/>
    </row>
    <row r="144" spans="1:11" ht="11.25" customHeight="1" x14ac:dyDescent="0.2">
      <c r="A144" s="490" t="s">
        <v>222</v>
      </c>
      <c r="B144" s="485" t="s">
        <v>227</v>
      </c>
      <c r="C144" s="485" t="s">
        <v>223</v>
      </c>
      <c r="D144" s="485"/>
      <c r="E144" s="485"/>
      <c r="F144" s="485" t="s">
        <v>225</v>
      </c>
      <c r="G144" s="485" t="s">
        <v>226</v>
      </c>
      <c r="H144" s="492" t="s">
        <v>251</v>
      </c>
      <c r="I144" s="493"/>
      <c r="J144" s="493"/>
      <c r="K144" s="494"/>
    </row>
    <row r="145" spans="1:11" ht="27.75" thickBot="1" x14ac:dyDescent="0.25">
      <c r="A145" s="491"/>
      <c r="B145" s="486"/>
      <c r="C145" s="33" t="s">
        <v>63</v>
      </c>
      <c r="D145" s="33" t="s">
        <v>64</v>
      </c>
      <c r="E145" s="33" t="s">
        <v>65</v>
      </c>
      <c r="F145" s="486"/>
      <c r="G145" s="486"/>
      <c r="H145" s="34" t="s">
        <v>228</v>
      </c>
      <c r="I145" s="33" t="s">
        <v>229</v>
      </c>
      <c r="J145" s="33" t="s">
        <v>230</v>
      </c>
      <c r="K145" s="35" t="s">
        <v>231</v>
      </c>
    </row>
    <row r="146" spans="1:11" s="2" customFormat="1" ht="13.5" x14ac:dyDescent="0.25">
      <c r="A146" s="502" t="s">
        <v>170</v>
      </c>
      <c r="B146" s="20" t="s">
        <v>173</v>
      </c>
      <c r="C146" s="21" t="s">
        <v>224</v>
      </c>
      <c r="D146" s="21"/>
      <c r="E146" s="21"/>
      <c r="F146" s="21" t="s">
        <v>171</v>
      </c>
      <c r="G146" s="501" t="s">
        <v>172</v>
      </c>
      <c r="H146" s="22">
        <v>2820</v>
      </c>
      <c r="I146" s="23"/>
      <c r="J146" s="23"/>
      <c r="K146" s="24">
        <f t="shared" ref="K146:K152" si="1">J146/H146</f>
        <v>0</v>
      </c>
    </row>
    <row r="147" spans="1:11" s="2" customFormat="1" ht="27" x14ac:dyDescent="0.2">
      <c r="A147" s="502"/>
      <c r="B147" s="25" t="s">
        <v>174</v>
      </c>
      <c r="C147" s="21" t="s">
        <v>224</v>
      </c>
      <c r="D147" s="21"/>
      <c r="E147" s="21"/>
      <c r="F147" s="21" t="s">
        <v>171</v>
      </c>
      <c r="G147" s="501"/>
      <c r="H147" s="22">
        <v>5860</v>
      </c>
      <c r="I147" s="26"/>
      <c r="J147" s="26">
        <v>2287</v>
      </c>
      <c r="K147" s="24">
        <f t="shared" si="1"/>
        <v>0.39027303754266213</v>
      </c>
    </row>
    <row r="148" spans="1:11" s="2" customFormat="1" ht="40.5" x14ac:dyDescent="0.2">
      <c r="A148" s="502"/>
      <c r="B148" s="20" t="s">
        <v>175</v>
      </c>
      <c r="C148" s="21" t="s">
        <v>224</v>
      </c>
      <c r="D148" s="21" t="s">
        <v>224</v>
      </c>
      <c r="E148" s="21"/>
      <c r="F148" s="21" t="s">
        <v>171</v>
      </c>
      <c r="G148" s="501"/>
      <c r="H148" s="22">
        <v>14220</v>
      </c>
      <c r="I148" s="26">
        <v>1037.53</v>
      </c>
      <c r="J148" s="26">
        <v>10883.25</v>
      </c>
      <c r="K148" s="24">
        <f t="shared" si="1"/>
        <v>0.76534810126582276</v>
      </c>
    </row>
    <row r="149" spans="1:11" s="8" customFormat="1" ht="27" x14ac:dyDescent="0.25">
      <c r="A149" s="502"/>
      <c r="B149" s="20" t="s">
        <v>233</v>
      </c>
      <c r="C149" s="21"/>
      <c r="D149" s="21" t="s">
        <v>224</v>
      </c>
      <c r="E149" s="21"/>
      <c r="F149" s="21" t="s">
        <v>171</v>
      </c>
      <c r="G149" s="501"/>
      <c r="H149" s="22">
        <v>200000</v>
      </c>
      <c r="I149" s="23"/>
      <c r="J149" s="23"/>
      <c r="K149" s="24">
        <f t="shared" si="1"/>
        <v>0</v>
      </c>
    </row>
    <row r="150" spans="1:11" s="2" customFormat="1" ht="27" x14ac:dyDescent="0.25">
      <c r="A150" s="502"/>
      <c r="B150" s="20" t="s">
        <v>234</v>
      </c>
      <c r="C150" s="21"/>
      <c r="D150" s="21" t="s">
        <v>224</v>
      </c>
      <c r="E150" s="21"/>
      <c r="F150" s="21" t="s">
        <v>199</v>
      </c>
      <c r="G150" s="501"/>
      <c r="H150" s="22">
        <v>73776</v>
      </c>
      <c r="I150" s="23"/>
      <c r="J150" s="23"/>
      <c r="K150" s="24">
        <f t="shared" si="1"/>
        <v>0</v>
      </c>
    </row>
    <row r="151" spans="1:11" s="2" customFormat="1" ht="27" x14ac:dyDescent="0.25">
      <c r="A151" s="502"/>
      <c r="B151" s="20" t="s">
        <v>176</v>
      </c>
      <c r="C151" s="21"/>
      <c r="D151" s="21" t="s">
        <v>224</v>
      </c>
      <c r="E151" s="21"/>
      <c r="F151" s="21" t="s">
        <v>171</v>
      </c>
      <c r="G151" s="501"/>
      <c r="H151" s="22">
        <v>14090</v>
      </c>
      <c r="I151" s="23"/>
      <c r="J151" s="23"/>
      <c r="K151" s="24">
        <f t="shared" si="1"/>
        <v>0</v>
      </c>
    </row>
    <row r="152" spans="1:11" s="2" customFormat="1" ht="27" x14ac:dyDescent="0.25">
      <c r="A152" s="502"/>
      <c r="B152" s="20" t="s">
        <v>177</v>
      </c>
      <c r="C152" s="21"/>
      <c r="D152" s="21" t="s">
        <v>224</v>
      </c>
      <c r="E152" s="21"/>
      <c r="F152" s="21" t="s">
        <v>171</v>
      </c>
      <c r="G152" s="501"/>
      <c r="H152" s="22">
        <v>11300</v>
      </c>
      <c r="I152" s="23"/>
      <c r="J152" s="23"/>
      <c r="K152" s="24">
        <f t="shared" si="1"/>
        <v>0</v>
      </c>
    </row>
    <row r="153" spans="1:11" s="2" customFormat="1" ht="14.25" thickBot="1" x14ac:dyDescent="0.25">
      <c r="A153" s="476" t="s">
        <v>221</v>
      </c>
      <c r="B153" s="477"/>
      <c r="C153" s="477"/>
      <c r="D153" s="477"/>
      <c r="E153" s="477"/>
      <c r="F153" s="477"/>
      <c r="G153" s="477"/>
      <c r="H153" s="61">
        <f>SUM(H146:H152)</f>
        <v>322066</v>
      </c>
      <c r="I153" s="61">
        <f>SUM(I146:I152)</f>
        <v>1037.53</v>
      </c>
      <c r="J153" s="61">
        <f>SUM(J146:J152)</f>
        <v>13170.25</v>
      </c>
      <c r="K153" s="68">
        <f>+J153/H153</f>
        <v>4.0893015717275341E-2</v>
      </c>
    </row>
    <row r="154" spans="1:11" s="2" customFormat="1" ht="14.25" thickBot="1" x14ac:dyDescent="0.25">
      <c r="A154" s="478"/>
      <c r="B154" s="478"/>
      <c r="C154" s="478"/>
      <c r="D154" s="478"/>
      <c r="E154" s="478"/>
      <c r="F154" s="478"/>
      <c r="G154" s="478"/>
      <c r="H154" s="478"/>
      <c r="I154" s="478"/>
      <c r="J154" s="478"/>
      <c r="K154" s="478"/>
    </row>
    <row r="155" spans="1:11" ht="13.5" x14ac:dyDescent="0.2">
      <c r="A155" s="482" t="s">
        <v>244</v>
      </c>
      <c r="B155" s="483"/>
      <c r="C155" s="483"/>
      <c r="D155" s="483"/>
      <c r="E155" s="483"/>
      <c r="F155" s="483"/>
      <c r="G155" s="483"/>
      <c r="H155" s="483"/>
      <c r="I155" s="483"/>
      <c r="J155" s="483"/>
      <c r="K155" s="484"/>
    </row>
    <row r="156" spans="1:11" ht="11.25" customHeight="1" x14ac:dyDescent="0.2">
      <c r="A156" s="490" t="s">
        <v>222</v>
      </c>
      <c r="B156" s="485" t="s">
        <v>227</v>
      </c>
      <c r="C156" s="485" t="s">
        <v>223</v>
      </c>
      <c r="D156" s="485"/>
      <c r="E156" s="485"/>
      <c r="F156" s="485" t="s">
        <v>225</v>
      </c>
      <c r="G156" s="485" t="s">
        <v>226</v>
      </c>
      <c r="H156" s="492" t="s">
        <v>251</v>
      </c>
      <c r="I156" s="493"/>
      <c r="J156" s="493"/>
      <c r="K156" s="494"/>
    </row>
    <row r="157" spans="1:11" ht="27.75" thickBot="1" x14ac:dyDescent="0.25">
      <c r="A157" s="491"/>
      <c r="B157" s="486"/>
      <c r="C157" s="33" t="s">
        <v>63</v>
      </c>
      <c r="D157" s="33" t="s">
        <v>64</v>
      </c>
      <c r="E157" s="33" t="s">
        <v>65</v>
      </c>
      <c r="F157" s="486"/>
      <c r="G157" s="486"/>
      <c r="H157" s="34" t="s">
        <v>228</v>
      </c>
      <c r="I157" s="33" t="s">
        <v>229</v>
      </c>
      <c r="J157" s="33" t="s">
        <v>230</v>
      </c>
      <c r="K157" s="35" t="s">
        <v>231</v>
      </c>
    </row>
    <row r="158" spans="1:11" s="2" customFormat="1" ht="40.5" x14ac:dyDescent="0.25">
      <c r="A158" s="506" t="s">
        <v>178</v>
      </c>
      <c r="B158" s="20" t="s">
        <v>181</v>
      </c>
      <c r="C158" s="21"/>
      <c r="D158" s="21" t="s">
        <v>224</v>
      </c>
      <c r="E158" s="21"/>
      <c r="F158" s="21" t="s">
        <v>179</v>
      </c>
      <c r="G158" s="498" t="s">
        <v>180</v>
      </c>
      <c r="H158" s="22">
        <v>12000</v>
      </c>
      <c r="I158" s="23">
        <v>0</v>
      </c>
      <c r="J158" s="23">
        <v>0</v>
      </c>
      <c r="K158" s="60"/>
    </row>
    <row r="159" spans="1:11" s="2" customFormat="1" ht="40.5" x14ac:dyDescent="0.25">
      <c r="A159" s="507"/>
      <c r="B159" s="20" t="s">
        <v>182</v>
      </c>
      <c r="C159" s="21"/>
      <c r="D159" s="21" t="s">
        <v>224</v>
      </c>
      <c r="E159" s="21"/>
      <c r="F159" s="21" t="s">
        <v>179</v>
      </c>
      <c r="G159" s="499"/>
      <c r="H159" s="22">
        <v>12000</v>
      </c>
      <c r="I159" s="23">
        <v>0</v>
      </c>
      <c r="J159" s="23">
        <v>0</v>
      </c>
      <c r="K159" s="60"/>
    </row>
    <row r="160" spans="1:11" s="2" customFormat="1" ht="27" x14ac:dyDescent="0.25">
      <c r="A160" s="507"/>
      <c r="B160" s="20" t="s">
        <v>183</v>
      </c>
      <c r="C160" s="21"/>
      <c r="D160" s="21" t="s">
        <v>224</v>
      </c>
      <c r="E160" s="21" t="s">
        <v>224</v>
      </c>
      <c r="F160" s="21" t="s">
        <v>67</v>
      </c>
      <c r="G160" s="499"/>
      <c r="H160" s="22">
        <v>40000</v>
      </c>
      <c r="I160" s="23">
        <v>0</v>
      </c>
      <c r="J160" s="23">
        <v>0</v>
      </c>
      <c r="K160" s="60"/>
    </row>
    <row r="161" spans="1:11" s="2" customFormat="1" ht="27" x14ac:dyDescent="0.25">
      <c r="A161" s="507"/>
      <c r="B161" s="20" t="s">
        <v>184</v>
      </c>
      <c r="C161" s="21"/>
      <c r="D161" s="21" t="s">
        <v>224</v>
      </c>
      <c r="E161" s="21" t="s">
        <v>224</v>
      </c>
      <c r="F161" s="21" t="s">
        <v>199</v>
      </c>
      <c r="G161" s="499"/>
      <c r="H161" s="22">
        <v>29020</v>
      </c>
      <c r="I161" s="23">
        <v>0</v>
      </c>
      <c r="J161" s="23">
        <v>0</v>
      </c>
      <c r="K161" s="60"/>
    </row>
    <row r="162" spans="1:11" s="2" customFormat="1" ht="27" x14ac:dyDescent="0.25">
      <c r="A162" s="507"/>
      <c r="B162" s="20" t="s">
        <v>185</v>
      </c>
      <c r="C162" s="21"/>
      <c r="D162" s="21" t="s">
        <v>224</v>
      </c>
      <c r="E162" s="21"/>
      <c r="F162" s="21" t="s">
        <v>179</v>
      </c>
      <c r="G162" s="499"/>
      <c r="H162" s="22">
        <v>40000</v>
      </c>
      <c r="I162" s="23">
        <v>0</v>
      </c>
      <c r="J162" s="23">
        <v>0</v>
      </c>
      <c r="K162" s="60"/>
    </row>
    <row r="163" spans="1:11" s="2" customFormat="1" ht="27" x14ac:dyDescent="0.25">
      <c r="A163" s="507"/>
      <c r="B163" s="20" t="s">
        <v>186</v>
      </c>
      <c r="C163" s="21"/>
      <c r="D163" s="21" t="s">
        <v>224</v>
      </c>
      <c r="E163" s="21" t="s">
        <v>224</v>
      </c>
      <c r="F163" s="21" t="s">
        <v>171</v>
      </c>
      <c r="G163" s="499"/>
      <c r="H163" s="22">
        <v>13330</v>
      </c>
      <c r="I163" s="23">
        <v>0</v>
      </c>
      <c r="J163" s="23">
        <v>0</v>
      </c>
      <c r="K163" s="60"/>
    </row>
    <row r="164" spans="1:11" s="2" customFormat="1" ht="27" x14ac:dyDescent="0.25">
      <c r="A164" s="507"/>
      <c r="B164" s="20" t="s">
        <v>187</v>
      </c>
      <c r="C164" s="21"/>
      <c r="D164" s="21" t="s">
        <v>224</v>
      </c>
      <c r="E164" s="21" t="s">
        <v>224</v>
      </c>
      <c r="F164" s="21" t="s">
        <v>76</v>
      </c>
      <c r="G164" s="499"/>
      <c r="H164" s="22">
        <v>26800</v>
      </c>
      <c r="I164" s="23">
        <v>0</v>
      </c>
      <c r="J164" s="23">
        <v>0</v>
      </c>
      <c r="K164" s="60"/>
    </row>
    <row r="165" spans="1:11" s="2" customFormat="1" ht="40.5" x14ac:dyDescent="0.25">
      <c r="A165" s="507"/>
      <c r="B165" s="69" t="s">
        <v>192</v>
      </c>
      <c r="C165" s="70"/>
      <c r="D165" s="70" t="s">
        <v>224</v>
      </c>
      <c r="E165" s="70"/>
      <c r="F165" s="70" t="s">
        <v>179</v>
      </c>
      <c r="G165" s="499"/>
      <c r="H165" s="71">
        <v>130000</v>
      </c>
      <c r="I165" s="23">
        <v>0</v>
      </c>
      <c r="J165" s="23">
        <v>0</v>
      </c>
      <c r="K165" s="66"/>
    </row>
    <row r="166" spans="1:11" s="2" customFormat="1" ht="27" x14ac:dyDescent="0.25">
      <c r="A166" s="507"/>
      <c r="B166" s="20" t="s">
        <v>193</v>
      </c>
      <c r="C166" s="21"/>
      <c r="D166" s="21"/>
      <c r="E166" s="21" t="s">
        <v>224</v>
      </c>
      <c r="F166" s="21" t="s">
        <v>179</v>
      </c>
      <c r="G166" s="499"/>
      <c r="H166" s="22">
        <v>24000</v>
      </c>
      <c r="I166" s="23">
        <v>0</v>
      </c>
      <c r="J166" s="23">
        <v>0</v>
      </c>
      <c r="K166" s="60"/>
    </row>
    <row r="167" spans="1:11" s="2" customFormat="1" ht="17.25" customHeight="1" x14ac:dyDescent="0.25">
      <c r="A167" s="507"/>
      <c r="B167" s="20" t="s">
        <v>194</v>
      </c>
      <c r="C167" s="21"/>
      <c r="D167" s="21" t="s">
        <v>224</v>
      </c>
      <c r="E167" s="21" t="s">
        <v>224</v>
      </c>
      <c r="F167" s="21" t="s">
        <v>171</v>
      </c>
      <c r="G167" s="499"/>
      <c r="H167" s="22">
        <v>200000</v>
      </c>
      <c r="I167" s="23">
        <v>0</v>
      </c>
      <c r="J167" s="23">
        <v>0</v>
      </c>
      <c r="K167" s="60"/>
    </row>
    <row r="168" spans="1:11" s="2" customFormat="1" ht="40.5" x14ac:dyDescent="0.25">
      <c r="A168" s="507"/>
      <c r="B168" s="20" t="s">
        <v>196</v>
      </c>
      <c r="C168" s="21"/>
      <c r="D168" s="21"/>
      <c r="E168" s="21" t="s">
        <v>224</v>
      </c>
      <c r="F168" s="21" t="s">
        <v>85</v>
      </c>
      <c r="G168" s="499"/>
      <c r="H168" s="22">
        <v>20000</v>
      </c>
      <c r="I168" s="23">
        <v>0</v>
      </c>
      <c r="J168" s="23">
        <v>0</v>
      </c>
      <c r="K168" s="60"/>
    </row>
    <row r="169" spans="1:11" s="2" customFormat="1" ht="27" x14ac:dyDescent="0.25">
      <c r="A169" s="508"/>
      <c r="B169" s="20" t="s">
        <v>197</v>
      </c>
      <c r="C169" s="21"/>
      <c r="D169" s="21" t="s">
        <v>224</v>
      </c>
      <c r="E169" s="21" t="s">
        <v>224</v>
      </c>
      <c r="F169" s="21" t="s">
        <v>179</v>
      </c>
      <c r="G169" s="500"/>
      <c r="H169" s="22">
        <v>89439</v>
      </c>
      <c r="I169" s="23">
        <v>0</v>
      </c>
      <c r="J169" s="23">
        <v>0</v>
      </c>
      <c r="K169" s="60"/>
    </row>
    <row r="170" spans="1:11" s="2" customFormat="1" ht="14.25" thickBot="1" x14ac:dyDescent="0.3">
      <c r="A170" s="476" t="s">
        <v>221</v>
      </c>
      <c r="B170" s="477"/>
      <c r="C170" s="477"/>
      <c r="D170" s="477"/>
      <c r="E170" s="477"/>
      <c r="F170" s="477"/>
      <c r="G170" s="477"/>
      <c r="H170" s="61">
        <f>SUM(H158:H169)</f>
        <v>636589</v>
      </c>
      <c r="I170" s="62">
        <f>+SUM(I158:I169)</f>
        <v>0</v>
      </c>
      <c r="J170" s="62">
        <f>+SUM(J158:J169)</f>
        <v>0</v>
      </c>
      <c r="K170" s="63"/>
    </row>
    <row r="171" spans="1:11" s="2" customFormat="1" ht="14.25" thickBot="1" x14ac:dyDescent="0.25">
      <c r="A171" s="478"/>
      <c r="B171" s="478"/>
      <c r="C171" s="478"/>
      <c r="D171" s="478"/>
      <c r="E171" s="478"/>
      <c r="F171" s="478"/>
      <c r="G171" s="478"/>
      <c r="H171" s="478"/>
      <c r="I171" s="478"/>
      <c r="J171" s="478"/>
      <c r="K171" s="478"/>
    </row>
    <row r="172" spans="1:11" ht="13.5" x14ac:dyDescent="0.2">
      <c r="A172" s="482" t="s">
        <v>244</v>
      </c>
      <c r="B172" s="483"/>
      <c r="C172" s="483"/>
      <c r="D172" s="483"/>
      <c r="E172" s="483"/>
      <c r="F172" s="483"/>
      <c r="G172" s="483"/>
      <c r="H172" s="483"/>
      <c r="I172" s="483"/>
      <c r="J172" s="483"/>
      <c r="K172" s="484"/>
    </row>
    <row r="173" spans="1:11" ht="11.25" customHeight="1" x14ac:dyDescent="0.2">
      <c r="A173" s="490" t="s">
        <v>222</v>
      </c>
      <c r="B173" s="485" t="s">
        <v>227</v>
      </c>
      <c r="C173" s="485" t="s">
        <v>223</v>
      </c>
      <c r="D173" s="485"/>
      <c r="E173" s="485"/>
      <c r="F173" s="485" t="s">
        <v>225</v>
      </c>
      <c r="G173" s="485" t="s">
        <v>226</v>
      </c>
      <c r="H173" s="492" t="s">
        <v>251</v>
      </c>
      <c r="I173" s="493"/>
      <c r="J173" s="493"/>
      <c r="K173" s="494"/>
    </row>
    <row r="174" spans="1:11" ht="31.5" customHeight="1" thickBot="1" x14ac:dyDescent="0.25">
      <c r="A174" s="491"/>
      <c r="B174" s="486"/>
      <c r="C174" s="33" t="s">
        <v>63</v>
      </c>
      <c r="D174" s="33" t="s">
        <v>64</v>
      </c>
      <c r="E174" s="33" t="s">
        <v>65</v>
      </c>
      <c r="F174" s="486"/>
      <c r="G174" s="486"/>
      <c r="H174" s="34" t="s">
        <v>228</v>
      </c>
      <c r="I174" s="33" t="s">
        <v>229</v>
      </c>
      <c r="J174" s="33" t="s">
        <v>230</v>
      </c>
      <c r="K174" s="35" t="s">
        <v>231</v>
      </c>
    </row>
    <row r="175" spans="1:11" s="2" customFormat="1" ht="33" customHeight="1" x14ac:dyDescent="0.25">
      <c r="A175" s="502" t="s">
        <v>198</v>
      </c>
      <c r="B175" s="25" t="s">
        <v>200</v>
      </c>
      <c r="C175" s="21"/>
      <c r="D175" s="21" t="s">
        <v>224</v>
      </c>
      <c r="E175" s="21" t="s">
        <v>224</v>
      </c>
      <c r="F175" s="21" t="s">
        <v>67</v>
      </c>
      <c r="G175" s="498" t="s">
        <v>172</v>
      </c>
      <c r="H175" s="22">
        <v>14577</v>
      </c>
      <c r="I175" s="23">
        <v>0</v>
      </c>
      <c r="J175" s="23">
        <v>0</v>
      </c>
      <c r="K175" s="60"/>
    </row>
    <row r="176" spans="1:11" s="2" customFormat="1" ht="30.75" customHeight="1" x14ac:dyDescent="0.25">
      <c r="A176" s="502"/>
      <c r="B176" s="25" t="s">
        <v>201</v>
      </c>
      <c r="C176" s="21"/>
      <c r="D176" s="21" t="s">
        <v>224</v>
      </c>
      <c r="E176" s="21"/>
      <c r="F176" s="21" t="s">
        <v>85</v>
      </c>
      <c r="G176" s="499"/>
      <c r="H176" s="22">
        <v>10000</v>
      </c>
      <c r="I176" s="23">
        <v>0</v>
      </c>
      <c r="J176" s="23">
        <v>0</v>
      </c>
      <c r="K176" s="60"/>
    </row>
    <row r="177" spans="1:11" s="2" customFormat="1" ht="29.25" customHeight="1" x14ac:dyDescent="0.25">
      <c r="A177" s="502"/>
      <c r="B177" s="20" t="s">
        <v>202</v>
      </c>
      <c r="C177" s="21"/>
      <c r="D177" s="21" t="s">
        <v>224</v>
      </c>
      <c r="E177" s="21" t="s">
        <v>224</v>
      </c>
      <c r="F177" s="21" t="s">
        <v>199</v>
      </c>
      <c r="G177" s="499"/>
      <c r="H177" s="22">
        <v>25400</v>
      </c>
      <c r="I177" s="23">
        <v>0</v>
      </c>
      <c r="J177" s="23">
        <v>0</v>
      </c>
      <c r="K177" s="60"/>
    </row>
    <row r="178" spans="1:11" s="2" customFormat="1" ht="31.5" customHeight="1" x14ac:dyDescent="0.25">
      <c r="A178" s="502"/>
      <c r="B178" s="20" t="s">
        <v>203</v>
      </c>
      <c r="C178" s="21"/>
      <c r="D178" s="21" t="s">
        <v>224</v>
      </c>
      <c r="E178" s="21" t="s">
        <v>224</v>
      </c>
      <c r="F178" s="21" t="s">
        <v>67</v>
      </c>
      <c r="G178" s="499"/>
      <c r="H178" s="22">
        <v>40000</v>
      </c>
      <c r="I178" s="23">
        <v>0</v>
      </c>
      <c r="J178" s="23">
        <v>0</v>
      </c>
      <c r="K178" s="60"/>
    </row>
    <row r="179" spans="1:11" s="2" customFormat="1" ht="30.75" customHeight="1" x14ac:dyDescent="0.25">
      <c r="A179" s="502"/>
      <c r="B179" s="20" t="s">
        <v>204</v>
      </c>
      <c r="C179" s="21"/>
      <c r="D179" s="21" t="s">
        <v>224</v>
      </c>
      <c r="E179" s="21" t="s">
        <v>224</v>
      </c>
      <c r="F179" s="21" t="s">
        <v>67</v>
      </c>
      <c r="G179" s="500"/>
      <c r="H179" s="22">
        <v>50000</v>
      </c>
      <c r="I179" s="23">
        <v>0</v>
      </c>
      <c r="J179" s="23">
        <v>0</v>
      </c>
      <c r="K179" s="60"/>
    </row>
    <row r="180" spans="1:11" s="2" customFormat="1" ht="14.25" thickBot="1" x14ac:dyDescent="0.3">
      <c r="A180" s="476" t="s">
        <v>221</v>
      </c>
      <c r="B180" s="477"/>
      <c r="C180" s="477"/>
      <c r="D180" s="477"/>
      <c r="E180" s="477"/>
      <c r="F180" s="477"/>
      <c r="G180" s="477"/>
      <c r="H180" s="61">
        <f>SUM(H175:H179)</f>
        <v>139977</v>
      </c>
      <c r="I180" s="62">
        <f>+SUM(I175:I179)</f>
        <v>0</v>
      </c>
      <c r="J180" s="62">
        <f>+SUM(J175:J179)</f>
        <v>0</v>
      </c>
      <c r="K180" s="63"/>
    </row>
    <row r="181" spans="1:11" s="2" customFormat="1" ht="14.25" thickBot="1" x14ac:dyDescent="0.25">
      <c r="A181" s="478"/>
      <c r="B181" s="478"/>
      <c r="C181" s="478"/>
      <c r="D181" s="478"/>
      <c r="E181" s="478"/>
      <c r="F181" s="478"/>
      <c r="G181" s="478"/>
      <c r="H181" s="478"/>
      <c r="I181" s="478"/>
      <c r="J181" s="478"/>
      <c r="K181" s="478"/>
    </row>
    <row r="182" spans="1:11" ht="13.5" x14ac:dyDescent="0.2">
      <c r="A182" s="482" t="s">
        <v>244</v>
      </c>
      <c r="B182" s="483"/>
      <c r="C182" s="483"/>
      <c r="D182" s="483"/>
      <c r="E182" s="483"/>
      <c r="F182" s="483"/>
      <c r="G182" s="483"/>
      <c r="H182" s="483"/>
      <c r="I182" s="483"/>
      <c r="J182" s="483"/>
      <c r="K182" s="484"/>
    </row>
    <row r="183" spans="1:11" ht="11.25" customHeight="1" x14ac:dyDescent="0.2">
      <c r="A183" s="490" t="s">
        <v>222</v>
      </c>
      <c r="B183" s="485" t="s">
        <v>227</v>
      </c>
      <c r="C183" s="485" t="s">
        <v>223</v>
      </c>
      <c r="D183" s="485"/>
      <c r="E183" s="485"/>
      <c r="F183" s="485" t="s">
        <v>225</v>
      </c>
      <c r="G183" s="485" t="s">
        <v>226</v>
      </c>
      <c r="H183" s="492" t="s">
        <v>251</v>
      </c>
      <c r="I183" s="493"/>
      <c r="J183" s="493"/>
      <c r="K183" s="494"/>
    </row>
    <row r="184" spans="1:11" ht="27.75" thickBot="1" x14ac:dyDescent="0.25">
      <c r="A184" s="491"/>
      <c r="B184" s="486"/>
      <c r="C184" s="33" t="s">
        <v>63</v>
      </c>
      <c r="D184" s="33" t="s">
        <v>64</v>
      </c>
      <c r="E184" s="33" t="s">
        <v>65</v>
      </c>
      <c r="F184" s="486"/>
      <c r="G184" s="486"/>
      <c r="H184" s="34" t="s">
        <v>228</v>
      </c>
      <c r="I184" s="33" t="s">
        <v>229</v>
      </c>
      <c r="J184" s="33" t="s">
        <v>230</v>
      </c>
      <c r="K184" s="35" t="s">
        <v>231</v>
      </c>
    </row>
    <row r="185" spans="1:11" ht="54" x14ac:dyDescent="0.25">
      <c r="A185" s="495" t="s">
        <v>205</v>
      </c>
      <c r="B185" s="47" t="s">
        <v>206</v>
      </c>
      <c r="C185" s="48"/>
      <c r="D185" s="48" t="s">
        <v>224</v>
      </c>
      <c r="E185" s="48" t="s">
        <v>224</v>
      </c>
      <c r="F185" s="21" t="s">
        <v>76</v>
      </c>
      <c r="G185" s="498" t="s">
        <v>92</v>
      </c>
      <c r="H185" s="22">
        <v>31017</v>
      </c>
      <c r="I185" s="23">
        <v>0</v>
      </c>
      <c r="J185" s="23">
        <v>0</v>
      </c>
      <c r="K185" s="60"/>
    </row>
    <row r="186" spans="1:11" s="2" customFormat="1" ht="40.5" x14ac:dyDescent="0.25">
      <c r="A186" s="496"/>
      <c r="B186" s="20" t="s">
        <v>207</v>
      </c>
      <c r="C186" s="21"/>
      <c r="D186" s="21" t="s">
        <v>224</v>
      </c>
      <c r="E186" s="21" t="s">
        <v>224</v>
      </c>
      <c r="F186" s="21" t="s">
        <v>85</v>
      </c>
      <c r="G186" s="499"/>
      <c r="H186" s="22">
        <v>45000</v>
      </c>
      <c r="I186" s="23">
        <v>0</v>
      </c>
      <c r="J186" s="23">
        <v>0</v>
      </c>
      <c r="K186" s="60"/>
    </row>
    <row r="187" spans="1:11" s="2" customFormat="1" ht="27" x14ac:dyDescent="0.25">
      <c r="A187" s="496"/>
      <c r="B187" s="20" t="s">
        <v>208</v>
      </c>
      <c r="C187" s="21"/>
      <c r="D187" s="21" t="s">
        <v>224</v>
      </c>
      <c r="E187" s="21"/>
      <c r="F187" s="21" t="s">
        <v>76</v>
      </c>
      <c r="G187" s="499"/>
      <c r="H187" s="22">
        <v>10500</v>
      </c>
      <c r="I187" s="23">
        <v>0</v>
      </c>
      <c r="J187" s="23">
        <v>0</v>
      </c>
      <c r="K187" s="60"/>
    </row>
    <row r="188" spans="1:11" s="2" customFormat="1" ht="27" x14ac:dyDescent="0.25">
      <c r="A188" s="496"/>
      <c r="B188" s="20" t="s">
        <v>209</v>
      </c>
      <c r="C188" s="21"/>
      <c r="D188" s="21" t="s">
        <v>224</v>
      </c>
      <c r="E188" s="21"/>
      <c r="F188" s="21" t="s">
        <v>171</v>
      </c>
      <c r="G188" s="499"/>
      <c r="H188" s="22">
        <v>5200</v>
      </c>
      <c r="I188" s="23">
        <v>0</v>
      </c>
      <c r="J188" s="23">
        <v>0</v>
      </c>
      <c r="K188" s="60"/>
    </row>
    <row r="189" spans="1:11" s="2" customFormat="1" ht="54" x14ac:dyDescent="0.25">
      <c r="A189" s="496"/>
      <c r="B189" s="47" t="s">
        <v>210</v>
      </c>
      <c r="C189" s="48"/>
      <c r="D189" s="48" t="s">
        <v>224</v>
      </c>
      <c r="E189" s="48" t="s">
        <v>224</v>
      </c>
      <c r="F189" s="21" t="s">
        <v>76</v>
      </c>
      <c r="G189" s="499"/>
      <c r="H189" s="22">
        <v>49117</v>
      </c>
      <c r="I189" s="23">
        <v>0</v>
      </c>
      <c r="J189" s="23">
        <v>0</v>
      </c>
      <c r="K189" s="60"/>
    </row>
    <row r="190" spans="1:11" ht="40.5" x14ac:dyDescent="0.25">
      <c r="A190" s="496"/>
      <c r="B190" s="57" t="s">
        <v>211</v>
      </c>
      <c r="C190" s="48"/>
      <c r="D190" s="48" t="s">
        <v>224</v>
      </c>
      <c r="E190" s="48" t="s">
        <v>224</v>
      </c>
      <c r="F190" s="21" t="s">
        <v>76</v>
      </c>
      <c r="G190" s="499"/>
      <c r="H190" s="22">
        <v>26417</v>
      </c>
      <c r="I190" s="23">
        <v>0</v>
      </c>
      <c r="J190" s="23">
        <v>0</v>
      </c>
      <c r="K190" s="60"/>
    </row>
    <row r="191" spans="1:11" s="2" customFormat="1" ht="40.5" x14ac:dyDescent="0.25">
      <c r="A191" s="497"/>
      <c r="B191" s="25" t="s">
        <v>212</v>
      </c>
      <c r="C191" s="21"/>
      <c r="D191" s="21" t="s">
        <v>224</v>
      </c>
      <c r="E191" s="21" t="s">
        <v>224</v>
      </c>
      <c r="F191" s="21" t="s">
        <v>85</v>
      </c>
      <c r="G191" s="500"/>
      <c r="H191" s="22">
        <v>20000</v>
      </c>
      <c r="I191" s="23">
        <v>0</v>
      </c>
      <c r="J191" s="23">
        <v>0</v>
      </c>
      <c r="K191" s="60"/>
    </row>
    <row r="192" spans="1:11" s="2" customFormat="1" ht="14.25" thickBot="1" x14ac:dyDescent="0.3">
      <c r="A192" s="476" t="s">
        <v>221</v>
      </c>
      <c r="B192" s="477"/>
      <c r="C192" s="477"/>
      <c r="D192" s="477"/>
      <c r="E192" s="477"/>
      <c r="F192" s="477"/>
      <c r="G192" s="477"/>
      <c r="H192" s="61">
        <f>SUM(H185:H191)</f>
        <v>187251</v>
      </c>
      <c r="I192" s="62">
        <f>+SUM(I185:I191)</f>
        <v>0</v>
      </c>
      <c r="J192" s="62">
        <f>+SUM(J185:J191)</f>
        <v>0</v>
      </c>
      <c r="K192" s="63"/>
    </row>
    <row r="193" spans="1:11" s="2" customFormat="1" ht="14.25" thickBot="1" x14ac:dyDescent="0.25">
      <c r="A193" s="478"/>
      <c r="B193" s="478"/>
      <c r="C193" s="478"/>
      <c r="D193" s="478"/>
      <c r="E193" s="478"/>
      <c r="F193" s="478"/>
      <c r="G193" s="478"/>
      <c r="H193" s="478"/>
      <c r="I193" s="478"/>
      <c r="J193" s="478"/>
      <c r="K193" s="478"/>
    </row>
    <row r="194" spans="1:11" ht="13.5" x14ac:dyDescent="0.2">
      <c r="A194" s="482" t="s">
        <v>244</v>
      </c>
      <c r="B194" s="483"/>
      <c r="C194" s="483"/>
      <c r="D194" s="483"/>
      <c r="E194" s="483"/>
      <c r="F194" s="483"/>
      <c r="G194" s="483"/>
      <c r="H194" s="483"/>
      <c r="I194" s="483"/>
      <c r="J194" s="483"/>
      <c r="K194" s="484"/>
    </row>
    <row r="195" spans="1:11" ht="11.25" customHeight="1" x14ac:dyDescent="0.2">
      <c r="A195" s="490" t="s">
        <v>222</v>
      </c>
      <c r="B195" s="485" t="s">
        <v>227</v>
      </c>
      <c r="C195" s="485" t="s">
        <v>223</v>
      </c>
      <c r="D195" s="485"/>
      <c r="E195" s="485"/>
      <c r="F195" s="485" t="s">
        <v>225</v>
      </c>
      <c r="G195" s="485" t="s">
        <v>226</v>
      </c>
      <c r="H195" s="492" t="s">
        <v>251</v>
      </c>
      <c r="I195" s="493"/>
      <c r="J195" s="493"/>
      <c r="K195" s="494"/>
    </row>
    <row r="196" spans="1:11" ht="27.75" thickBot="1" x14ac:dyDescent="0.25">
      <c r="A196" s="491"/>
      <c r="B196" s="486"/>
      <c r="C196" s="33" t="s">
        <v>63</v>
      </c>
      <c r="D196" s="33" t="s">
        <v>64</v>
      </c>
      <c r="E196" s="33" t="s">
        <v>65</v>
      </c>
      <c r="F196" s="486"/>
      <c r="G196" s="486"/>
      <c r="H196" s="34" t="s">
        <v>228</v>
      </c>
      <c r="I196" s="33" t="s">
        <v>229</v>
      </c>
      <c r="J196" s="33" t="s">
        <v>230</v>
      </c>
      <c r="K196" s="35" t="s">
        <v>231</v>
      </c>
    </row>
    <row r="197" spans="1:11" s="2" customFormat="1" ht="121.5" x14ac:dyDescent="0.25">
      <c r="A197" s="72" t="s">
        <v>213</v>
      </c>
      <c r="B197" s="73" t="s">
        <v>214</v>
      </c>
      <c r="C197" s="48"/>
      <c r="D197" s="48"/>
      <c r="E197" s="48" t="s">
        <v>224</v>
      </c>
      <c r="F197" s="48" t="s">
        <v>85</v>
      </c>
      <c r="G197" s="52" t="s">
        <v>92</v>
      </c>
      <c r="H197" s="71">
        <v>10000</v>
      </c>
      <c r="I197" s="65">
        <v>0</v>
      </c>
      <c r="J197" s="65">
        <v>0</v>
      </c>
      <c r="K197" s="66"/>
    </row>
    <row r="198" spans="1:11" s="2" customFormat="1" ht="14.25" thickBot="1" x14ac:dyDescent="0.3">
      <c r="A198" s="476" t="s">
        <v>221</v>
      </c>
      <c r="B198" s="477"/>
      <c r="C198" s="477"/>
      <c r="D198" s="477"/>
      <c r="E198" s="477"/>
      <c r="F198" s="477"/>
      <c r="G198" s="477"/>
      <c r="H198" s="61">
        <f>SUM(H197)</f>
        <v>10000</v>
      </c>
      <c r="I198" s="62">
        <f>+I197</f>
        <v>0</v>
      </c>
      <c r="J198" s="62">
        <f>+J197</f>
        <v>0</v>
      </c>
      <c r="K198" s="63"/>
    </row>
    <row r="199" spans="1:11" s="2" customFormat="1" ht="14.25" thickBot="1" x14ac:dyDescent="0.25">
      <c r="A199" s="478" t="s">
        <v>249</v>
      </c>
      <c r="B199" s="478"/>
      <c r="C199" s="478"/>
      <c r="D199" s="478"/>
      <c r="E199" s="478"/>
      <c r="F199" s="478"/>
      <c r="G199" s="478"/>
      <c r="H199" s="478"/>
      <c r="I199" s="478"/>
      <c r="J199" s="478"/>
      <c r="K199" s="478"/>
    </row>
    <row r="200" spans="1:11" ht="13.5" x14ac:dyDescent="0.2">
      <c r="A200" s="482" t="s">
        <v>244</v>
      </c>
      <c r="B200" s="483"/>
      <c r="C200" s="483"/>
      <c r="D200" s="483"/>
      <c r="E200" s="483"/>
      <c r="F200" s="483"/>
      <c r="G200" s="483"/>
      <c r="H200" s="483"/>
      <c r="I200" s="483"/>
      <c r="J200" s="483"/>
      <c r="K200" s="484"/>
    </row>
    <row r="201" spans="1:11" ht="11.25" customHeight="1" x14ac:dyDescent="0.2">
      <c r="A201" s="490" t="s">
        <v>222</v>
      </c>
      <c r="B201" s="485" t="s">
        <v>227</v>
      </c>
      <c r="C201" s="485" t="s">
        <v>223</v>
      </c>
      <c r="D201" s="485"/>
      <c r="E201" s="485"/>
      <c r="F201" s="485" t="s">
        <v>225</v>
      </c>
      <c r="G201" s="485" t="s">
        <v>226</v>
      </c>
      <c r="H201" s="492" t="s">
        <v>251</v>
      </c>
      <c r="I201" s="493"/>
      <c r="J201" s="493"/>
      <c r="K201" s="494"/>
    </row>
    <row r="202" spans="1:11" ht="27.75" thickBot="1" x14ac:dyDescent="0.25">
      <c r="A202" s="491"/>
      <c r="B202" s="486"/>
      <c r="C202" s="33" t="s">
        <v>63</v>
      </c>
      <c r="D202" s="33" t="s">
        <v>64</v>
      </c>
      <c r="E202" s="33" t="s">
        <v>65</v>
      </c>
      <c r="F202" s="486"/>
      <c r="G202" s="486"/>
      <c r="H202" s="34" t="s">
        <v>228</v>
      </c>
      <c r="I202" s="33" t="s">
        <v>229</v>
      </c>
      <c r="J202" s="33" t="s">
        <v>230</v>
      </c>
      <c r="K202" s="35" t="s">
        <v>231</v>
      </c>
    </row>
    <row r="203" spans="1:11" s="2" customFormat="1" ht="40.5" x14ac:dyDescent="0.25">
      <c r="A203" s="487" t="s">
        <v>215</v>
      </c>
      <c r="B203" s="74" t="s">
        <v>217</v>
      </c>
      <c r="C203" s="48" t="s">
        <v>224</v>
      </c>
      <c r="D203" s="48" t="s">
        <v>224</v>
      </c>
      <c r="E203" s="48" t="s">
        <v>224</v>
      </c>
      <c r="F203" s="48" t="s">
        <v>199</v>
      </c>
      <c r="G203" s="479" t="s">
        <v>216</v>
      </c>
      <c r="H203" s="22">
        <v>18935</v>
      </c>
      <c r="I203" s="23">
        <v>0</v>
      </c>
      <c r="J203" s="23">
        <v>0</v>
      </c>
      <c r="K203" s="60"/>
    </row>
    <row r="204" spans="1:11" s="2" customFormat="1" ht="27" x14ac:dyDescent="0.25">
      <c r="A204" s="488"/>
      <c r="B204" s="47" t="s">
        <v>218</v>
      </c>
      <c r="C204" s="48"/>
      <c r="D204" s="48" t="s">
        <v>224</v>
      </c>
      <c r="E204" s="48"/>
      <c r="F204" s="48" t="s">
        <v>199</v>
      </c>
      <c r="G204" s="480"/>
      <c r="H204" s="22">
        <v>11000</v>
      </c>
      <c r="I204" s="23">
        <v>0</v>
      </c>
      <c r="J204" s="23">
        <v>0</v>
      </c>
      <c r="K204" s="60"/>
    </row>
    <row r="205" spans="1:11" s="2" customFormat="1" ht="17.25" customHeight="1" x14ac:dyDescent="0.25">
      <c r="A205" s="488"/>
      <c r="B205" s="55" t="s">
        <v>219</v>
      </c>
      <c r="C205" s="48"/>
      <c r="D205" s="48"/>
      <c r="E205" s="48" t="s">
        <v>224</v>
      </c>
      <c r="F205" s="48" t="s">
        <v>171</v>
      </c>
      <c r="G205" s="480"/>
      <c r="H205" s="22">
        <v>28000</v>
      </c>
      <c r="I205" s="23">
        <v>0</v>
      </c>
      <c r="J205" s="23">
        <v>0</v>
      </c>
      <c r="K205" s="60"/>
    </row>
    <row r="206" spans="1:11" s="2" customFormat="1" ht="13.5" x14ac:dyDescent="0.25">
      <c r="A206" s="489"/>
      <c r="B206" s="55" t="s">
        <v>220</v>
      </c>
      <c r="C206" s="48"/>
      <c r="D206" s="48"/>
      <c r="E206" s="48" t="s">
        <v>224</v>
      </c>
      <c r="F206" s="48" t="s">
        <v>179</v>
      </c>
      <c r="G206" s="481"/>
      <c r="H206" s="22">
        <v>27000</v>
      </c>
      <c r="I206" s="23">
        <v>0</v>
      </c>
      <c r="J206" s="23">
        <v>0</v>
      </c>
      <c r="K206" s="60"/>
    </row>
    <row r="207" spans="1:11" s="2" customFormat="1" ht="27" customHeight="1" thickBot="1" x14ac:dyDescent="0.3">
      <c r="A207" s="476" t="s">
        <v>221</v>
      </c>
      <c r="B207" s="477"/>
      <c r="C207" s="477"/>
      <c r="D207" s="477"/>
      <c r="E207" s="477"/>
      <c r="F207" s="477"/>
      <c r="G207" s="477"/>
      <c r="H207" s="61">
        <f>SUM(H203:H206)</f>
        <v>84935</v>
      </c>
      <c r="I207" s="62">
        <f>+SUM(I203:I206)</f>
        <v>0</v>
      </c>
      <c r="J207" s="62">
        <f>+SUM(J203:J206)</f>
        <v>0</v>
      </c>
      <c r="K207" s="63"/>
    </row>
    <row r="208" spans="1:11" ht="13.5" x14ac:dyDescent="0.25">
      <c r="A208" s="75"/>
      <c r="B208" s="29"/>
      <c r="C208" s="30"/>
      <c r="D208" s="30"/>
      <c r="E208" s="30"/>
      <c r="F208" s="30"/>
      <c r="G208" s="30"/>
      <c r="H208" s="31"/>
      <c r="I208" s="32"/>
      <c r="J208" s="32"/>
      <c r="K208" s="32"/>
    </row>
    <row r="209" spans="1:11" ht="13.5" x14ac:dyDescent="0.25">
      <c r="A209" s="75"/>
      <c r="B209" s="29"/>
      <c r="C209" s="30"/>
      <c r="D209" s="30"/>
      <c r="E209" s="30"/>
      <c r="F209" s="30"/>
      <c r="G209" s="30"/>
      <c r="H209" s="31"/>
      <c r="I209" s="32"/>
      <c r="J209" s="32"/>
      <c r="K209" s="32"/>
    </row>
    <row r="210" spans="1:11" ht="13.5" x14ac:dyDescent="0.25">
      <c r="A210" s="75"/>
      <c r="B210" s="29"/>
      <c r="C210" s="30"/>
      <c r="D210" s="30"/>
      <c r="E210" s="30"/>
      <c r="F210" s="30"/>
      <c r="G210" s="67" t="s">
        <v>221</v>
      </c>
      <c r="H210" s="59">
        <f>+H8+H20+H31+H40+H52+H63+H84+H93+H105+H118+H141+H153+H170+H180+H192+H198+H207</f>
        <v>4639677</v>
      </c>
      <c r="I210" s="59">
        <f>+I8+I20+I31+I40+I52+I63+I84+I93+I105+I118+I141+I153+I170+I180+I192+I198+I207</f>
        <v>676270.66</v>
      </c>
      <c r="J210" s="59">
        <f>+J8+J20+J31+J40+J52+J63+J84+J93+J105+J118+J141+J153+J170+J180+J192+J198+J207</f>
        <v>453669.94</v>
      </c>
      <c r="K210" s="76">
        <f>+J210/H210</f>
        <v>9.7780500668473255E-2</v>
      </c>
    </row>
    <row r="211" spans="1:11" ht="13.5" x14ac:dyDescent="0.25">
      <c r="A211" s="75"/>
      <c r="B211" s="29"/>
      <c r="C211" s="30"/>
      <c r="D211" s="30"/>
      <c r="E211" s="30"/>
      <c r="F211" s="30"/>
      <c r="G211" s="30"/>
      <c r="H211" s="31"/>
      <c r="I211" s="32"/>
      <c r="J211" s="32"/>
      <c r="K211" s="32"/>
    </row>
    <row r="212" spans="1:11" ht="13.5" x14ac:dyDescent="0.25">
      <c r="A212" s="75"/>
      <c r="B212" s="29"/>
      <c r="C212" s="30"/>
      <c r="D212" s="30"/>
      <c r="E212" s="30"/>
      <c r="F212" s="30"/>
      <c r="G212" s="67" t="s">
        <v>199</v>
      </c>
      <c r="H212" s="59">
        <f>+H7+H14+H28+H29+H39+H73+H75+H78+H79+H80+H112+H114+H123+H127+H133+H134+H140+H150+H161+H177+H203+H204</f>
        <v>1815461</v>
      </c>
      <c r="I212" s="59">
        <f>+I7+I14+I28+I29+I39+I73+I75+I78+I79+I80+I112+I114+I123+I127+I133+I134+I140+I150+I161+I177+I203+I204</f>
        <v>533484</v>
      </c>
      <c r="J212" s="59">
        <f>+J7+J14+J28+J29+J39+J73+J75+J78+J79+J80+J112+J114+J123+J127+J133+J134+J140+J150+J161+J177+J203+J204</f>
        <v>349671</v>
      </c>
      <c r="K212" s="76">
        <f t="shared" ref="K212:K217" si="2">+J212/H212</f>
        <v>0.19260727715990594</v>
      </c>
    </row>
    <row r="213" spans="1:11" ht="13.5" x14ac:dyDescent="0.25">
      <c r="A213" s="75"/>
      <c r="B213" s="29"/>
      <c r="C213" s="30"/>
      <c r="D213" s="30"/>
      <c r="E213" s="30"/>
      <c r="F213" s="30"/>
      <c r="G213" s="67" t="s">
        <v>85</v>
      </c>
      <c r="H213" s="59">
        <f>+H13+H19+H30+H37+H36+H49+H51+H57+H58+H61+H62+H76+H77+H92+H98+H99+H100+H110+H111+H116+H117+H129+H130+H137+H138+H139+H168+H176+H186+H191+H197+0</f>
        <v>565853</v>
      </c>
      <c r="I213" s="59">
        <f>+I13+I19+I30+I37+I36+I49+I51+I57+I58+I61+I62+I76+I77+I92+I98+I99+I100+I110+I111+I116+I117+I129+I130+I137+I138+I139+I168+I176+I186+I191+I197+0</f>
        <v>0</v>
      </c>
      <c r="J213" s="59">
        <f>+J13+J19+J30+J37+J36+J49+J51+J57+J58+J61+J62+J76+J77+J92+J98+J99+J100+J110+J111+J116+J117+J129+J130+J137+J138+J139+J168+J176+J186+J191+J197+0</f>
        <v>0</v>
      </c>
      <c r="K213" s="76">
        <f t="shared" si="2"/>
        <v>0</v>
      </c>
    </row>
    <row r="214" spans="1:11" ht="13.5" x14ac:dyDescent="0.25">
      <c r="G214" s="19" t="s">
        <v>179</v>
      </c>
      <c r="H214" s="18">
        <f>+H16+H38+H91+H102+H113+H115+H126+H132+H158+H159+H162+H165+H166+H169+H206</f>
        <v>509939</v>
      </c>
      <c r="I214" s="18">
        <f>+I16+I38+I91+I102+I113+I115+I126+I132+I158+I159+I162+I165+I166+I169+I206</f>
        <v>16627.13</v>
      </c>
      <c r="J214" s="18">
        <f>+J16+J38+J91+J102+J113+J115+J126+J132+J158+J159+J162+J165+J166+J169+J206</f>
        <v>11859.69</v>
      </c>
      <c r="K214" s="27">
        <f t="shared" si="2"/>
        <v>2.3257075846326719E-2</v>
      </c>
    </row>
    <row r="215" spans="1:11" ht="13.5" x14ac:dyDescent="0.25">
      <c r="G215" s="19" t="s">
        <v>67</v>
      </c>
      <c r="H215" s="18">
        <f>+H15+H48+H50+H68+H69+H70+H81+H82+H89+H90+H101+H103+H104+H125+H131+H160+H175+H178+H179+0</f>
        <v>568577</v>
      </c>
      <c r="I215" s="18">
        <f>+I15+I48+I50+I68+I69+I70+I81+I82+I89+I90+I101+I103+I104+I125+I131+I160+I175+I178+I179+0</f>
        <v>40962</v>
      </c>
      <c r="J215" s="18">
        <f>+J15+J48+J50+J68+J69+J70+J81+J82+J89+J90+J101+J103+J104+J125+J131+J160+J175+J178+J179+0</f>
        <v>40962</v>
      </c>
      <c r="K215" s="27">
        <f t="shared" si="2"/>
        <v>7.2043012643845952E-2</v>
      </c>
    </row>
    <row r="216" spans="1:11" ht="13.5" x14ac:dyDescent="0.25">
      <c r="G216" s="19" t="s">
        <v>171</v>
      </c>
      <c r="H216" s="18">
        <f>+H17+H72+H128+H146+H147+H148+H149+H151+H152+H163+H167+H188+H205</f>
        <v>543428</v>
      </c>
      <c r="I216" s="18">
        <f>+I17+I72+I128+I146+I147+I148+I149+I151+I152+I163+I167+I188+I205</f>
        <v>13037.53</v>
      </c>
      <c r="J216" s="18">
        <f>+J17+J72+J128+J146+J147+J148+J149+J151+J152+J163+J167+J188+J205</f>
        <v>14181.25</v>
      </c>
      <c r="K216" s="27">
        <f t="shared" si="2"/>
        <v>2.6095913350066613E-2</v>
      </c>
    </row>
    <row r="217" spans="1:11" ht="13.5" x14ac:dyDescent="0.25">
      <c r="G217" s="19" t="s">
        <v>76</v>
      </c>
      <c r="H217" s="18">
        <f>+H18+H25+H26+H27+H45+H46+H47+H59+H60+H74+H83+H124+H136+H164+H185+H187+H189+H190</f>
        <v>570619</v>
      </c>
      <c r="I217" s="18">
        <f>+I18+I25+I26+I27+I45+I46+I47+I59+I60+I74+I83+I124+I136+I164+I185+I187+I189+I190</f>
        <v>71160</v>
      </c>
      <c r="J217" s="18">
        <f>+J18+J25+J26+J27+J45+J46+J47+J59+J60+J74+J83+J124+J136+J164+J185+J187+J189+J190</f>
        <v>36996</v>
      </c>
      <c r="K217" s="27">
        <f t="shared" si="2"/>
        <v>6.4834854780510293E-2</v>
      </c>
    </row>
    <row r="218" spans="1:11" ht="13.5" x14ac:dyDescent="0.25">
      <c r="G218" s="10"/>
      <c r="H218" s="11"/>
      <c r="I218" s="12"/>
      <c r="J218" s="12"/>
      <c r="K218" s="12"/>
    </row>
    <row r="219" spans="1:11" x14ac:dyDescent="0.2">
      <c r="B219" s="4" t="s">
        <v>253</v>
      </c>
    </row>
    <row r="220" spans="1:11" x14ac:dyDescent="0.2">
      <c r="B220" s="4" t="s">
        <v>253</v>
      </c>
    </row>
  </sheetData>
  <mergeCells count="185">
    <mergeCell ref="A20:G20"/>
    <mergeCell ref="A13:A19"/>
    <mergeCell ref="G13:G19"/>
    <mergeCell ref="A1:K1"/>
    <mergeCell ref="A5:A6"/>
    <mergeCell ref="B5:B6"/>
    <mergeCell ref="C5:E5"/>
    <mergeCell ref="F5:F6"/>
    <mergeCell ref="G5:G6"/>
    <mergeCell ref="A2:K2"/>
    <mergeCell ref="H5:K5"/>
    <mergeCell ref="A3:K3"/>
    <mergeCell ref="A8:G8"/>
    <mergeCell ref="A11:A12"/>
    <mergeCell ref="B11:B12"/>
    <mergeCell ref="F11:F12"/>
    <mergeCell ref="A9:K9"/>
    <mergeCell ref="C11:E11"/>
    <mergeCell ref="A10:K10"/>
    <mergeCell ref="H11:K11"/>
    <mergeCell ref="G11:G12"/>
    <mergeCell ref="H66:K66"/>
    <mergeCell ref="F23:F24"/>
    <mergeCell ref="C23:E23"/>
    <mergeCell ref="G23:G24"/>
    <mergeCell ref="B23:B24"/>
    <mergeCell ref="A23:A24"/>
    <mergeCell ref="H43:K43"/>
    <mergeCell ref="A53:K53"/>
    <mergeCell ref="A43:A44"/>
    <mergeCell ref="G36:G39"/>
    <mergeCell ref="A36:A39"/>
    <mergeCell ref="A42:K42"/>
    <mergeCell ref="G45:G51"/>
    <mergeCell ref="G43:G44"/>
    <mergeCell ref="A45:A51"/>
    <mergeCell ref="A41:K41"/>
    <mergeCell ref="A40:G40"/>
    <mergeCell ref="A25:A30"/>
    <mergeCell ref="A31:G31"/>
    <mergeCell ref="F34:F35"/>
    <mergeCell ref="A33:K33"/>
    <mergeCell ref="G25:G30"/>
    <mergeCell ref="H34:K34"/>
    <mergeCell ref="A34:A35"/>
    <mergeCell ref="A55:A56"/>
    <mergeCell ref="B55:B56"/>
    <mergeCell ref="A21:K21"/>
    <mergeCell ref="A22:K22"/>
    <mergeCell ref="A52:G52"/>
    <mergeCell ref="F43:F44"/>
    <mergeCell ref="A63:G63"/>
    <mergeCell ref="G55:G56"/>
    <mergeCell ref="G57:G62"/>
    <mergeCell ref="C34:E34"/>
    <mergeCell ref="C43:E43"/>
    <mergeCell ref="B43:B44"/>
    <mergeCell ref="C55:E55"/>
    <mergeCell ref="A32:K32"/>
    <mergeCell ref="G34:G35"/>
    <mergeCell ref="B34:B35"/>
    <mergeCell ref="G72:G83"/>
    <mergeCell ref="A68:A83"/>
    <mergeCell ref="H23:K23"/>
    <mergeCell ref="A54:K54"/>
    <mergeCell ref="G87:G88"/>
    <mergeCell ref="F87:F88"/>
    <mergeCell ref="A65:K65"/>
    <mergeCell ref="A57:A62"/>
    <mergeCell ref="B66:B67"/>
    <mergeCell ref="F55:F56"/>
    <mergeCell ref="F66:F67"/>
    <mergeCell ref="A85:K85"/>
    <mergeCell ref="A87:A88"/>
    <mergeCell ref="C66:E66"/>
    <mergeCell ref="G68:G71"/>
    <mergeCell ref="B87:B88"/>
    <mergeCell ref="A84:G84"/>
    <mergeCell ref="H87:K87"/>
    <mergeCell ref="A86:K86"/>
    <mergeCell ref="C87:E87"/>
    <mergeCell ref="G66:G67"/>
    <mergeCell ref="H55:K55"/>
    <mergeCell ref="A64:K64"/>
    <mergeCell ref="A66:A67"/>
    <mergeCell ref="A89:A92"/>
    <mergeCell ref="C96:E96"/>
    <mergeCell ref="G98:G104"/>
    <mergeCell ref="A95:K95"/>
    <mergeCell ref="A96:A97"/>
    <mergeCell ref="A93:G93"/>
    <mergeCell ref="A94:K94"/>
    <mergeCell ref="G96:G97"/>
    <mergeCell ref="G89:G92"/>
    <mergeCell ref="A98:A104"/>
    <mergeCell ref="H96:K96"/>
    <mergeCell ref="F96:F97"/>
    <mergeCell ref="B96:B97"/>
    <mergeCell ref="G110:G117"/>
    <mergeCell ref="G108:G109"/>
    <mergeCell ref="B108:B109"/>
    <mergeCell ref="A105:G105"/>
    <mergeCell ref="A107:K107"/>
    <mergeCell ref="F108:F109"/>
    <mergeCell ref="A108:A109"/>
    <mergeCell ref="C108:E108"/>
    <mergeCell ref="H108:K108"/>
    <mergeCell ref="A106:K106"/>
    <mergeCell ref="A110:A117"/>
    <mergeCell ref="B121:B122"/>
    <mergeCell ref="A121:A122"/>
    <mergeCell ref="B156:B157"/>
    <mergeCell ref="A153:G153"/>
    <mergeCell ref="A120:K120"/>
    <mergeCell ref="A119:K119"/>
    <mergeCell ref="C121:E121"/>
    <mergeCell ref="F121:F122"/>
    <mergeCell ref="A144:A145"/>
    <mergeCell ref="H144:K144"/>
    <mergeCell ref="A118:G118"/>
    <mergeCell ref="A123:A140"/>
    <mergeCell ref="A142:K142"/>
    <mergeCell ref="A141:G141"/>
    <mergeCell ref="G121:G122"/>
    <mergeCell ref="H121:K121"/>
    <mergeCell ref="G123:G140"/>
    <mergeCell ref="A143:K143"/>
    <mergeCell ref="A181:K181"/>
    <mergeCell ref="C173:E173"/>
    <mergeCell ref="A180:G180"/>
    <mergeCell ref="G173:G174"/>
    <mergeCell ref="F173:F174"/>
    <mergeCell ref="B173:B174"/>
    <mergeCell ref="A173:A174"/>
    <mergeCell ref="A171:K171"/>
    <mergeCell ref="A158:A169"/>
    <mergeCell ref="A170:G170"/>
    <mergeCell ref="A154:K154"/>
    <mergeCell ref="A156:A157"/>
    <mergeCell ref="H156:K156"/>
    <mergeCell ref="F156:F157"/>
    <mergeCell ref="G158:G169"/>
    <mergeCell ref="G144:G145"/>
    <mergeCell ref="A172:K172"/>
    <mergeCell ref="B144:B145"/>
    <mergeCell ref="G146:G152"/>
    <mergeCell ref="F144:F145"/>
    <mergeCell ref="A146:A152"/>
    <mergeCell ref="C144:E144"/>
    <mergeCell ref="A175:A179"/>
    <mergeCell ref="G175:G179"/>
    <mergeCell ref="G156:G157"/>
    <mergeCell ref="A155:K155"/>
    <mergeCell ref="C156:E156"/>
    <mergeCell ref="A198:G198"/>
    <mergeCell ref="H195:K195"/>
    <mergeCell ref="A182:K182"/>
    <mergeCell ref="H173:K173"/>
    <mergeCell ref="F183:F184"/>
    <mergeCell ref="B183:B184"/>
    <mergeCell ref="C183:E183"/>
    <mergeCell ref="G183:G184"/>
    <mergeCell ref="A183:A184"/>
    <mergeCell ref="A185:A191"/>
    <mergeCell ref="A195:A196"/>
    <mergeCell ref="F195:F196"/>
    <mergeCell ref="G195:G196"/>
    <mergeCell ref="C195:E195"/>
    <mergeCell ref="B195:B196"/>
    <mergeCell ref="A193:K193"/>
    <mergeCell ref="A194:K194"/>
    <mergeCell ref="A192:G192"/>
    <mergeCell ref="G185:G191"/>
    <mergeCell ref="H183:K183"/>
    <mergeCell ref="A207:G207"/>
    <mergeCell ref="A199:K199"/>
    <mergeCell ref="G203:G206"/>
    <mergeCell ref="A200:K200"/>
    <mergeCell ref="B201:B202"/>
    <mergeCell ref="F201:F202"/>
    <mergeCell ref="C201:E201"/>
    <mergeCell ref="A203:A206"/>
    <mergeCell ref="A201:A202"/>
    <mergeCell ref="G201:G202"/>
    <mergeCell ref="H201:K201"/>
  </mergeCells>
  <phoneticPr fontId="4" type="noConversion"/>
  <printOptions horizontalCentered="1" verticalCentered="1"/>
  <pageMargins left="0.31496062992125984" right="0.31496062992125984" top="0.51181102362204722" bottom="0.23622047244094491" header="0" footer="0"/>
  <pageSetup scale="95" orientation="landscape" r:id="rId1"/>
  <headerFooter alignWithMargins="0"/>
  <rowBreaks count="11" manualBreakCount="11">
    <brk id="21" max="16383" man="1"/>
    <brk id="41" max="16383" man="1"/>
    <brk id="53" max="16383" man="1"/>
    <brk id="64" max="16383" man="1"/>
    <brk id="85" max="16383" man="1"/>
    <brk id="106" max="16383" man="1"/>
    <brk id="119" max="16383" man="1"/>
    <brk id="142" max="16383" man="1"/>
    <brk id="154" max="16383" man="1"/>
    <brk id="171" max="16383" man="1"/>
    <brk id="1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topLeftCell="A71" workbookViewId="0">
      <selection activeCell="J95" sqref="J95"/>
    </sheetView>
  </sheetViews>
  <sheetFormatPr defaultColWidth="9.140625" defaultRowHeight="12.75" x14ac:dyDescent="0.2"/>
  <cols>
    <col min="1" max="1" width="27.28515625" customWidth="1"/>
    <col min="2" max="2" width="27.42578125" customWidth="1"/>
    <col min="5" max="5" width="27.140625" customWidth="1"/>
  </cols>
  <sheetData>
    <row r="1" spans="1:11" ht="13.5" x14ac:dyDescent="0.25">
      <c r="A1" s="283" t="s">
        <v>250</v>
      </c>
      <c r="B1" s="283"/>
      <c r="C1" s="283"/>
      <c r="D1" s="283"/>
      <c r="E1" s="283"/>
      <c r="F1" s="283"/>
      <c r="G1" s="283"/>
      <c r="H1" s="283"/>
      <c r="I1" s="283"/>
      <c r="J1" s="283"/>
      <c r="K1" s="283"/>
    </row>
    <row r="2" spans="1:11" ht="13.5" x14ac:dyDescent="0.25">
      <c r="A2" s="283" t="s">
        <v>57</v>
      </c>
      <c r="B2" s="283"/>
      <c r="C2" s="283"/>
      <c r="D2" s="283"/>
      <c r="E2" s="283"/>
      <c r="F2" s="283"/>
      <c r="G2" s="283"/>
      <c r="H2" s="283"/>
      <c r="I2" s="283"/>
      <c r="J2" s="283"/>
      <c r="K2" s="283"/>
    </row>
    <row r="3" spans="1:11" ht="12.75" customHeight="1" x14ac:dyDescent="0.2">
      <c r="A3" s="284" t="s">
        <v>255</v>
      </c>
      <c r="B3" s="285"/>
      <c r="C3" s="285"/>
      <c r="D3" s="285"/>
      <c r="E3" s="285"/>
      <c r="F3" s="285"/>
      <c r="G3" s="285"/>
      <c r="H3" s="285"/>
      <c r="I3" s="285"/>
      <c r="J3" s="286"/>
    </row>
    <row r="4" spans="1:11" ht="12.75" customHeight="1" x14ac:dyDescent="0.2">
      <c r="A4" s="277" t="s">
        <v>256</v>
      </c>
      <c r="B4" s="278"/>
      <c r="C4" s="278"/>
      <c r="D4" s="278"/>
      <c r="E4" s="278"/>
      <c r="F4" s="278"/>
      <c r="G4" s="278"/>
      <c r="H4" s="278"/>
      <c r="I4" s="278"/>
      <c r="J4" s="279"/>
    </row>
    <row r="5" spans="1:11" ht="12.75" customHeight="1" x14ac:dyDescent="0.2">
      <c r="A5" s="530" t="s">
        <v>257</v>
      </c>
      <c r="B5" s="535" t="s">
        <v>258</v>
      </c>
      <c r="C5" s="531" t="s">
        <v>259</v>
      </c>
      <c r="D5" s="531" t="s">
        <v>260</v>
      </c>
      <c r="E5" s="530" t="s">
        <v>261</v>
      </c>
      <c r="F5" s="527" t="s">
        <v>262</v>
      </c>
      <c r="G5" s="274" t="s">
        <v>263</v>
      </c>
      <c r="H5" s="275"/>
      <c r="I5" s="275"/>
      <c r="J5" s="276"/>
    </row>
    <row r="6" spans="1:11" x14ac:dyDescent="0.2">
      <c r="A6" s="530"/>
      <c r="B6" s="535"/>
      <c r="C6" s="531"/>
      <c r="D6" s="531"/>
      <c r="E6" s="530"/>
      <c r="F6" s="528"/>
      <c r="G6" s="77" t="s">
        <v>63</v>
      </c>
      <c r="H6" s="77" t="s">
        <v>64</v>
      </c>
      <c r="I6" s="77" t="s">
        <v>65</v>
      </c>
      <c r="J6" s="77" t="s">
        <v>264</v>
      </c>
    </row>
    <row r="7" spans="1:11" ht="12.75" customHeight="1" x14ac:dyDescent="0.2">
      <c r="A7" s="277" t="s">
        <v>265</v>
      </c>
      <c r="B7" s="278"/>
      <c r="C7" s="278"/>
      <c r="D7" s="278"/>
      <c r="E7" s="278"/>
      <c r="F7" s="278"/>
      <c r="G7" s="278"/>
      <c r="H7" s="278"/>
      <c r="I7" s="278"/>
      <c r="J7" s="279"/>
    </row>
    <row r="8" spans="1:11" ht="76.5" x14ac:dyDescent="0.2">
      <c r="A8" s="532" t="s">
        <v>266</v>
      </c>
      <c r="B8" s="529" t="s">
        <v>267</v>
      </c>
      <c r="C8" s="78" t="s">
        <v>199</v>
      </c>
      <c r="D8" s="522" t="s">
        <v>68</v>
      </c>
      <c r="E8" s="79" t="s">
        <v>268</v>
      </c>
      <c r="F8" s="80" t="s">
        <v>269</v>
      </c>
      <c r="G8" s="81">
        <v>110000</v>
      </c>
      <c r="H8" s="81">
        <v>0</v>
      </c>
      <c r="I8" s="81">
        <v>0</v>
      </c>
      <c r="J8" s="81">
        <f t="shared" ref="J8:J35" si="0">SUM(G8:I8)</f>
        <v>110000</v>
      </c>
    </row>
    <row r="9" spans="1:11" ht="25.5" x14ac:dyDescent="0.2">
      <c r="A9" s="533"/>
      <c r="B9" s="529"/>
      <c r="C9" s="78" t="s">
        <v>199</v>
      </c>
      <c r="D9" s="522"/>
      <c r="E9" s="79" t="s">
        <v>270</v>
      </c>
      <c r="F9" s="80" t="s">
        <v>271</v>
      </c>
      <c r="G9" s="81">
        <v>0</v>
      </c>
      <c r="H9" s="81">
        <v>14000</v>
      </c>
      <c r="I9" s="81">
        <v>0</v>
      </c>
      <c r="J9" s="82">
        <f t="shared" si="0"/>
        <v>14000</v>
      </c>
    </row>
    <row r="10" spans="1:11" ht="51" x14ac:dyDescent="0.2">
      <c r="A10" s="533"/>
      <c r="B10" s="529" t="s">
        <v>272</v>
      </c>
      <c r="C10" s="536" t="s">
        <v>76</v>
      </c>
      <c r="D10" s="522" t="s">
        <v>273</v>
      </c>
      <c r="E10" s="83" t="s">
        <v>274</v>
      </c>
      <c r="F10" s="80"/>
      <c r="G10" s="84">
        <v>150736</v>
      </c>
      <c r="H10" s="81">
        <v>0</v>
      </c>
      <c r="I10" s="81">
        <v>0</v>
      </c>
      <c r="J10" s="81">
        <f t="shared" si="0"/>
        <v>150736</v>
      </c>
    </row>
    <row r="11" spans="1:11" ht="38.25" x14ac:dyDescent="0.2">
      <c r="A11" s="533"/>
      <c r="B11" s="529"/>
      <c r="C11" s="536"/>
      <c r="D11" s="522"/>
      <c r="E11" s="83" t="s">
        <v>275</v>
      </c>
      <c r="F11" s="80" t="s">
        <v>271</v>
      </c>
      <c r="G11" s="84">
        <v>0</v>
      </c>
      <c r="H11" s="82">
        <v>14000</v>
      </c>
      <c r="I11" s="81">
        <v>0</v>
      </c>
      <c r="J11" s="81">
        <f t="shared" si="0"/>
        <v>14000</v>
      </c>
    </row>
    <row r="12" spans="1:11" ht="140.25" x14ac:dyDescent="0.2">
      <c r="A12" s="533"/>
      <c r="B12" s="85" t="s">
        <v>276</v>
      </c>
      <c r="C12" s="78" t="s">
        <v>67</v>
      </c>
      <c r="D12" s="78" t="s">
        <v>277</v>
      </c>
      <c r="E12" s="83" t="s">
        <v>278</v>
      </c>
      <c r="F12" s="80"/>
      <c r="G12" s="81">
        <v>0</v>
      </c>
      <c r="H12" s="81">
        <v>13000</v>
      </c>
      <c r="I12" s="81">
        <v>0</v>
      </c>
      <c r="J12" s="81">
        <f t="shared" si="0"/>
        <v>13000</v>
      </c>
    </row>
    <row r="13" spans="1:11" ht="140.25" x14ac:dyDescent="0.2">
      <c r="A13" s="533"/>
      <c r="B13" s="85" t="s">
        <v>279</v>
      </c>
      <c r="C13" s="78" t="s">
        <v>76</v>
      </c>
      <c r="D13" s="78" t="s">
        <v>280</v>
      </c>
      <c r="E13" s="83" t="s">
        <v>281</v>
      </c>
      <c r="F13" s="80"/>
      <c r="G13" s="86">
        <v>42000</v>
      </c>
      <c r="H13" s="81">
        <v>0</v>
      </c>
      <c r="I13" s="81">
        <v>0</v>
      </c>
      <c r="J13" s="81">
        <f>SUM(G13:I13)</f>
        <v>42000</v>
      </c>
    </row>
    <row r="14" spans="1:11" ht="114.75" x14ac:dyDescent="0.2">
      <c r="A14" s="533"/>
      <c r="B14" s="87" t="s">
        <v>282</v>
      </c>
      <c r="C14" s="78" t="s">
        <v>67</v>
      </c>
      <c r="D14" s="78" t="s">
        <v>280</v>
      </c>
      <c r="E14" s="88" t="s">
        <v>283</v>
      </c>
      <c r="F14" s="80"/>
      <c r="G14" s="81">
        <v>0</v>
      </c>
      <c r="H14" s="81">
        <v>12000</v>
      </c>
      <c r="I14" s="81">
        <v>0</v>
      </c>
      <c r="J14" s="81">
        <f>SUM(G14:I14)</f>
        <v>12000</v>
      </c>
    </row>
    <row r="15" spans="1:11" ht="89.25" x14ac:dyDescent="0.2">
      <c r="A15" s="533"/>
      <c r="B15" s="87" t="s">
        <v>284</v>
      </c>
      <c r="C15" s="78" t="s">
        <v>67</v>
      </c>
      <c r="D15" s="78" t="s">
        <v>280</v>
      </c>
      <c r="E15" s="88" t="s">
        <v>286</v>
      </c>
      <c r="F15" s="80"/>
      <c r="G15" s="81">
        <v>0</v>
      </c>
      <c r="H15" s="81">
        <v>40000</v>
      </c>
      <c r="I15" s="81">
        <v>0</v>
      </c>
      <c r="J15" s="81">
        <f>SUM(G15:I15)</f>
        <v>40000</v>
      </c>
    </row>
    <row r="16" spans="1:11" ht="25.5" x14ac:dyDescent="0.2">
      <c r="A16" s="534"/>
      <c r="B16" s="87" t="s">
        <v>287</v>
      </c>
      <c r="C16" s="78" t="s">
        <v>179</v>
      </c>
      <c r="D16" s="78" t="s">
        <v>288</v>
      </c>
      <c r="E16" s="88" t="s">
        <v>289</v>
      </c>
      <c r="F16" s="80"/>
      <c r="G16" s="81">
        <v>14000</v>
      </c>
      <c r="H16" s="81"/>
      <c r="I16" s="81"/>
      <c r="J16" s="81">
        <f>SUM(G16:I16)</f>
        <v>14000</v>
      </c>
    </row>
    <row r="17" spans="1:10" ht="51" x14ac:dyDescent="0.2">
      <c r="A17" s="529" t="s">
        <v>290</v>
      </c>
      <c r="B17" s="529" t="s">
        <v>291</v>
      </c>
      <c r="C17" s="80" t="s">
        <v>76</v>
      </c>
      <c r="D17" s="522" t="s">
        <v>292</v>
      </c>
      <c r="E17" s="88" t="s">
        <v>293</v>
      </c>
      <c r="F17" s="80" t="s">
        <v>271</v>
      </c>
      <c r="G17" s="84">
        <v>22217</v>
      </c>
      <c r="H17" s="81">
        <v>0</v>
      </c>
      <c r="I17" s="81">
        <v>0</v>
      </c>
      <c r="J17" s="81">
        <f t="shared" si="0"/>
        <v>22217</v>
      </c>
    </row>
    <row r="18" spans="1:10" ht="102" x14ac:dyDescent="0.2">
      <c r="A18" s="529"/>
      <c r="B18" s="529"/>
      <c r="C18" s="80" t="s">
        <v>76</v>
      </c>
      <c r="D18" s="522"/>
      <c r="E18" s="79" t="s">
        <v>294</v>
      </c>
      <c r="F18" s="80" t="s">
        <v>271</v>
      </c>
      <c r="G18" s="84">
        <v>0</v>
      </c>
      <c r="H18" s="84">
        <v>60000</v>
      </c>
      <c r="I18" s="81">
        <v>0</v>
      </c>
      <c r="J18" s="81">
        <f t="shared" si="0"/>
        <v>60000</v>
      </c>
    </row>
    <row r="19" spans="1:10" ht="38.25" x14ac:dyDescent="0.2">
      <c r="A19" s="529"/>
      <c r="B19" s="529"/>
      <c r="C19" s="80" t="s">
        <v>199</v>
      </c>
      <c r="D19" s="522"/>
      <c r="E19" s="83" t="s">
        <v>295</v>
      </c>
      <c r="F19" s="80" t="s">
        <v>271</v>
      </c>
      <c r="G19" s="81">
        <f>'[1]Plan de trabajo Primer Año'!K96</f>
        <v>15900</v>
      </c>
      <c r="H19" s="81">
        <v>0</v>
      </c>
      <c r="I19" s="81">
        <v>0</v>
      </c>
      <c r="J19" s="81">
        <f t="shared" si="0"/>
        <v>15900</v>
      </c>
    </row>
    <row r="20" spans="1:10" ht="51" x14ac:dyDescent="0.2">
      <c r="A20" s="529"/>
      <c r="B20" s="529"/>
      <c r="C20" s="80" t="s">
        <v>85</v>
      </c>
      <c r="D20" s="522"/>
      <c r="E20" s="83" t="s">
        <v>296</v>
      </c>
      <c r="F20" s="80" t="s">
        <v>271</v>
      </c>
      <c r="G20" s="81">
        <v>4000</v>
      </c>
      <c r="H20" s="81">
        <v>4000</v>
      </c>
      <c r="I20" s="81">
        <v>4000</v>
      </c>
      <c r="J20" s="81">
        <f t="shared" si="0"/>
        <v>12000</v>
      </c>
    </row>
    <row r="21" spans="1:10" ht="140.25" x14ac:dyDescent="0.2">
      <c r="A21" s="529"/>
      <c r="B21" s="529"/>
      <c r="C21" s="80" t="s">
        <v>199</v>
      </c>
      <c r="D21" s="522"/>
      <c r="E21" s="83" t="s">
        <v>297</v>
      </c>
      <c r="F21" s="80" t="s">
        <v>271</v>
      </c>
      <c r="G21" s="81">
        <v>0</v>
      </c>
      <c r="H21" s="81">
        <v>40000</v>
      </c>
      <c r="I21" s="81">
        <v>40000</v>
      </c>
      <c r="J21" s="81">
        <f t="shared" si="0"/>
        <v>80000</v>
      </c>
    </row>
    <row r="22" spans="1:10" ht="38.25" x14ac:dyDescent="0.2">
      <c r="A22" s="529"/>
      <c r="B22" s="529"/>
      <c r="C22" s="80" t="s">
        <v>171</v>
      </c>
      <c r="D22" s="522"/>
      <c r="E22" s="79" t="s">
        <v>298</v>
      </c>
      <c r="F22" s="80" t="s">
        <v>271</v>
      </c>
      <c r="G22" s="81">
        <v>0</v>
      </c>
      <c r="H22" s="81">
        <v>5000</v>
      </c>
      <c r="I22" s="81">
        <v>2000</v>
      </c>
      <c r="J22" s="81">
        <f t="shared" si="0"/>
        <v>7000</v>
      </c>
    </row>
    <row r="23" spans="1:10" ht="25.5" x14ac:dyDescent="0.2">
      <c r="A23" s="529"/>
      <c r="B23" s="526" t="s">
        <v>299</v>
      </c>
      <c r="C23" s="522" t="s">
        <v>76</v>
      </c>
      <c r="D23" s="522" t="s">
        <v>300</v>
      </c>
      <c r="E23" s="83" t="s">
        <v>301</v>
      </c>
      <c r="F23" s="80"/>
      <c r="G23" s="81">
        <v>0</v>
      </c>
      <c r="H23" s="81">
        <v>20000</v>
      </c>
      <c r="I23" s="81">
        <v>0</v>
      </c>
      <c r="J23" s="81">
        <f>SUM(G23:I23)</f>
        <v>20000</v>
      </c>
    </row>
    <row r="24" spans="1:10" ht="25.5" x14ac:dyDescent="0.2">
      <c r="A24" s="529"/>
      <c r="B24" s="526"/>
      <c r="C24" s="522"/>
      <c r="D24" s="522"/>
      <c r="E24" s="83" t="s">
        <v>302</v>
      </c>
      <c r="F24" s="80"/>
      <c r="G24" s="81">
        <v>0</v>
      </c>
      <c r="H24" s="81">
        <v>0</v>
      </c>
      <c r="I24" s="81">
        <v>0</v>
      </c>
      <c r="J24" s="81">
        <f>SUM(G24:I24)</f>
        <v>0</v>
      </c>
    </row>
    <row r="25" spans="1:10" ht="38.25" x14ac:dyDescent="0.2">
      <c r="A25" s="529"/>
      <c r="B25" s="526"/>
      <c r="C25" s="522"/>
      <c r="D25" s="522"/>
      <c r="E25" s="83" t="s">
        <v>303</v>
      </c>
      <c r="F25" s="80"/>
      <c r="G25" s="81">
        <v>0</v>
      </c>
      <c r="H25" s="81">
        <v>8000</v>
      </c>
      <c r="I25" s="81">
        <v>0</v>
      </c>
      <c r="J25" s="81">
        <f>SUM(G25:I25)</f>
        <v>8000</v>
      </c>
    </row>
    <row r="26" spans="1:10" ht="25.5" x14ac:dyDescent="0.2">
      <c r="A26" s="529"/>
      <c r="B26" s="526"/>
      <c r="C26" s="522"/>
      <c r="D26" s="522"/>
      <c r="E26" s="88" t="s">
        <v>304</v>
      </c>
      <c r="F26" s="80"/>
      <c r="G26" s="81">
        <v>0</v>
      </c>
      <c r="H26" s="81">
        <v>0</v>
      </c>
      <c r="I26" s="81">
        <v>40000</v>
      </c>
      <c r="J26" s="81">
        <f>SUM(G26:I26)</f>
        <v>40000</v>
      </c>
    </row>
    <row r="27" spans="1:10" ht="102" x14ac:dyDescent="0.2">
      <c r="A27" s="529" t="s">
        <v>305</v>
      </c>
      <c r="B27" s="85" t="s">
        <v>308</v>
      </c>
      <c r="C27" s="89" t="s">
        <v>76</v>
      </c>
      <c r="D27" s="522" t="s">
        <v>309</v>
      </c>
      <c r="E27" s="79" t="s">
        <v>310</v>
      </c>
      <c r="F27" s="80"/>
      <c r="G27" s="81">
        <v>0</v>
      </c>
      <c r="H27" s="81">
        <v>10000</v>
      </c>
      <c r="I27" s="84">
        <v>0</v>
      </c>
      <c r="J27" s="81">
        <f t="shared" si="0"/>
        <v>10000</v>
      </c>
    </row>
    <row r="28" spans="1:10" ht="89.25" x14ac:dyDescent="0.2">
      <c r="A28" s="529"/>
      <c r="B28" s="529" t="s">
        <v>311</v>
      </c>
      <c r="C28" s="80" t="s">
        <v>76</v>
      </c>
      <c r="D28" s="522"/>
      <c r="E28" s="88" t="s">
        <v>312</v>
      </c>
      <c r="F28" s="80" t="s">
        <v>271</v>
      </c>
      <c r="G28" s="81">
        <v>0</v>
      </c>
      <c r="H28" s="81">
        <v>20000</v>
      </c>
      <c r="I28" s="81">
        <v>0</v>
      </c>
      <c r="J28" s="81">
        <f>SUM(G28:I28)</f>
        <v>20000</v>
      </c>
    </row>
    <row r="29" spans="1:10" ht="25.5" x14ac:dyDescent="0.2">
      <c r="A29" s="529"/>
      <c r="B29" s="529"/>
      <c r="C29" s="90" t="s">
        <v>179</v>
      </c>
      <c r="D29" s="522"/>
      <c r="E29" s="88" t="s">
        <v>313</v>
      </c>
      <c r="F29" s="80" t="s">
        <v>271</v>
      </c>
      <c r="G29" s="81">
        <v>0</v>
      </c>
      <c r="H29" s="81">
        <v>50000</v>
      </c>
      <c r="I29" s="81">
        <v>0</v>
      </c>
      <c r="J29" s="81">
        <f>SUM(G29:I29)</f>
        <v>50000</v>
      </c>
    </row>
    <row r="30" spans="1:10" ht="76.5" x14ac:dyDescent="0.2">
      <c r="A30" s="529"/>
      <c r="B30" s="91" t="s">
        <v>314</v>
      </c>
      <c r="C30" s="80" t="s">
        <v>76</v>
      </c>
      <c r="D30" s="522"/>
      <c r="E30" s="79" t="s">
        <v>315</v>
      </c>
      <c r="F30" s="80" t="s">
        <v>271</v>
      </c>
      <c r="G30" s="81">
        <v>0</v>
      </c>
      <c r="H30" s="81">
        <v>0</v>
      </c>
      <c r="I30" s="81">
        <v>10000</v>
      </c>
      <c r="J30" s="81">
        <f>SUM(G30:I30)</f>
        <v>10000</v>
      </c>
    </row>
    <row r="31" spans="1:10" ht="51" x14ac:dyDescent="0.2">
      <c r="A31" s="548" t="s">
        <v>316</v>
      </c>
      <c r="B31" s="92" t="s">
        <v>317</v>
      </c>
      <c r="C31" s="80" t="s">
        <v>179</v>
      </c>
      <c r="D31" s="80" t="s">
        <v>318</v>
      </c>
      <c r="E31" s="83" t="s">
        <v>319</v>
      </c>
      <c r="F31" s="80"/>
      <c r="G31" s="81">
        <v>0</v>
      </c>
      <c r="H31" s="84">
        <v>12000</v>
      </c>
      <c r="I31" s="81">
        <v>0</v>
      </c>
      <c r="J31" s="81">
        <f t="shared" si="0"/>
        <v>12000</v>
      </c>
    </row>
    <row r="32" spans="1:10" ht="38.25" x14ac:dyDescent="0.2">
      <c r="A32" s="548"/>
      <c r="B32" s="523" t="s">
        <v>320</v>
      </c>
      <c r="C32" s="522" t="s">
        <v>179</v>
      </c>
      <c r="D32" s="522" t="s">
        <v>318</v>
      </c>
      <c r="E32" s="83" t="s">
        <v>321</v>
      </c>
      <c r="F32" s="80"/>
      <c r="G32" s="81">
        <v>0</v>
      </c>
      <c r="H32" s="84">
        <v>8000</v>
      </c>
      <c r="I32" s="81">
        <v>0</v>
      </c>
      <c r="J32" s="81">
        <f t="shared" si="0"/>
        <v>8000</v>
      </c>
    </row>
    <row r="33" spans="1:10" ht="51" x14ac:dyDescent="0.2">
      <c r="A33" s="548"/>
      <c r="B33" s="524"/>
      <c r="C33" s="522"/>
      <c r="D33" s="522"/>
      <c r="E33" s="79" t="s">
        <v>322</v>
      </c>
      <c r="F33" s="80"/>
      <c r="G33" s="81">
        <v>0</v>
      </c>
      <c r="H33" s="81">
        <v>5000</v>
      </c>
      <c r="I33" s="81">
        <v>0</v>
      </c>
      <c r="J33" s="81">
        <f t="shared" si="0"/>
        <v>5000</v>
      </c>
    </row>
    <row r="34" spans="1:10" ht="89.25" x14ac:dyDescent="0.2">
      <c r="A34" s="548"/>
      <c r="B34" s="525"/>
      <c r="C34" s="80" t="s">
        <v>179</v>
      </c>
      <c r="D34" s="83" t="s">
        <v>318</v>
      </c>
      <c r="E34" s="79" t="s">
        <v>323</v>
      </c>
      <c r="F34" s="80"/>
      <c r="G34" s="81">
        <v>0</v>
      </c>
      <c r="H34" s="81">
        <v>12000</v>
      </c>
      <c r="I34" s="81">
        <v>0</v>
      </c>
      <c r="J34" s="81">
        <f t="shared" si="0"/>
        <v>12000</v>
      </c>
    </row>
    <row r="35" spans="1:10" ht="63.75" x14ac:dyDescent="0.2">
      <c r="A35" s="529" t="s">
        <v>324</v>
      </c>
      <c r="B35" s="93" t="s">
        <v>325</v>
      </c>
      <c r="C35" s="550" t="s">
        <v>179</v>
      </c>
      <c r="D35" s="536" t="s">
        <v>326</v>
      </c>
      <c r="E35" s="83" t="s">
        <v>327</v>
      </c>
      <c r="F35" s="80"/>
      <c r="G35" s="81">
        <v>0</v>
      </c>
      <c r="H35" s="81">
        <v>30000</v>
      </c>
      <c r="I35" s="81">
        <v>0</v>
      </c>
      <c r="J35" s="81">
        <f t="shared" si="0"/>
        <v>30000</v>
      </c>
    </row>
    <row r="36" spans="1:10" ht="63.75" x14ac:dyDescent="0.2">
      <c r="A36" s="529"/>
      <c r="B36" s="79" t="s">
        <v>328</v>
      </c>
      <c r="C36" s="577"/>
      <c r="D36" s="536"/>
      <c r="E36" s="79" t="s">
        <v>329</v>
      </c>
      <c r="F36" s="80"/>
      <c r="G36" s="81">
        <v>0</v>
      </c>
      <c r="H36" s="81">
        <v>72000</v>
      </c>
      <c r="I36" s="81">
        <v>0</v>
      </c>
      <c r="J36" s="81">
        <f>SUM(G36:I36)</f>
        <v>72000</v>
      </c>
    </row>
    <row r="37" spans="1:10" ht="12.75" customHeight="1" x14ac:dyDescent="0.2">
      <c r="A37" s="277" t="s">
        <v>330</v>
      </c>
      <c r="B37" s="278"/>
      <c r="C37" s="278"/>
      <c r="D37" s="278"/>
      <c r="E37" s="278"/>
      <c r="F37" s="278"/>
      <c r="G37" s="278"/>
      <c r="H37" s="278"/>
      <c r="I37" s="278"/>
      <c r="J37" s="279"/>
    </row>
    <row r="38" spans="1:10" ht="165.75" x14ac:dyDescent="0.2">
      <c r="A38" s="574" t="s">
        <v>331</v>
      </c>
      <c r="B38" s="94" t="s">
        <v>332</v>
      </c>
      <c r="C38" s="78" t="s">
        <v>85</v>
      </c>
      <c r="D38" s="78" t="s">
        <v>318</v>
      </c>
      <c r="E38" s="83" t="s">
        <v>333</v>
      </c>
      <c r="F38" s="80"/>
      <c r="G38" s="81">
        <v>70000</v>
      </c>
      <c r="H38" s="81">
        <v>0</v>
      </c>
      <c r="I38" s="81">
        <v>0</v>
      </c>
      <c r="J38" s="81">
        <f t="shared" ref="J38:J67" si="1">SUM(G38:I38)</f>
        <v>70000</v>
      </c>
    </row>
    <row r="39" spans="1:10" ht="38.25" x14ac:dyDescent="0.2">
      <c r="A39" s="575"/>
      <c r="B39" s="95" t="s">
        <v>334</v>
      </c>
      <c r="C39" s="78" t="s">
        <v>85</v>
      </c>
      <c r="D39" s="78" t="s">
        <v>318</v>
      </c>
      <c r="E39" s="83" t="s">
        <v>335</v>
      </c>
      <c r="F39" s="80"/>
      <c r="G39" s="81">
        <v>0</v>
      </c>
      <c r="H39" s="81">
        <v>64000</v>
      </c>
      <c r="I39" s="81">
        <v>0</v>
      </c>
      <c r="J39" s="81">
        <f t="shared" si="1"/>
        <v>64000</v>
      </c>
    </row>
    <row r="40" spans="1:10" ht="63.75" x14ac:dyDescent="0.2">
      <c r="A40" s="575"/>
      <c r="B40" s="87" t="s">
        <v>336</v>
      </c>
      <c r="C40" s="78" t="s">
        <v>85</v>
      </c>
      <c r="D40" s="78" t="s">
        <v>318</v>
      </c>
      <c r="E40" s="83" t="s">
        <v>337</v>
      </c>
      <c r="F40" s="80"/>
      <c r="G40" s="81">
        <v>0</v>
      </c>
      <c r="H40" s="81">
        <v>86400</v>
      </c>
      <c r="I40" s="81">
        <v>172800</v>
      </c>
      <c r="J40" s="81">
        <f t="shared" si="1"/>
        <v>259200</v>
      </c>
    </row>
    <row r="41" spans="1:10" ht="25.5" x14ac:dyDescent="0.2">
      <c r="A41" s="575"/>
      <c r="B41" s="532" t="s">
        <v>338</v>
      </c>
      <c r="C41" s="96" t="s">
        <v>199</v>
      </c>
      <c r="D41" s="78" t="s">
        <v>216</v>
      </c>
      <c r="E41" s="83" t="s">
        <v>339</v>
      </c>
      <c r="F41" s="80"/>
      <c r="G41" s="80">
        <v>0</v>
      </c>
      <c r="H41" s="81">
        <v>40000</v>
      </c>
      <c r="I41" s="81">
        <v>40000</v>
      </c>
      <c r="J41" s="81">
        <f t="shared" si="1"/>
        <v>80000</v>
      </c>
    </row>
    <row r="42" spans="1:10" ht="25.5" x14ac:dyDescent="0.2">
      <c r="A42" s="575"/>
      <c r="B42" s="533"/>
      <c r="C42" s="96" t="s">
        <v>171</v>
      </c>
      <c r="D42" s="78" t="s">
        <v>340</v>
      </c>
      <c r="E42" s="83" t="s">
        <v>341</v>
      </c>
      <c r="F42" s="80"/>
      <c r="G42" s="80">
        <v>0</v>
      </c>
      <c r="H42" s="81">
        <v>20000</v>
      </c>
      <c r="I42" s="81">
        <v>20000</v>
      </c>
      <c r="J42" s="81">
        <f t="shared" si="1"/>
        <v>40000</v>
      </c>
    </row>
    <row r="43" spans="1:10" x14ac:dyDescent="0.2">
      <c r="A43" s="575"/>
      <c r="B43" s="533"/>
      <c r="C43" s="96" t="s">
        <v>179</v>
      </c>
      <c r="D43" s="78" t="s">
        <v>101</v>
      </c>
      <c r="E43" s="83" t="s">
        <v>342</v>
      </c>
      <c r="F43" s="80"/>
      <c r="G43" s="80">
        <v>0</v>
      </c>
      <c r="H43" s="81">
        <v>30000</v>
      </c>
      <c r="I43" s="81">
        <v>30000</v>
      </c>
      <c r="J43" s="81">
        <f t="shared" si="1"/>
        <v>60000</v>
      </c>
    </row>
    <row r="44" spans="1:10" ht="25.5" x14ac:dyDescent="0.2">
      <c r="A44" s="575"/>
      <c r="B44" s="533"/>
      <c r="C44" s="96" t="s">
        <v>67</v>
      </c>
      <c r="D44" s="78" t="s">
        <v>288</v>
      </c>
      <c r="E44" s="83" t="s">
        <v>343</v>
      </c>
      <c r="F44" s="80"/>
      <c r="G44" s="80">
        <v>0</v>
      </c>
      <c r="H44" s="81">
        <v>60000</v>
      </c>
      <c r="I44" s="81">
        <v>60000</v>
      </c>
      <c r="J44" s="81">
        <f t="shared" si="1"/>
        <v>120000</v>
      </c>
    </row>
    <row r="45" spans="1:10" ht="25.5" x14ac:dyDescent="0.2">
      <c r="A45" s="575"/>
      <c r="B45" s="533"/>
      <c r="C45" s="96" t="s">
        <v>179</v>
      </c>
      <c r="D45" s="78" t="s">
        <v>288</v>
      </c>
      <c r="E45" s="83" t="s">
        <v>344</v>
      </c>
      <c r="F45" s="80"/>
      <c r="G45" s="80">
        <v>0</v>
      </c>
      <c r="H45" s="81">
        <v>20000</v>
      </c>
      <c r="I45" s="81">
        <v>20000</v>
      </c>
      <c r="J45" s="81">
        <f t="shared" si="1"/>
        <v>40000</v>
      </c>
    </row>
    <row r="46" spans="1:10" ht="25.5" x14ac:dyDescent="0.2">
      <c r="A46" s="575"/>
      <c r="B46" s="533"/>
      <c r="C46" s="96" t="s">
        <v>67</v>
      </c>
      <c r="D46" s="78" t="s">
        <v>101</v>
      </c>
      <c r="E46" s="83" t="s">
        <v>345</v>
      </c>
      <c r="F46" s="80"/>
      <c r="G46" s="80">
        <v>0</v>
      </c>
      <c r="H46" s="81">
        <v>30000</v>
      </c>
      <c r="I46" s="81">
        <v>30000</v>
      </c>
      <c r="J46" s="81">
        <f t="shared" si="1"/>
        <v>60000</v>
      </c>
    </row>
    <row r="47" spans="1:10" ht="38.25" x14ac:dyDescent="0.2">
      <c r="A47" s="575"/>
      <c r="B47" s="534"/>
      <c r="C47" s="97" t="s">
        <v>76</v>
      </c>
      <c r="D47" s="98" t="s">
        <v>273</v>
      </c>
      <c r="E47" s="83" t="s">
        <v>346</v>
      </c>
      <c r="F47" s="80"/>
      <c r="G47" s="80"/>
      <c r="H47" s="81">
        <v>20000</v>
      </c>
      <c r="I47" s="81">
        <v>20000</v>
      </c>
      <c r="J47" s="81">
        <f>SUM(G47:I47)</f>
        <v>40000</v>
      </c>
    </row>
    <row r="48" spans="1:10" ht="63.75" x14ac:dyDescent="0.2">
      <c r="A48" s="575"/>
      <c r="B48" s="87" t="s">
        <v>0</v>
      </c>
      <c r="C48" s="98" t="s">
        <v>85</v>
      </c>
      <c r="D48" s="98" t="s">
        <v>288</v>
      </c>
      <c r="E48" s="83" t="s">
        <v>1</v>
      </c>
      <c r="F48" s="80"/>
      <c r="G48" s="81">
        <v>0</v>
      </c>
      <c r="H48" s="81">
        <v>0</v>
      </c>
      <c r="I48" s="81">
        <v>16000</v>
      </c>
      <c r="J48" s="81">
        <f>SUM(G48:I48)</f>
        <v>16000</v>
      </c>
    </row>
    <row r="49" spans="1:10" ht="102" x14ac:dyDescent="0.2">
      <c r="A49" s="575"/>
      <c r="B49" s="99" t="s">
        <v>2</v>
      </c>
      <c r="C49" s="571" t="s">
        <v>67</v>
      </c>
      <c r="D49" s="571" t="s">
        <v>280</v>
      </c>
      <c r="E49" s="100" t="s">
        <v>3</v>
      </c>
      <c r="F49" s="101"/>
      <c r="G49" s="81">
        <v>0</v>
      </c>
      <c r="H49" s="84">
        <v>16000</v>
      </c>
      <c r="I49" s="84">
        <v>16000</v>
      </c>
      <c r="J49" s="81">
        <f>SUM(G49:I49)</f>
        <v>32000</v>
      </c>
    </row>
    <row r="50" spans="1:10" ht="102" x14ac:dyDescent="0.2">
      <c r="A50" s="575"/>
      <c r="B50" s="102" t="s">
        <v>4</v>
      </c>
      <c r="C50" s="578"/>
      <c r="D50" s="578"/>
      <c r="E50" s="79" t="s">
        <v>5</v>
      </c>
      <c r="F50" s="80"/>
      <c r="G50" s="103">
        <v>0</v>
      </c>
      <c r="H50" s="104">
        <v>20000</v>
      </c>
      <c r="I50" s="104">
        <v>20000</v>
      </c>
      <c r="J50" s="81">
        <f>SUM(G50:I50)</f>
        <v>40000</v>
      </c>
    </row>
    <row r="51" spans="1:10" ht="38.25" x14ac:dyDescent="0.2">
      <c r="A51" s="576"/>
      <c r="B51" s="105" t="s">
        <v>6</v>
      </c>
      <c r="C51" s="106" t="s">
        <v>67</v>
      </c>
      <c r="D51" s="106" t="s">
        <v>7</v>
      </c>
      <c r="E51" s="79" t="s">
        <v>8</v>
      </c>
      <c r="F51" s="80"/>
      <c r="G51" s="81">
        <v>0</v>
      </c>
      <c r="H51" s="84">
        <v>100000</v>
      </c>
      <c r="I51" s="84">
        <v>20000</v>
      </c>
      <c r="J51" s="81">
        <f>SUM(G51:I51)</f>
        <v>120000</v>
      </c>
    </row>
    <row r="52" spans="1:10" ht="25.5" x14ac:dyDescent="0.2">
      <c r="A52" s="555" t="s">
        <v>9</v>
      </c>
      <c r="B52" s="554" t="s">
        <v>10</v>
      </c>
      <c r="C52" s="571" t="s">
        <v>171</v>
      </c>
      <c r="D52" s="571" t="s">
        <v>11</v>
      </c>
      <c r="E52" s="107" t="s">
        <v>12</v>
      </c>
      <c r="F52" s="108"/>
      <c r="G52" s="81">
        <v>3498</v>
      </c>
      <c r="H52" s="81">
        <v>0</v>
      </c>
      <c r="I52" s="81">
        <v>0</v>
      </c>
      <c r="J52" s="81">
        <f t="shared" si="1"/>
        <v>3498</v>
      </c>
    </row>
    <row r="53" spans="1:10" ht="38.25" x14ac:dyDescent="0.2">
      <c r="A53" s="556"/>
      <c r="B53" s="554"/>
      <c r="C53" s="572"/>
      <c r="D53" s="572"/>
      <c r="E53" s="109" t="s">
        <v>13</v>
      </c>
      <c r="F53" s="108"/>
      <c r="G53" s="81">
        <v>5860</v>
      </c>
      <c r="H53" s="81">
        <v>0</v>
      </c>
      <c r="I53" s="81">
        <v>0</v>
      </c>
      <c r="J53" s="81">
        <f t="shared" si="1"/>
        <v>5860</v>
      </c>
    </row>
    <row r="54" spans="1:10" ht="38.25" x14ac:dyDescent="0.2">
      <c r="A54" s="556"/>
      <c r="B54" s="554"/>
      <c r="C54" s="572"/>
      <c r="D54" s="572"/>
      <c r="E54" s="110" t="s">
        <v>14</v>
      </c>
      <c r="F54" s="111"/>
      <c r="G54" s="103">
        <v>14220</v>
      </c>
      <c r="H54" s="103">
        <v>13220</v>
      </c>
      <c r="I54" s="81">
        <v>0</v>
      </c>
      <c r="J54" s="81">
        <f t="shared" si="1"/>
        <v>27440</v>
      </c>
    </row>
    <row r="55" spans="1:10" ht="63.75" x14ac:dyDescent="0.2">
      <c r="A55" s="556"/>
      <c r="B55" s="554"/>
      <c r="C55" s="572"/>
      <c r="D55" s="572"/>
      <c r="E55" s="110" t="s">
        <v>15</v>
      </c>
      <c r="F55" s="111"/>
      <c r="G55" s="103">
        <v>0</v>
      </c>
      <c r="H55" s="81">
        <v>300000</v>
      </c>
      <c r="I55" s="81">
        <v>0</v>
      </c>
      <c r="J55" s="81">
        <f t="shared" si="1"/>
        <v>300000</v>
      </c>
    </row>
    <row r="56" spans="1:10" ht="51" x14ac:dyDescent="0.2">
      <c r="A56" s="556"/>
      <c r="B56" s="579" t="s">
        <v>16</v>
      </c>
      <c r="C56" s="553" t="s">
        <v>179</v>
      </c>
      <c r="D56" s="571" t="s">
        <v>180</v>
      </c>
      <c r="E56" s="110" t="s">
        <v>17</v>
      </c>
      <c r="F56" s="111"/>
      <c r="G56" s="112">
        <v>0</v>
      </c>
      <c r="H56" s="81">
        <v>6000</v>
      </c>
      <c r="I56" s="112">
        <v>0</v>
      </c>
      <c r="J56" s="81">
        <f t="shared" si="1"/>
        <v>6000</v>
      </c>
    </row>
    <row r="57" spans="1:10" ht="51" x14ac:dyDescent="0.2">
      <c r="A57" s="556"/>
      <c r="B57" s="580"/>
      <c r="C57" s="553"/>
      <c r="D57" s="572"/>
      <c r="E57" s="113" t="s">
        <v>18</v>
      </c>
      <c r="F57" s="114"/>
      <c r="G57" s="112">
        <v>0</v>
      </c>
      <c r="H57" s="81">
        <v>14000</v>
      </c>
      <c r="I57" s="81">
        <v>10000</v>
      </c>
      <c r="J57" s="81">
        <f t="shared" si="1"/>
        <v>24000</v>
      </c>
    </row>
    <row r="58" spans="1:10" ht="51" x14ac:dyDescent="0.2">
      <c r="A58" s="556"/>
      <c r="B58" s="580"/>
      <c r="C58" s="571" t="s">
        <v>171</v>
      </c>
      <c r="D58" s="572"/>
      <c r="E58" s="113" t="s">
        <v>19</v>
      </c>
      <c r="F58" s="114"/>
      <c r="G58" s="112">
        <v>0</v>
      </c>
      <c r="H58" s="81">
        <v>12000</v>
      </c>
      <c r="I58" s="81">
        <v>12000</v>
      </c>
      <c r="J58" s="81">
        <f t="shared" si="1"/>
        <v>24000</v>
      </c>
    </row>
    <row r="59" spans="1:10" ht="38.25" x14ac:dyDescent="0.2">
      <c r="A59" s="556"/>
      <c r="B59" s="580"/>
      <c r="C59" s="572"/>
      <c r="D59" s="572"/>
      <c r="E59" s="107" t="s">
        <v>20</v>
      </c>
      <c r="F59" s="108"/>
      <c r="G59" s="115">
        <v>0</v>
      </c>
      <c r="H59" s="81">
        <f>15000*30</f>
        <v>450000</v>
      </c>
      <c r="I59" s="81">
        <v>0</v>
      </c>
      <c r="J59" s="81">
        <f t="shared" si="1"/>
        <v>450000</v>
      </c>
    </row>
    <row r="60" spans="1:10" ht="38.25" x14ac:dyDescent="0.2">
      <c r="A60" s="557"/>
      <c r="B60" s="581"/>
      <c r="C60" s="578"/>
      <c r="D60" s="578"/>
      <c r="E60" s="107" t="s">
        <v>21</v>
      </c>
      <c r="F60" s="108" t="s">
        <v>269</v>
      </c>
      <c r="G60" s="81">
        <v>0</v>
      </c>
      <c r="H60" s="81">
        <v>0</v>
      </c>
      <c r="I60" s="81">
        <v>0</v>
      </c>
      <c r="J60" s="81">
        <f t="shared" si="1"/>
        <v>0</v>
      </c>
    </row>
    <row r="61" spans="1:10" ht="51" x14ac:dyDescent="0.2">
      <c r="A61" s="573" t="s">
        <v>22</v>
      </c>
      <c r="B61" s="573" t="s">
        <v>23</v>
      </c>
      <c r="C61" s="550" t="s">
        <v>85</v>
      </c>
      <c r="D61" s="550" t="s">
        <v>24</v>
      </c>
      <c r="E61" s="79" t="s">
        <v>25</v>
      </c>
      <c r="F61" s="80"/>
      <c r="G61" s="81">
        <v>0</v>
      </c>
      <c r="H61" s="81">
        <v>0</v>
      </c>
      <c r="I61" s="81">
        <v>25000</v>
      </c>
      <c r="J61" s="81">
        <f t="shared" si="1"/>
        <v>25000</v>
      </c>
    </row>
    <row r="62" spans="1:10" ht="51" x14ac:dyDescent="0.2">
      <c r="A62" s="573"/>
      <c r="B62" s="573"/>
      <c r="C62" s="551"/>
      <c r="D62" s="551"/>
      <c r="E62" s="79" t="s">
        <v>26</v>
      </c>
      <c r="F62" s="80"/>
      <c r="G62" s="81">
        <v>0</v>
      </c>
      <c r="H62" s="81">
        <v>15000</v>
      </c>
      <c r="I62" s="81">
        <v>0</v>
      </c>
      <c r="J62" s="81">
        <f t="shared" si="1"/>
        <v>15000</v>
      </c>
    </row>
    <row r="63" spans="1:10" ht="38.25" x14ac:dyDescent="0.2">
      <c r="A63" s="573"/>
      <c r="B63" s="116" t="s">
        <v>27</v>
      </c>
      <c r="C63" s="551"/>
      <c r="D63" s="551"/>
      <c r="E63" s="79" t="s">
        <v>28</v>
      </c>
      <c r="F63" s="80"/>
      <c r="G63" s="81">
        <v>0</v>
      </c>
      <c r="H63" s="81">
        <v>10000</v>
      </c>
      <c r="I63" s="81">
        <v>10000</v>
      </c>
      <c r="J63" s="81">
        <f t="shared" si="1"/>
        <v>20000</v>
      </c>
    </row>
    <row r="64" spans="1:10" ht="51" x14ac:dyDescent="0.2">
      <c r="A64" s="573"/>
      <c r="B64" s="116" t="s">
        <v>29</v>
      </c>
      <c r="C64" s="551"/>
      <c r="D64" s="551"/>
      <c r="E64" s="83" t="s">
        <v>30</v>
      </c>
      <c r="F64" s="80"/>
      <c r="G64" s="81">
        <v>0</v>
      </c>
      <c r="H64" s="81">
        <v>10000</v>
      </c>
      <c r="I64" s="81">
        <v>10000</v>
      </c>
      <c r="J64" s="81">
        <f t="shared" si="1"/>
        <v>20000</v>
      </c>
    </row>
    <row r="65" spans="1:11" ht="76.5" x14ac:dyDescent="0.2">
      <c r="A65" s="529" t="s">
        <v>31</v>
      </c>
      <c r="B65" s="99" t="s">
        <v>32</v>
      </c>
      <c r="C65" s="117" t="s">
        <v>179</v>
      </c>
      <c r="D65" s="117" t="s">
        <v>180</v>
      </c>
      <c r="E65" s="107" t="s">
        <v>33</v>
      </c>
      <c r="F65" s="108"/>
      <c r="G65" s="81">
        <v>0</v>
      </c>
      <c r="H65" s="81">
        <v>50000</v>
      </c>
      <c r="I65" s="81">
        <v>70000</v>
      </c>
      <c r="J65" s="81">
        <f t="shared" si="1"/>
        <v>120000</v>
      </c>
    </row>
    <row r="66" spans="1:11" ht="63.75" x14ac:dyDescent="0.2">
      <c r="A66" s="529"/>
      <c r="B66" s="99" t="s">
        <v>34</v>
      </c>
      <c r="C66" s="117" t="s">
        <v>179</v>
      </c>
      <c r="D66" s="553" t="s">
        <v>309</v>
      </c>
      <c r="E66" s="107" t="s">
        <v>35</v>
      </c>
      <c r="F66" s="108"/>
      <c r="G66" s="81">
        <v>0</v>
      </c>
      <c r="H66" s="81">
        <v>20000</v>
      </c>
      <c r="I66" s="81">
        <v>20000</v>
      </c>
      <c r="J66" s="81">
        <f t="shared" si="1"/>
        <v>40000</v>
      </c>
    </row>
    <row r="67" spans="1:11" ht="76.5" x14ac:dyDescent="0.2">
      <c r="A67" s="529"/>
      <c r="B67" s="388" t="s">
        <v>36</v>
      </c>
      <c r="C67" s="78" t="s">
        <v>67</v>
      </c>
      <c r="D67" s="553"/>
      <c r="E67" s="118" t="s">
        <v>37</v>
      </c>
      <c r="F67" s="119"/>
      <c r="G67" s="81">
        <v>0</v>
      </c>
      <c r="H67" s="81"/>
      <c r="I67" s="81">
        <v>100000</v>
      </c>
      <c r="J67" s="81">
        <f t="shared" si="1"/>
        <v>100000</v>
      </c>
    </row>
    <row r="68" spans="1:11" ht="12.75" customHeight="1" x14ac:dyDescent="0.2">
      <c r="A68" s="280" t="s">
        <v>38</v>
      </c>
      <c r="B68" s="281"/>
      <c r="C68" s="281"/>
      <c r="D68" s="281"/>
      <c r="E68" s="281"/>
      <c r="F68" s="281"/>
      <c r="G68" s="281"/>
      <c r="H68" s="281"/>
      <c r="I68" s="281"/>
      <c r="J68" s="282"/>
    </row>
    <row r="69" spans="1:11" ht="89.25" x14ac:dyDescent="0.2">
      <c r="A69" s="532" t="s">
        <v>39</v>
      </c>
      <c r="B69" s="552" t="s">
        <v>40</v>
      </c>
      <c r="C69" s="553" t="s">
        <v>85</v>
      </c>
      <c r="D69" s="553" t="s">
        <v>41</v>
      </c>
      <c r="E69" s="83" t="s">
        <v>42</v>
      </c>
      <c r="F69" s="80" t="s">
        <v>269</v>
      </c>
      <c r="G69" s="81">
        <v>0</v>
      </c>
      <c r="H69" s="84">
        <v>0</v>
      </c>
      <c r="I69" s="84">
        <v>20000</v>
      </c>
      <c r="J69" s="81">
        <f>SUM(G69:I69)</f>
        <v>20000</v>
      </c>
    </row>
    <row r="70" spans="1:11" ht="89.25" x14ac:dyDescent="0.2">
      <c r="A70" s="533"/>
      <c r="B70" s="552"/>
      <c r="C70" s="553"/>
      <c r="D70" s="553"/>
      <c r="E70" s="83" t="s">
        <v>43</v>
      </c>
      <c r="F70" s="80" t="s">
        <v>269</v>
      </c>
      <c r="G70" s="81">
        <v>0</v>
      </c>
      <c r="H70" s="84">
        <v>0</v>
      </c>
      <c r="I70" s="84">
        <v>24000</v>
      </c>
      <c r="J70" s="81">
        <f>SUM(G70:I70)</f>
        <v>24000</v>
      </c>
    </row>
    <row r="71" spans="1:11" ht="51" x14ac:dyDescent="0.2">
      <c r="A71" s="534"/>
      <c r="B71" s="85" t="s">
        <v>44</v>
      </c>
      <c r="C71" s="120" t="s">
        <v>76</v>
      </c>
      <c r="D71" s="120" t="s">
        <v>288</v>
      </c>
      <c r="E71" s="83" t="s">
        <v>45</v>
      </c>
      <c r="F71" s="80" t="s">
        <v>269</v>
      </c>
      <c r="G71" s="121">
        <v>0</v>
      </c>
      <c r="H71" s="121">
        <v>0</v>
      </c>
      <c r="I71" s="81">
        <v>82000</v>
      </c>
      <c r="J71" s="81">
        <f>SUM(G71:I71)</f>
        <v>82000</v>
      </c>
    </row>
    <row r="72" spans="1:11" ht="15.75" x14ac:dyDescent="0.2">
      <c r="A72" s="122"/>
      <c r="B72" s="122"/>
      <c r="C72" s="122"/>
      <c r="D72" s="123"/>
      <c r="E72" s="123" t="s">
        <v>221</v>
      </c>
      <c r="F72" s="123"/>
      <c r="G72" s="124">
        <f>SUM(G8:G71)</f>
        <v>452431</v>
      </c>
      <c r="H72" s="124">
        <f>SUM(H8:H71)</f>
        <v>1855620</v>
      </c>
      <c r="I72" s="124">
        <f>SUM(I8:I71)</f>
        <v>943800</v>
      </c>
      <c r="J72" s="124">
        <f>SUM(J8:J71)</f>
        <v>3251851</v>
      </c>
    </row>
    <row r="73" spans="1:11" ht="18" x14ac:dyDescent="0.2">
      <c r="A73" s="125"/>
      <c r="B73" s="125"/>
      <c r="C73" s="125"/>
      <c r="D73" s="126"/>
      <c r="E73" s="126"/>
      <c r="F73" s="126"/>
      <c r="G73" s="127"/>
      <c r="H73" s="127"/>
      <c r="I73" s="127"/>
      <c r="J73" s="127"/>
    </row>
    <row r="74" spans="1:11" ht="17.25" thickBot="1" x14ac:dyDescent="0.25">
      <c r="A74" s="549" t="s">
        <v>46</v>
      </c>
      <c r="B74" s="549"/>
      <c r="C74" s="549"/>
      <c r="D74" s="549"/>
      <c r="E74" s="549"/>
      <c r="F74" s="128"/>
      <c r="G74" s="129" t="s">
        <v>63</v>
      </c>
      <c r="H74" s="129" t="s">
        <v>64</v>
      </c>
      <c r="I74" s="129" t="s">
        <v>65</v>
      </c>
      <c r="J74" s="129" t="s">
        <v>264</v>
      </c>
    </row>
    <row r="75" spans="1:11" ht="13.5" thickBot="1" x14ac:dyDescent="0.25">
      <c r="A75" s="559" t="s">
        <v>199</v>
      </c>
      <c r="B75" s="139" t="s">
        <v>47</v>
      </c>
      <c r="C75" s="140"/>
      <c r="D75" s="140"/>
      <c r="E75" s="141"/>
      <c r="F75" s="142"/>
      <c r="G75" s="143">
        <f>G41+G21+G19+G9+G8</f>
        <v>125900</v>
      </c>
      <c r="H75" s="143">
        <f>H41+H21+H19+H9+H8</f>
        <v>94000</v>
      </c>
      <c r="I75" s="143">
        <f>I41+I21+I19+I9+I8</f>
        <v>80000</v>
      </c>
      <c r="J75" s="143">
        <f>J41+J21+J19+J9+J8</f>
        <v>299900</v>
      </c>
      <c r="K75" s="144"/>
    </row>
    <row r="76" spans="1:11" x14ac:dyDescent="0.2">
      <c r="A76" s="560"/>
      <c r="B76" s="145" t="s">
        <v>48</v>
      </c>
      <c r="C76" s="146"/>
      <c r="D76" s="146"/>
      <c r="E76" s="147"/>
      <c r="F76" s="148"/>
      <c r="G76" s="149"/>
      <c r="H76" s="149">
        <v>30000</v>
      </c>
      <c r="I76" s="149">
        <v>30000</v>
      </c>
      <c r="J76" s="150">
        <f>SUM(G76:I76)</f>
        <v>60000</v>
      </c>
      <c r="K76" s="144"/>
    </row>
    <row r="77" spans="1:11" x14ac:dyDescent="0.2">
      <c r="A77" s="560"/>
      <c r="B77" s="145" t="s">
        <v>49</v>
      </c>
      <c r="C77" s="146"/>
      <c r="D77" s="146"/>
      <c r="E77" s="147"/>
      <c r="F77" s="148"/>
      <c r="G77" s="149">
        <v>0</v>
      </c>
      <c r="H77" s="149">
        <v>0</v>
      </c>
      <c r="I77" s="149">
        <v>0</v>
      </c>
      <c r="J77" s="151">
        <f t="shared" ref="J77:J105" si="2">SUM(G77:I77)</f>
        <v>0</v>
      </c>
      <c r="K77" s="144"/>
    </row>
    <row r="78" spans="1:11" x14ac:dyDescent="0.2">
      <c r="A78" s="560"/>
      <c r="B78" s="145" t="s">
        <v>50</v>
      </c>
      <c r="C78" s="146"/>
      <c r="D78" s="146"/>
      <c r="E78" s="147"/>
      <c r="F78" s="148"/>
      <c r="G78" s="149">
        <f>+SUM(G75:G77)*0.07</f>
        <v>8813</v>
      </c>
      <c r="H78" s="149">
        <f>+SUM(H75:H77)*0.07</f>
        <v>8680</v>
      </c>
      <c r="I78" s="149">
        <f>+SUM(I75:I77)*0.07</f>
        <v>7700.0000000000009</v>
      </c>
      <c r="J78" s="151">
        <f t="shared" si="2"/>
        <v>25193</v>
      </c>
      <c r="K78" s="144"/>
    </row>
    <row r="79" spans="1:11" ht="13.5" thickBot="1" x14ac:dyDescent="0.25">
      <c r="A79" s="561"/>
      <c r="B79" s="152" t="s">
        <v>51</v>
      </c>
      <c r="C79" s="153"/>
      <c r="D79" s="153"/>
      <c r="E79" s="154"/>
      <c r="F79" s="155"/>
      <c r="G79" s="156">
        <f>+SUM(G75:G78)</f>
        <v>134713</v>
      </c>
      <c r="H79" s="156">
        <f>+SUM(H75:H78)</f>
        <v>132680</v>
      </c>
      <c r="I79" s="156">
        <f>+SUM(I75:I78)</f>
        <v>117700</v>
      </c>
      <c r="J79" s="157">
        <f>SUM(G79:I79)</f>
        <v>385093</v>
      </c>
      <c r="K79" s="144"/>
    </row>
    <row r="80" spans="1:11" ht="13.5" thickBot="1" x14ac:dyDescent="0.25">
      <c r="A80" s="562" t="s">
        <v>85</v>
      </c>
      <c r="B80" s="158" t="s">
        <v>47</v>
      </c>
      <c r="C80" s="159"/>
      <c r="D80" s="159"/>
      <c r="E80" s="160"/>
      <c r="F80" s="161"/>
      <c r="G80" s="162">
        <f>G70+G69+G64+G63+G62+G61+G48+G40+G39+G38+G20</f>
        <v>74000</v>
      </c>
      <c r="H80" s="162">
        <f>H70+H69+H64+H63+H62+H61+H48+H40+H39+H38+H20</f>
        <v>189400</v>
      </c>
      <c r="I80" s="162">
        <f>I70+I69+I64+I63+I62+I61+I48+I40+I39+I38+I20</f>
        <v>281800</v>
      </c>
      <c r="J80" s="162">
        <f>J70+J69+J64+J63+J62+J61+J48+J40+J39+J38+J20</f>
        <v>545200</v>
      </c>
      <c r="K80" s="144"/>
    </row>
    <row r="81" spans="1:11" x14ac:dyDescent="0.2">
      <c r="A81" s="563"/>
      <c r="B81" s="163" t="s">
        <v>48</v>
      </c>
      <c r="C81" s="164"/>
      <c r="D81" s="164"/>
      <c r="E81" s="165"/>
      <c r="F81" s="166"/>
      <c r="G81" s="167"/>
      <c r="H81" s="167">
        <v>20000</v>
      </c>
      <c r="I81" s="167">
        <v>22000</v>
      </c>
      <c r="J81" s="162">
        <f>SUM(G81:I81)</f>
        <v>42000</v>
      </c>
      <c r="K81" s="144"/>
    </row>
    <row r="82" spans="1:11" x14ac:dyDescent="0.2">
      <c r="A82" s="563"/>
      <c r="B82" s="163" t="s">
        <v>49</v>
      </c>
      <c r="C82" s="164"/>
      <c r="D82" s="164"/>
      <c r="E82" s="165"/>
      <c r="F82" s="166"/>
      <c r="G82" s="167">
        <v>0</v>
      </c>
      <c r="H82" s="167">
        <v>0</v>
      </c>
      <c r="I82" s="167">
        <v>0</v>
      </c>
      <c r="J82" s="168">
        <f t="shared" si="2"/>
        <v>0</v>
      </c>
      <c r="K82" s="144"/>
    </row>
    <row r="83" spans="1:11" x14ac:dyDescent="0.2">
      <c r="A83" s="563"/>
      <c r="B83" s="163" t="s">
        <v>50</v>
      </c>
      <c r="C83" s="164"/>
      <c r="D83" s="164"/>
      <c r="E83" s="165"/>
      <c r="F83" s="166"/>
      <c r="G83" s="167">
        <f>(G80+G82)*0.07</f>
        <v>5180.0000000000009</v>
      </c>
      <c r="H83" s="167">
        <f>(H80+H82)*0.07</f>
        <v>13258.000000000002</v>
      </c>
      <c r="I83" s="167">
        <f>(I80+I82)*0.07</f>
        <v>19726.000000000004</v>
      </c>
      <c r="J83" s="168">
        <f t="shared" si="2"/>
        <v>38164.000000000007</v>
      </c>
      <c r="K83" s="144"/>
    </row>
    <row r="84" spans="1:11" ht="13.5" thickBot="1" x14ac:dyDescent="0.25">
      <c r="A84" s="564"/>
      <c r="B84" s="169" t="s">
        <v>51</v>
      </c>
      <c r="C84" s="170"/>
      <c r="D84" s="170"/>
      <c r="E84" s="171"/>
      <c r="F84" s="172"/>
      <c r="G84" s="173">
        <f>SUM(G80:G83)</f>
        <v>79180</v>
      </c>
      <c r="H84" s="173">
        <f>SUM(H80:H83)</f>
        <v>222658</v>
      </c>
      <c r="I84" s="173">
        <f>SUM(I80:I83)</f>
        <v>323526</v>
      </c>
      <c r="J84" s="174">
        <f t="shared" si="2"/>
        <v>625364</v>
      </c>
      <c r="K84" s="144"/>
    </row>
    <row r="85" spans="1:11" x14ac:dyDescent="0.2">
      <c r="A85" s="565" t="s">
        <v>179</v>
      </c>
      <c r="B85" s="175" t="s">
        <v>47</v>
      </c>
      <c r="C85" s="176"/>
      <c r="D85" s="176"/>
      <c r="E85" s="177"/>
      <c r="F85" s="178"/>
      <c r="G85" s="179">
        <f>G66+G65+G57+G56+G45+G43+G36+G35+G34+G33+G32+G31+G29+G16</f>
        <v>14000</v>
      </c>
      <c r="H85" s="179">
        <f>H66+H65+H57+H56+H45+H43+H36+H35+H34+H33+H32+H31+H29+H16</f>
        <v>329000</v>
      </c>
      <c r="I85" s="179">
        <f>I66+I65+I57+I56+I45+I43+I36+I35+I34+I33+I32+I31+I29+I16</f>
        <v>150000</v>
      </c>
      <c r="J85" s="179">
        <f>J66+J65+J57+J56+J45+J43+J36+J35+J34+J33+J32+J31+J29+J16</f>
        <v>493000</v>
      </c>
      <c r="K85" s="144"/>
    </row>
    <row r="86" spans="1:11" x14ac:dyDescent="0.2">
      <c r="A86" s="566"/>
      <c r="B86" s="180" t="s">
        <v>48</v>
      </c>
      <c r="C86" s="181"/>
      <c r="D86" s="181"/>
      <c r="E86" s="182"/>
      <c r="F86" s="183"/>
      <c r="G86" s="184">
        <v>30000</v>
      </c>
      <c r="H86" s="184">
        <v>30000</v>
      </c>
      <c r="I86" s="184">
        <v>30000</v>
      </c>
      <c r="J86" s="185">
        <f>SUM(G86:I86)</f>
        <v>90000</v>
      </c>
      <c r="K86" s="144"/>
    </row>
    <row r="87" spans="1:11" x14ac:dyDescent="0.2">
      <c r="A87" s="566"/>
      <c r="B87" s="180" t="s">
        <v>49</v>
      </c>
      <c r="C87" s="181"/>
      <c r="D87" s="181"/>
      <c r="E87" s="182"/>
      <c r="F87" s="183"/>
      <c r="G87" s="184">
        <v>0</v>
      </c>
      <c r="H87" s="184">
        <v>0</v>
      </c>
      <c r="I87" s="184">
        <v>0</v>
      </c>
      <c r="J87" s="185">
        <f t="shared" si="2"/>
        <v>0</v>
      </c>
      <c r="K87" s="144"/>
    </row>
    <row r="88" spans="1:11" x14ac:dyDescent="0.2">
      <c r="A88" s="566"/>
      <c r="B88" s="180" t="s">
        <v>50</v>
      </c>
      <c r="C88" s="181"/>
      <c r="D88" s="181"/>
      <c r="E88" s="182"/>
      <c r="F88" s="183"/>
      <c r="G88" s="184">
        <f>+SUM(G85:G87)*0.07</f>
        <v>3080.0000000000005</v>
      </c>
      <c r="H88" s="184">
        <f>+SUM(H85:H87)*0.07</f>
        <v>25130.000000000004</v>
      </c>
      <c r="I88" s="184">
        <f>+SUM(I85:I87)*0.07</f>
        <v>12600.000000000002</v>
      </c>
      <c r="J88" s="185">
        <f t="shared" si="2"/>
        <v>40810.000000000007</v>
      </c>
      <c r="K88" s="144"/>
    </row>
    <row r="89" spans="1:11" ht="13.5" thickBot="1" x14ac:dyDescent="0.25">
      <c r="A89" s="567"/>
      <c r="B89" s="186" t="s">
        <v>51</v>
      </c>
      <c r="C89" s="187"/>
      <c r="D89" s="187"/>
      <c r="E89" s="188"/>
      <c r="F89" s="189"/>
      <c r="G89" s="190">
        <f>SUM(G85:G88)</f>
        <v>47080</v>
      </c>
      <c r="H89" s="190">
        <f>SUM(H85:H88)</f>
        <v>384130</v>
      </c>
      <c r="I89" s="190">
        <f>SUM(I85:I88)</f>
        <v>192600</v>
      </c>
      <c r="J89" s="191">
        <f t="shared" si="2"/>
        <v>623810</v>
      </c>
      <c r="K89" s="144"/>
    </row>
    <row r="90" spans="1:11" x14ac:dyDescent="0.2">
      <c r="A90" s="568" t="s">
        <v>67</v>
      </c>
      <c r="B90" s="192" t="s">
        <v>47</v>
      </c>
      <c r="C90" s="193"/>
      <c r="D90" s="193"/>
      <c r="E90" s="194"/>
      <c r="F90" s="195"/>
      <c r="G90" s="196">
        <f>G67+G51+G50+G49+G46+G44+G15+G14+G12</f>
        <v>0</v>
      </c>
      <c r="H90" s="196">
        <f>H67+H51+H50+H49+H46+H44+H15+H14+H12</f>
        <v>291000</v>
      </c>
      <c r="I90" s="196">
        <f>I67+I51+I50+I49+I46+I44+I15+I14+I12</f>
        <v>246000</v>
      </c>
      <c r="J90" s="196">
        <f>J67+J51+J50+J49+J46+J44+J15+J14+J12</f>
        <v>537000</v>
      </c>
      <c r="K90" s="144"/>
    </row>
    <row r="91" spans="1:11" x14ac:dyDescent="0.2">
      <c r="A91" s="569"/>
      <c r="B91" s="197" t="s">
        <v>48</v>
      </c>
      <c r="C91" s="198"/>
      <c r="D91" s="198"/>
      <c r="E91" s="199"/>
      <c r="F91" s="200"/>
      <c r="G91" s="81">
        <v>30000</v>
      </c>
      <c r="H91" s="81">
        <v>30000</v>
      </c>
      <c r="I91" s="81">
        <v>30000</v>
      </c>
      <c r="J91" s="201">
        <f t="shared" si="2"/>
        <v>90000</v>
      </c>
      <c r="K91" s="144"/>
    </row>
    <row r="92" spans="1:11" x14ac:dyDescent="0.2">
      <c r="A92" s="569"/>
      <c r="B92" s="197" t="s">
        <v>49</v>
      </c>
      <c r="C92" s="198"/>
      <c r="D92" s="198"/>
      <c r="E92" s="199"/>
      <c r="F92" s="200"/>
      <c r="G92" s="81">
        <v>0</v>
      </c>
      <c r="H92" s="81"/>
      <c r="I92" s="81"/>
      <c r="J92" s="201">
        <f t="shared" si="2"/>
        <v>0</v>
      </c>
      <c r="K92" s="144"/>
    </row>
    <row r="93" spans="1:11" x14ac:dyDescent="0.2">
      <c r="A93" s="569"/>
      <c r="B93" s="197" t="s">
        <v>52</v>
      </c>
      <c r="C93" s="198"/>
      <c r="D93" s="198"/>
      <c r="E93" s="199"/>
      <c r="F93" s="200"/>
      <c r="G93" s="81">
        <f>+SUM(G90:G92)*0.07</f>
        <v>2100</v>
      </c>
      <c r="H93" s="81">
        <f>+SUM(H90:H92)*0.07</f>
        <v>22470.000000000004</v>
      </c>
      <c r="I93" s="81">
        <f>+SUM(I90:I92)*0.07</f>
        <v>19320.000000000004</v>
      </c>
      <c r="J93" s="201">
        <f t="shared" si="2"/>
        <v>43890.000000000007</v>
      </c>
      <c r="K93" s="144"/>
    </row>
    <row r="94" spans="1:11" ht="13.5" thickBot="1" x14ac:dyDescent="0.25">
      <c r="A94" s="570"/>
      <c r="B94" s="202" t="s">
        <v>51</v>
      </c>
      <c r="C94" s="203"/>
      <c r="D94" s="203"/>
      <c r="E94" s="204"/>
      <c r="F94" s="205"/>
      <c r="G94" s="206">
        <f>SUM(G90:G93)</f>
        <v>32100</v>
      </c>
      <c r="H94" s="206">
        <f>SUM(H90:H93)</f>
        <v>343470</v>
      </c>
      <c r="I94" s="206">
        <f>SUM(I90:I93)</f>
        <v>295320</v>
      </c>
      <c r="J94" s="207">
        <f t="shared" si="2"/>
        <v>670890</v>
      </c>
      <c r="K94" s="144"/>
    </row>
    <row r="95" spans="1:11" x14ac:dyDescent="0.2">
      <c r="A95" s="537" t="s">
        <v>171</v>
      </c>
      <c r="B95" s="208" t="s">
        <v>47</v>
      </c>
      <c r="C95" s="209"/>
      <c r="D95" s="209"/>
      <c r="E95" s="210"/>
      <c r="F95" s="211"/>
      <c r="G95" s="212">
        <f>G60+G59+G58+G55+G54+G53+G52+G42+G22</f>
        <v>23578</v>
      </c>
      <c r="H95" s="212">
        <f>H60+H59+H58+H55+H54+H53+H52+H42+H22</f>
        <v>800220</v>
      </c>
      <c r="I95" s="212">
        <f>I60+I59+I58+I55+I54+I53+I52+I42+I22</f>
        <v>34000</v>
      </c>
      <c r="J95" s="212">
        <f>J60+J59+J58+J55+J54+J53+J52+J42+J22</f>
        <v>857798</v>
      </c>
      <c r="K95" s="144"/>
    </row>
    <row r="96" spans="1:11" x14ac:dyDescent="0.2">
      <c r="A96" s="538"/>
      <c r="B96" s="213" t="s">
        <v>48</v>
      </c>
      <c r="C96" s="214"/>
      <c r="D96" s="214"/>
      <c r="E96" s="215"/>
      <c r="F96" s="216"/>
      <c r="G96" s="217">
        <v>14000</v>
      </c>
      <c r="H96" s="217">
        <v>30000</v>
      </c>
      <c r="I96" s="217">
        <v>30000</v>
      </c>
      <c r="J96" s="218">
        <f t="shared" si="2"/>
        <v>74000</v>
      </c>
      <c r="K96" s="144"/>
    </row>
    <row r="97" spans="1:12" x14ac:dyDescent="0.2">
      <c r="A97" s="538"/>
      <c r="B97" s="213" t="s">
        <v>49</v>
      </c>
      <c r="C97" s="214"/>
      <c r="D97" s="214"/>
      <c r="E97" s="215"/>
      <c r="F97" s="216"/>
      <c r="G97" s="217">
        <v>20000</v>
      </c>
      <c r="H97" s="217">
        <v>0</v>
      </c>
      <c r="I97" s="217">
        <v>0</v>
      </c>
      <c r="J97" s="218">
        <f t="shared" si="2"/>
        <v>20000</v>
      </c>
      <c r="K97" s="144"/>
    </row>
    <row r="98" spans="1:12" x14ac:dyDescent="0.2">
      <c r="A98" s="538"/>
      <c r="B98" s="213" t="s">
        <v>52</v>
      </c>
      <c r="C98" s="214"/>
      <c r="D98" s="214"/>
      <c r="E98" s="215"/>
      <c r="F98" s="216"/>
      <c r="G98" s="217">
        <f>+SUM(G95:G97)*0.07</f>
        <v>4030.4600000000005</v>
      </c>
      <c r="H98" s="217">
        <f>+SUM(H95:H97)*0.07</f>
        <v>58115.400000000009</v>
      </c>
      <c r="I98" s="217">
        <f>+SUM(I95:I97)*0.07</f>
        <v>4480</v>
      </c>
      <c r="J98" s="218">
        <f t="shared" si="2"/>
        <v>66625.860000000015</v>
      </c>
      <c r="K98" s="144"/>
    </row>
    <row r="99" spans="1:12" ht="25.5" x14ac:dyDescent="0.2">
      <c r="A99" s="539"/>
      <c r="B99" s="219" t="s">
        <v>53</v>
      </c>
      <c r="C99" s="220"/>
      <c r="D99" s="220"/>
      <c r="E99" s="221"/>
      <c r="F99" s="222"/>
      <c r="G99" s="223">
        <f>'[2]Costos de coordinación'!C26+'[2]Costos de coordinación'!C30+'[2]Costos de coordinación'!C32</f>
        <v>250263</v>
      </c>
      <c r="H99" s="223">
        <f>'[2]Costos de coordinación'!D26+'[2]Costos de coordinación'!D30+'[2]Costos de coordinación'!D32</f>
        <v>358560</v>
      </c>
      <c r="I99" s="223">
        <f>'[2]Costos de coordinación'!E26+'[2]Costos de coordinación'!E30+'[2]Costos de coordinación'!E32</f>
        <v>388560</v>
      </c>
      <c r="J99" s="218">
        <f t="shared" si="2"/>
        <v>997383</v>
      </c>
      <c r="K99" s="144"/>
      <c r="L99">
        <f>250263-89408.13</f>
        <v>160854.87</v>
      </c>
    </row>
    <row r="100" spans="1:12" x14ac:dyDescent="0.2">
      <c r="A100" s="539"/>
      <c r="B100" s="219" t="s">
        <v>54</v>
      </c>
      <c r="C100" s="220"/>
      <c r="D100" s="220"/>
      <c r="E100" s="221"/>
      <c r="F100" s="222"/>
      <c r="G100" s="223">
        <f>G99*0.07</f>
        <v>17518.41</v>
      </c>
      <c r="H100" s="223">
        <f>H99*0.07</f>
        <v>25099.200000000001</v>
      </c>
      <c r="I100" s="223">
        <f>I99*0.07</f>
        <v>27199.200000000004</v>
      </c>
      <c r="J100" s="218">
        <f t="shared" si="2"/>
        <v>69816.81</v>
      </c>
      <c r="K100" s="144"/>
    </row>
    <row r="101" spans="1:12" ht="13.5" thickBot="1" x14ac:dyDescent="0.25">
      <c r="A101" s="540"/>
      <c r="B101" s="224" t="s">
        <v>51</v>
      </c>
      <c r="C101" s="225"/>
      <c r="D101" s="225"/>
      <c r="E101" s="226"/>
      <c r="F101" s="227"/>
      <c r="G101" s="228">
        <f>SUM(G95:G100)</f>
        <v>329389.87</v>
      </c>
      <c r="H101" s="228">
        <f>SUM(H95:H100)</f>
        <v>1271994.5999999999</v>
      </c>
      <c r="I101" s="228">
        <f>SUM(I95:I100)</f>
        <v>484239.2</v>
      </c>
      <c r="J101" s="229">
        <f>SUM(G101:I101)</f>
        <v>2085623.6699999997</v>
      </c>
      <c r="K101" s="144"/>
    </row>
    <row r="102" spans="1:12" x14ac:dyDescent="0.2">
      <c r="A102" s="541" t="s">
        <v>76</v>
      </c>
      <c r="B102" s="230" t="s">
        <v>47</v>
      </c>
      <c r="C102" s="231"/>
      <c r="D102" s="231"/>
      <c r="E102" s="232"/>
      <c r="F102" s="233"/>
      <c r="G102" s="234">
        <f>G71+G47+G30+G28+G27+G26+G25+G24+G23+G18+G17+G13+G11+G10</f>
        <v>214953</v>
      </c>
      <c r="H102" s="234">
        <f>H71+H47+H30+H28+H27+H26+H25+H24+H23+H18+H17+H13+H11+H10</f>
        <v>152000</v>
      </c>
      <c r="I102" s="234">
        <f>I71+I47+I30+I28+I27+I26+I25+I24+I23+I18+I17+I13+I11+I10</f>
        <v>152000</v>
      </c>
      <c r="J102" s="234">
        <f>J71+J47+J30+J28+J27+J26+J25+J24+J23+J18+J17+J13+J11+J10</f>
        <v>518953</v>
      </c>
      <c r="K102" s="144"/>
    </row>
    <row r="103" spans="1:12" x14ac:dyDescent="0.2">
      <c r="A103" s="542"/>
      <c r="B103" s="235" t="s">
        <v>48</v>
      </c>
      <c r="C103" s="236"/>
      <c r="D103" s="236"/>
      <c r="E103" s="237"/>
      <c r="F103" s="238"/>
      <c r="G103" s="239">
        <v>0</v>
      </c>
      <c r="H103" s="239">
        <v>30000</v>
      </c>
      <c r="I103" s="239">
        <v>24000</v>
      </c>
      <c r="J103" s="240">
        <f>SUM(G103:I103)</f>
        <v>54000</v>
      </c>
      <c r="K103" s="144"/>
    </row>
    <row r="104" spans="1:12" x14ac:dyDescent="0.2">
      <c r="A104" s="543"/>
      <c r="B104" s="241" t="s">
        <v>49</v>
      </c>
      <c r="C104" s="242"/>
      <c r="D104" s="242"/>
      <c r="E104" s="243"/>
      <c r="F104" s="244"/>
      <c r="G104" s="245">
        <v>0</v>
      </c>
      <c r="H104" s="245">
        <v>0</v>
      </c>
      <c r="I104" s="245">
        <v>0</v>
      </c>
      <c r="J104" s="246">
        <f t="shared" si="2"/>
        <v>0</v>
      </c>
      <c r="K104" s="144"/>
    </row>
    <row r="105" spans="1:12" x14ac:dyDescent="0.2">
      <c r="A105" s="543"/>
      <c r="B105" s="241" t="s">
        <v>52</v>
      </c>
      <c r="C105" s="242"/>
      <c r="D105" s="242"/>
      <c r="E105" s="243"/>
      <c r="F105" s="244"/>
      <c r="G105" s="245">
        <f>(G102+G104)*0.07</f>
        <v>15046.710000000001</v>
      </c>
      <c r="H105" s="245">
        <f>(H102+H104)*0.07</f>
        <v>10640.000000000002</v>
      </c>
      <c r="I105" s="245">
        <f>(I102+I104)*0.07</f>
        <v>10640.000000000002</v>
      </c>
      <c r="J105" s="246">
        <f t="shared" si="2"/>
        <v>36326.710000000006</v>
      </c>
      <c r="K105" s="144"/>
    </row>
    <row r="106" spans="1:12" ht="13.5" thickBot="1" x14ac:dyDescent="0.25">
      <c r="A106" s="544"/>
      <c r="B106" s="247" t="s">
        <v>51</v>
      </c>
      <c r="C106" s="248"/>
      <c r="D106" s="248"/>
      <c r="E106" s="249"/>
      <c r="F106" s="250"/>
      <c r="G106" s="251">
        <f>SUM(G102:G105)</f>
        <v>229999.71</v>
      </c>
      <c r="H106" s="251">
        <f>SUM(H102:H105)</f>
        <v>192640</v>
      </c>
      <c r="I106" s="251">
        <f>SUM(I102:I105)</f>
        <v>186640</v>
      </c>
      <c r="J106" s="252">
        <f>SUM(G106:I106)</f>
        <v>609279.71</v>
      </c>
      <c r="K106" s="144"/>
    </row>
    <row r="107" spans="1:12" x14ac:dyDescent="0.2">
      <c r="A107" s="545" t="s">
        <v>221</v>
      </c>
      <c r="B107" s="253" t="s">
        <v>47</v>
      </c>
      <c r="C107" s="254"/>
      <c r="D107" s="254"/>
      <c r="E107" s="255"/>
      <c r="F107" s="256"/>
      <c r="G107" s="257">
        <f>G102+G95+G90+G85+G80+G75</f>
        <v>452431</v>
      </c>
      <c r="H107" s="257">
        <f>H102+H95+H90+H85+H80+H75</f>
        <v>1855620</v>
      </c>
      <c r="I107" s="257">
        <f>I102+I95+I90+I85+I80+I75</f>
        <v>943800</v>
      </c>
      <c r="J107" s="257">
        <f>J102+J95+J90+J85+J80+J75</f>
        <v>3251851</v>
      </c>
      <c r="K107" s="144"/>
    </row>
    <row r="108" spans="1:12" x14ac:dyDescent="0.2">
      <c r="A108" s="546"/>
      <c r="B108" s="258" t="s">
        <v>48</v>
      </c>
      <c r="C108" s="259"/>
      <c r="D108" s="259"/>
      <c r="E108" s="260"/>
      <c r="F108" s="261"/>
      <c r="G108" s="262">
        <f>+G76+G81+G86+G91+G96+G103</f>
        <v>74000</v>
      </c>
      <c r="H108" s="262">
        <f>+H76+H81+H86+H91+H96+H103</f>
        <v>170000</v>
      </c>
      <c r="I108" s="262">
        <f>+I76+I81+I86+I91+I96+I103</f>
        <v>166000</v>
      </c>
      <c r="J108" s="262">
        <f>+J76+J81+J86+J91+J96+J103</f>
        <v>410000</v>
      </c>
      <c r="K108" s="144"/>
    </row>
    <row r="109" spans="1:12" x14ac:dyDescent="0.2">
      <c r="A109" s="546"/>
      <c r="B109" s="258" t="s">
        <v>49</v>
      </c>
      <c r="C109" s="259"/>
      <c r="D109" s="259"/>
      <c r="E109" s="260"/>
      <c r="F109" s="261"/>
      <c r="G109" s="262">
        <f>G97</f>
        <v>20000</v>
      </c>
      <c r="H109" s="262">
        <v>0</v>
      </c>
      <c r="I109" s="262">
        <v>0</v>
      </c>
      <c r="J109" s="263">
        <f>J77+J82+J87+J92+J97+J104</f>
        <v>20000</v>
      </c>
      <c r="K109" s="144"/>
    </row>
    <row r="110" spans="1:12" x14ac:dyDescent="0.2">
      <c r="A110" s="546"/>
      <c r="B110" s="258" t="s">
        <v>52</v>
      </c>
      <c r="C110" s="259"/>
      <c r="D110" s="259"/>
      <c r="E110" s="260"/>
      <c r="F110" s="261"/>
      <c r="G110" s="262">
        <f>G78+G83+G88+G93+G98+G105</f>
        <v>38250.17</v>
      </c>
      <c r="H110" s="262">
        <f>H78+H83+H88+H93+H98+H105</f>
        <v>138293.40000000002</v>
      </c>
      <c r="I110" s="262">
        <f>I78+I83+I88+I93+I98+I105</f>
        <v>74466.000000000015</v>
      </c>
      <c r="J110" s="263">
        <f>J78+J83+J88+J93+J98+J105</f>
        <v>251009.57000000007</v>
      </c>
      <c r="K110" s="144"/>
    </row>
    <row r="111" spans="1:12" ht="25.5" x14ac:dyDescent="0.2">
      <c r="A111" s="546"/>
      <c r="B111" s="264" t="s">
        <v>55</v>
      </c>
      <c r="C111" s="259"/>
      <c r="D111" s="259"/>
      <c r="E111" s="260"/>
      <c r="F111" s="261"/>
      <c r="G111" s="262">
        <f t="shared" ref="G111:I112" si="3">G99</f>
        <v>250263</v>
      </c>
      <c r="H111" s="262">
        <f t="shared" si="3"/>
        <v>358560</v>
      </c>
      <c r="I111" s="262">
        <f t="shared" si="3"/>
        <v>388560</v>
      </c>
      <c r="J111" s="263">
        <f>SUM(G111:I111)</f>
        <v>997383</v>
      </c>
      <c r="K111" s="144"/>
    </row>
    <row r="112" spans="1:12" ht="13.5" thickBot="1" x14ac:dyDescent="0.25">
      <c r="A112" s="547"/>
      <c r="B112" s="265" t="s">
        <v>54</v>
      </c>
      <c r="C112" s="266"/>
      <c r="D112" s="266"/>
      <c r="E112" s="267"/>
      <c r="F112" s="268"/>
      <c r="G112" s="269">
        <f t="shared" si="3"/>
        <v>17518.41</v>
      </c>
      <c r="H112" s="269">
        <f t="shared" si="3"/>
        <v>25099.200000000001</v>
      </c>
      <c r="I112" s="269">
        <f t="shared" si="3"/>
        <v>27199.200000000004</v>
      </c>
      <c r="J112" s="270">
        <f>+SUM(G112:I112)</f>
        <v>69816.81</v>
      </c>
      <c r="K112" s="144"/>
    </row>
    <row r="113" spans="1:11" x14ac:dyDescent="0.2">
      <c r="A113" s="558" t="s">
        <v>56</v>
      </c>
      <c r="B113" s="558"/>
      <c r="C113" s="558"/>
      <c r="D113" s="558"/>
      <c r="E113" s="558"/>
      <c r="F113" s="271"/>
      <c r="G113" s="272">
        <f>+SUM(G107:G112)</f>
        <v>852462.58000000007</v>
      </c>
      <c r="H113" s="272">
        <f>+SUM(H107:H112)</f>
        <v>2547572.6</v>
      </c>
      <c r="I113" s="272">
        <f>+SUM(I107:I112)</f>
        <v>1600025.2</v>
      </c>
      <c r="J113" s="272">
        <f>SUM(G113:I113)</f>
        <v>5000060.38</v>
      </c>
      <c r="K113" s="144"/>
    </row>
    <row r="114" spans="1:11" x14ac:dyDescent="0.2">
      <c r="A114" s="130"/>
      <c r="B114" s="131"/>
      <c r="C114" s="132"/>
      <c r="D114" s="132"/>
      <c r="E114" s="133"/>
      <c r="F114" s="134"/>
      <c r="G114" s="135"/>
      <c r="H114" s="135"/>
      <c r="I114" s="135"/>
      <c r="J114" s="135"/>
    </row>
    <row r="115" spans="1:11" x14ac:dyDescent="0.2">
      <c r="A115" s="130"/>
      <c r="B115" s="131"/>
      <c r="C115" s="132"/>
      <c r="D115" s="132"/>
      <c r="E115" s="133"/>
      <c r="F115" s="134"/>
      <c r="G115" s="135"/>
      <c r="H115" s="135"/>
      <c r="I115" s="135"/>
      <c r="J115" s="135"/>
    </row>
    <row r="116" spans="1:11" x14ac:dyDescent="0.2">
      <c r="A116" s="130"/>
      <c r="B116" s="131"/>
      <c r="C116" s="132"/>
      <c r="D116" s="132"/>
      <c r="E116" s="133"/>
      <c r="F116" s="134"/>
      <c r="G116" s="135"/>
      <c r="H116" s="135"/>
      <c r="I116" s="135"/>
      <c r="J116" s="135"/>
    </row>
    <row r="117" spans="1:11" x14ac:dyDescent="0.2">
      <c r="A117" s="130"/>
      <c r="B117" s="131"/>
      <c r="C117" s="132"/>
      <c r="D117" s="132"/>
      <c r="E117" s="133"/>
      <c r="F117" s="134"/>
      <c r="G117" s="136"/>
      <c r="H117" s="136"/>
      <c r="I117" s="136"/>
      <c r="J117" s="136"/>
    </row>
    <row r="118" spans="1:11" x14ac:dyDescent="0.2">
      <c r="A118" s="130"/>
      <c r="B118" s="131"/>
      <c r="C118" s="132"/>
      <c r="D118" s="132"/>
      <c r="E118" s="133"/>
      <c r="F118" s="134"/>
      <c r="G118" s="136"/>
      <c r="H118" s="136"/>
      <c r="I118" s="136"/>
      <c r="J118" s="136"/>
    </row>
    <row r="119" spans="1:11" x14ac:dyDescent="0.2">
      <c r="A119" s="130"/>
      <c r="B119" s="131"/>
      <c r="C119" s="132"/>
      <c r="D119" s="132"/>
      <c r="E119" s="133"/>
      <c r="F119" s="134"/>
      <c r="G119" s="136"/>
      <c r="H119" s="136"/>
      <c r="I119" s="136"/>
      <c r="J119" s="136"/>
    </row>
    <row r="120" spans="1:11" x14ac:dyDescent="0.2">
      <c r="A120" s="130"/>
      <c r="B120" s="131"/>
      <c r="C120" s="132"/>
      <c r="D120" s="132"/>
      <c r="E120" s="133"/>
      <c r="F120" s="134"/>
      <c r="G120" s="136"/>
      <c r="H120" s="136"/>
      <c r="I120" s="136"/>
      <c r="J120" s="137"/>
    </row>
    <row r="121" spans="1:11" x14ac:dyDescent="0.2">
      <c r="A121" s="130"/>
      <c r="B121" s="131"/>
      <c r="C121" s="132"/>
      <c r="D121" s="132"/>
      <c r="E121" s="133"/>
      <c r="F121" s="134"/>
      <c r="G121" s="136"/>
      <c r="H121" s="136"/>
      <c r="I121" s="136"/>
      <c r="J121" s="136"/>
    </row>
    <row r="122" spans="1:11" x14ac:dyDescent="0.2">
      <c r="A122" s="130"/>
      <c r="B122" s="131"/>
      <c r="C122" s="132"/>
      <c r="D122" s="132"/>
      <c r="E122" s="133"/>
      <c r="F122" s="134"/>
      <c r="G122" s="136"/>
      <c r="H122" s="136"/>
      <c r="I122" s="136"/>
      <c r="J122" s="136"/>
    </row>
    <row r="123" spans="1:11" x14ac:dyDescent="0.2">
      <c r="A123" s="130"/>
      <c r="B123" s="131"/>
      <c r="C123" s="132"/>
      <c r="D123" s="132"/>
      <c r="E123" s="133"/>
      <c r="F123" s="134"/>
      <c r="G123" s="136"/>
      <c r="H123" s="136"/>
      <c r="I123" s="136"/>
      <c r="J123" s="137"/>
    </row>
    <row r="124" spans="1:11" x14ac:dyDescent="0.2">
      <c r="A124" s="130"/>
      <c r="B124" s="131"/>
      <c r="C124" s="132"/>
      <c r="D124" s="132"/>
      <c r="E124" s="133"/>
      <c r="F124" s="134"/>
      <c r="G124" s="136"/>
      <c r="H124" s="136"/>
      <c r="I124" s="136"/>
      <c r="J124" s="138"/>
    </row>
    <row r="125" spans="1:11" x14ac:dyDescent="0.2">
      <c r="A125" s="130"/>
      <c r="B125" s="131"/>
      <c r="C125" s="132"/>
      <c r="D125" s="132"/>
      <c r="E125" s="133"/>
      <c r="F125" s="134"/>
      <c r="G125" s="136"/>
      <c r="H125" s="136"/>
      <c r="I125" s="136"/>
      <c r="J125" s="136"/>
    </row>
    <row r="126" spans="1:11" x14ac:dyDescent="0.2">
      <c r="A126" s="130"/>
      <c r="B126" s="131"/>
      <c r="C126" s="132"/>
      <c r="D126" s="132"/>
      <c r="E126" s="133"/>
      <c r="F126" s="134"/>
      <c r="G126" s="136"/>
      <c r="H126" s="136"/>
      <c r="I126" s="136"/>
      <c r="J126" s="136"/>
    </row>
    <row r="127" spans="1:11" x14ac:dyDescent="0.2">
      <c r="A127" s="130"/>
      <c r="B127" s="131"/>
      <c r="C127" s="132"/>
      <c r="D127" s="132"/>
      <c r="E127" s="133"/>
      <c r="F127" s="134"/>
      <c r="G127" s="136"/>
      <c r="H127" s="136"/>
      <c r="I127" s="136"/>
      <c r="J127" s="136"/>
    </row>
    <row r="128" spans="1:11" x14ac:dyDescent="0.2">
      <c r="A128" s="130"/>
      <c r="B128" s="131"/>
      <c r="C128" s="132"/>
      <c r="D128" s="132"/>
      <c r="E128" s="133"/>
      <c r="F128" s="134"/>
      <c r="G128" s="136"/>
      <c r="H128" s="136"/>
      <c r="I128" s="136"/>
      <c r="J128" s="136"/>
    </row>
    <row r="129" spans="1:10" x14ac:dyDescent="0.2">
      <c r="A129" s="130"/>
      <c r="B129" s="131"/>
      <c r="C129" s="132"/>
      <c r="D129" s="132"/>
      <c r="E129" s="133"/>
      <c r="F129" s="134"/>
      <c r="G129" s="136"/>
      <c r="H129" s="136"/>
      <c r="I129" s="136"/>
      <c r="J129" s="136"/>
    </row>
    <row r="130" spans="1:10" x14ac:dyDescent="0.2">
      <c r="A130" s="130"/>
      <c r="B130" s="131"/>
      <c r="C130" s="132"/>
      <c r="D130" s="132"/>
      <c r="E130" s="133"/>
      <c r="F130" s="134"/>
      <c r="G130" s="136"/>
      <c r="H130" s="136"/>
      <c r="I130" s="136"/>
      <c r="J130" s="136"/>
    </row>
    <row r="131" spans="1:10" x14ac:dyDescent="0.2">
      <c r="A131" s="130"/>
      <c r="B131" s="131"/>
      <c r="C131" s="132"/>
      <c r="D131" s="132"/>
      <c r="E131" s="133"/>
      <c r="F131" s="134"/>
      <c r="G131" s="136"/>
      <c r="H131" s="136"/>
      <c r="I131" s="136"/>
      <c r="J131" s="136"/>
    </row>
    <row r="132" spans="1:10" x14ac:dyDescent="0.2">
      <c r="A132" s="130"/>
      <c r="B132" s="131"/>
      <c r="C132" s="132"/>
      <c r="D132" s="132"/>
      <c r="E132" s="133"/>
      <c r="F132" s="134"/>
      <c r="G132" s="136"/>
      <c r="H132" s="136"/>
      <c r="I132" s="136"/>
      <c r="J132" s="136"/>
    </row>
    <row r="133" spans="1:10" x14ac:dyDescent="0.2">
      <c r="A133" s="130"/>
      <c r="B133" s="131"/>
      <c r="C133" s="132"/>
      <c r="D133" s="132"/>
      <c r="E133" s="133"/>
      <c r="F133" s="134"/>
      <c r="G133" s="136"/>
      <c r="H133" s="136"/>
      <c r="I133" s="136"/>
      <c r="J133" s="136"/>
    </row>
    <row r="134" spans="1:10" x14ac:dyDescent="0.2">
      <c r="A134" s="130"/>
      <c r="B134" s="131"/>
      <c r="C134" s="132"/>
      <c r="D134" s="132"/>
      <c r="E134" s="133"/>
      <c r="F134" s="134"/>
      <c r="G134" s="136"/>
      <c r="H134" s="136"/>
      <c r="I134" s="136"/>
      <c r="J134" s="136"/>
    </row>
    <row r="135" spans="1:10" x14ac:dyDescent="0.2">
      <c r="A135" s="130"/>
      <c r="B135" s="131"/>
      <c r="C135" s="132"/>
      <c r="D135" s="132"/>
      <c r="E135" s="133"/>
      <c r="F135" s="134"/>
      <c r="G135" s="136"/>
      <c r="H135" s="136"/>
      <c r="I135" s="136"/>
      <c r="J135" s="136"/>
    </row>
    <row r="136" spans="1:10" x14ac:dyDescent="0.2">
      <c r="A136" s="130"/>
      <c r="B136" s="131"/>
      <c r="C136" s="132"/>
      <c r="D136" s="132"/>
      <c r="E136" s="133"/>
      <c r="F136" s="134"/>
      <c r="G136" s="136"/>
      <c r="H136" s="136"/>
      <c r="I136" s="136"/>
      <c r="J136" s="136"/>
    </row>
    <row r="137" spans="1:10" x14ac:dyDescent="0.2">
      <c r="A137" s="130"/>
      <c r="B137" s="131"/>
      <c r="C137" s="132"/>
      <c r="D137" s="132"/>
      <c r="E137" s="133"/>
      <c r="F137" s="134"/>
      <c r="G137" s="136"/>
      <c r="H137" s="136"/>
      <c r="I137" s="136"/>
      <c r="J137" s="136"/>
    </row>
    <row r="138" spans="1:10" x14ac:dyDescent="0.2">
      <c r="A138" s="130"/>
      <c r="B138" s="131"/>
      <c r="C138" s="132"/>
      <c r="D138" s="132"/>
      <c r="E138" s="133"/>
      <c r="F138" s="134"/>
      <c r="G138" s="136"/>
      <c r="H138" s="136"/>
      <c r="I138" s="136"/>
      <c r="J138" s="136"/>
    </row>
  </sheetData>
  <mergeCells count="59">
    <mergeCell ref="D69:D70"/>
    <mergeCell ref="D66:D67"/>
    <mergeCell ref="C69:C70"/>
    <mergeCell ref="A61:A64"/>
    <mergeCell ref="D49:D50"/>
    <mergeCell ref="D35:D36"/>
    <mergeCell ref="C52:C55"/>
    <mergeCell ref="A65:A67"/>
    <mergeCell ref="B61:B62"/>
    <mergeCell ref="C61:C64"/>
    <mergeCell ref="D52:D55"/>
    <mergeCell ref="A38:A51"/>
    <mergeCell ref="A35:A36"/>
    <mergeCell ref="C35:C36"/>
    <mergeCell ref="D56:D60"/>
    <mergeCell ref="C49:C50"/>
    <mergeCell ref="B56:B60"/>
    <mergeCell ref="C58:C60"/>
    <mergeCell ref="A113:E113"/>
    <mergeCell ref="A75:A79"/>
    <mergeCell ref="A80:A84"/>
    <mergeCell ref="A85:A89"/>
    <mergeCell ref="A90:A94"/>
    <mergeCell ref="A17:A26"/>
    <mergeCell ref="A95:A101"/>
    <mergeCell ref="A102:A106"/>
    <mergeCell ref="A107:A112"/>
    <mergeCell ref="A31:A34"/>
    <mergeCell ref="A74:E74"/>
    <mergeCell ref="A69:A71"/>
    <mergeCell ref="D61:D64"/>
    <mergeCell ref="B69:B70"/>
    <mergeCell ref="B17:B22"/>
    <mergeCell ref="B28:B29"/>
    <mergeCell ref="A27:A30"/>
    <mergeCell ref="C56:C57"/>
    <mergeCell ref="B41:B47"/>
    <mergeCell ref="B52:B55"/>
    <mergeCell ref="A52:A60"/>
    <mergeCell ref="A8:A16"/>
    <mergeCell ref="B10:B11"/>
    <mergeCell ref="A5:A6"/>
    <mergeCell ref="B5:B6"/>
    <mergeCell ref="C10:C11"/>
    <mergeCell ref="C5:C6"/>
    <mergeCell ref="C23:C26"/>
    <mergeCell ref="B32:B34"/>
    <mergeCell ref="B23:B26"/>
    <mergeCell ref="F5:F6"/>
    <mergeCell ref="D27:D30"/>
    <mergeCell ref="D8:D9"/>
    <mergeCell ref="B8:B9"/>
    <mergeCell ref="E5:E6"/>
    <mergeCell ref="D23:D26"/>
    <mergeCell ref="D17:D22"/>
    <mergeCell ref="D5:D6"/>
    <mergeCell ref="D10:D11"/>
    <mergeCell ref="D32:D33"/>
    <mergeCell ref="C32:C33"/>
  </mergeCells>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abSelected="1" topLeftCell="C90" zoomScaleSheetLayoutView="100" workbookViewId="0">
      <selection activeCell="E110" sqref="E110"/>
    </sheetView>
  </sheetViews>
  <sheetFormatPr defaultColWidth="9.140625" defaultRowHeight="12.75" x14ac:dyDescent="0.2"/>
  <cols>
    <col min="1" max="1" width="25.7109375" customWidth="1"/>
    <col min="2" max="2" width="25.85546875" customWidth="1"/>
    <col min="3" max="3" width="13.42578125" customWidth="1"/>
    <col min="4" max="4" width="14.5703125" hidden="1" customWidth="1"/>
    <col min="5" max="5" width="26.28515625" customWidth="1"/>
    <col min="6" max="6" width="12.5703125" customWidth="1"/>
    <col min="7" max="7" width="13.28515625" style="144" customWidth="1"/>
    <col min="8" max="8" width="13.85546875" customWidth="1"/>
    <col min="9" max="9" width="13.28515625" customWidth="1"/>
    <col min="10" max="10" width="15" style="296" customWidth="1"/>
    <col min="11" max="11" width="12.140625" style="443" customWidth="1"/>
    <col min="12" max="12" width="13.7109375" style="443" customWidth="1"/>
    <col min="13" max="13" width="13" style="386" customWidth="1"/>
    <col min="14" max="14" width="11.42578125" style="386" customWidth="1"/>
    <col min="15" max="15" width="12.7109375" style="386" customWidth="1"/>
    <col min="16" max="17" width="9.140625" style="386"/>
  </cols>
  <sheetData>
    <row r="1" spans="1:15" ht="13.5" x14ac:dyDescent="0.25">
      <c r="A1" s="283" t="s">
        <v>250</v>
      </c>
      <c r="B1" s="283"/>
      <c r="C1" s="283"/>
      <c r="D1" s="283"/>
      <c r="E1" s="283"/>
      <c r="F1" s="283"/>
      <c r="G1" s="283"/>
      <c r="L1" s="444"/>
    </row>
    <row r="2" spans="1:15" ht="13.5" x14ac:dyDescent="0.25">
      <c r="A2" s="283" t="s">
        <v>57</v>
      </c>
      <c r="B2" s="283"/>
      <c r="C2" s="283"/>
      <c r="D2" s="283"/>
      <c r="E2" s="283"/>
      <c r="F2" s="283"/>
      <c r="G2" s="283"/>
      <c r="I2" s="306"/>
      <c r="L2" s="444"/>
    </row>
    <row r="3" spans="1:15" ht="13.5" x14ac:dyDescent="0.25">
      <c r="A3" s="372" t="s">
        <v>352</v>
      </c>
      <c r="B3" s="283"/>
      <c r="C3" s="283"/>
      <c r="D3" s="283"/>
      <c r="E3" s="283"/>
      <c r="F3" s="283"/>
      <c r="G3" s="283"/>
      <c r="L3" s="445"/>
    </row>
    <row r="4" spans="1:15" ht="14.25" thickBot="1" x14ac:dyDescent="0.3">
      <c r="A4" s="283"/>
      <c r="B4" s="283"/>
      <c r="C4" s="283"/>
      <c r="D4" s="283"/>
      <c r="E4" s="283"/>
      <c r="F4" s="283"/>
      <c r="G4" s="283"/>
      <c r="L4" s="445"/>
    </row>
    <row r="5" spans="1:15" ht="13.5" customHeight="1" x14ac:dyDescent="0.2">
      <c r="A5" s="592" t="s">
        <v>222</v>
      </c>
      <c r="B5" s="594" t="s">
        <v>227</v>
      </c>
      <c r="C5" s="594" t="s">
        <v>225</v>
      </c>
      <c r="D5" s="144"/>
      <c r="E5" s="144"/>
      <c r="F5" s="398" t="s">
        <v>62</v>
      </c>
      <c r="G5" s="399"/>
      <c r="H5" s="400"/>
      <c r="I5" s="400"/>
      <c r="J5" s="401"/>
      <c r="K5" s="352"/>
      <c r="L5" s="352"/>
      <c r="M5" s="144"/>
      <c r="N5" s="144"/>
    </row>
    <row r="6" spans="1:15" ht="39" thickBot="1" x14ac:dyDescent="0.25">
      <c r="A6" s="593"/>
      <c r="B6" s="595"/>
      <c r="C6" s="595"/>
      <c r="D6" s="144"/>
      <c r="E6" s="144"/>
      <c r="F6" s="402" t="s">
        <v>228</v>
      </c>
      <c r="G6" s="439" t="s">
        <v>354</v>
      </c>
      <c r="H6" s="332" t="s">
        <v>229</v>
      </c>
      <c r="I6" s="332" t="s">
        <v>230</v>
      </c>
      <c r="J6" s="333" t="s">
        <v>231</v>
      </c>
      <c r="K6" s="353"/>
      <c r="L6" s="353"/>
      <c r="M6" s="144"/>
      <c r="N6" s="144"/>
    </row>
    <row r="7" spans="1:15" ht="27.75" customHeight="1" x14ac:dyDescent="0.2">
      <c r="A7" s="596" t="s">
        <v>245</v>
      </c>
      <c r="B7" s="586" t="s">
        <v>246</v>
      </c>
      <c r="C7" s="80" t="s">
        <v>199</v>
      </c>
      <c r="D7" s="337"/>
      <c r="E7" s="341"/>
      <c r="F7" s="403">
        <v>368730</v>
      </c>
      <c r="G7" s="403">
        <f>+F7-2039</f>
        <v>366691</v>
      </c>
      <c r="H7" s="346">
        <v>366691</v>
      </c>
      <c r="I7" s="343">
        <v>366691</v>
      </c>
      <c r="J7" s="405"/>
      <c r="K7" s="449"/>
      <c r="L7" s="415"/>
      <c r="M7" s="337"/>
      <c r="N7" s="144"/>
    </row>
    <row r="8" spans="1:15" ht="16.5" thickBot="1" x14ac:dyDescent="0.25">
      <c r="A8" s="597"/>
      <c r="B8" s="587"/>
      <c r="C8" s="295" t="s">
        <v>171</v>
      </c>
      <c r="D8" s="144"/>
      <c r="E8" s="337"/>
      <c r="F8" s="404">
        <v>628652</v>
      </c>
      <c r="G8" s="404">
        <f>628652+2039-63000</f>
        <v>567691</v>
      </c>
      <c r="H8" s="442">
        <f>+I8+122511</f>
        <v>412363</v>
      </c>
      <c r="I8" s="442">
        <f>228615+61237</f>
        <v>289852</v>
      </c>
      <c r="J8" s="331"/>
      <c r="K8" s="449"/>
      <c r="L8" s="446"/>
      <c r="M8" s="337"/>
      <c r="N8" s="144"/>
    </row>
    <row r="9" spans="1:15" ht="13.5" thickBot="1" x14ac:dyDescent="0.25">
      <c r="A9" s="322" t="s">
        <v>221</v>
      </c>
      <c r="B9" s="323"/>
      <c r="C9" s="323"/>
      <c r="D9" s="323"/>
      <c r="E9" s="323"/>
      <c r="F9" s="406">
        <f>+F7+F8</f>
        <v>997382</v>
      </c>
      <c r="G9" s="406">
        <f>+G7+G8</f>
        <v>934382</v>
      </c>
      <c r="H9" s="410">
        <f>+H7+H8</f>
        <v>779054</v>
      </c>
      <c r="I9" s="410">
        <f>+I7+I8</f>
        <v>656543</v>
      </c>
      <c r="J9" s="407">
        <f>+I9/F9</f>
        <v>0.65826634128147488</v>
      </c>
      <c r="K9" s="449"/>
      <c r="L9" s="354"/>
      <c r="M9" s="337"/>
      <c r="N9" s="337"/>
    </row>
    <row r="10" spans="1:15" ht="13.5" x14ac:dyDescent="0.2">
      <c r="A10" s="302"/>
      <c r="B10" s="302"/>
      <c r="C10" s="302"/>
      <c r="D10" s="302"/>
      <c r="E10" s="302"/>
      <c r="F10" s="303"/>
      <c r="G10" s="303"/>
      <c r="H10" s="411"/>
      <c r="I10" s="411"/>
      <c r="J10" s="304"/>
      <c r="K10" s="304"/>
      <c r="L10" s="397"/>
      <c r="M10" s="337"/>
      <c r="N10" s="422"/>
      <c r="O10" s="387"/>
    </row>
    <row r="11" spans="1:15" ht="13.5" x14ac:dyDescent="0.2">
      <c r="A11" s="302"/>
      <c r="B11" s="88" t="s">
        <v>61</v>
      </c>
      <c r="C11" s="347" t="s">
        <v>199</v>
      </c>
      <c r="D11" s="348"/>
      <c r="E11" s="348"/>
      <c r="F11" s="336">
        <v>60000</v>
      </c>
      <c r="G11" s="336"/>
      <c r="H11" s="376">
        <v>42744</v>
      </c>
      <c r="I11" s="376">
        <v>37482</v>
      </c>
      <c r="J11" s="325">
        <f t="shared" ref="J11:J16" si="0">+I11/F11</f>
        <v>0.62470000000000003</v>
      </c>
      <c r="K11" s="355"/>
      <c r="L11" s="355"/>
      <c r="M11" s="337"/>
      <c r="N11" s="144"/>
    </row>
    <row r="12" spans="1:15" ht="13.5" x14ac:dyDescent="0.2">
      <c r="A12" s="302"/>
      <c r="B12" s="324"/>
      <c r="C12" s="347" t="s">
        <v>85</v>
      </c>
      <c r="D12" s="348"/>
      <c r="E12" s="348"/>
      <c r="F12" s="336">
        <v>42000</v>
      </c>
      <c r="G12" s="336"/>
      <c r="H12" s="376">
        <v>42000</v>
      </c>
      <c r="I12" s="376">
        <v>6928</v>
      </c>
      <c r="J12" s="325">
        <f t="shared" si="0"/>
        <v>0.16495238095238096</v>
      </c>
      <c r="K12" s="355"/>
      <c r="L12" s="415"/>
      <c r="M12" s="144"/>
      <c r="N12" s="144"/>
    </row>
    <row r="13" spans="1:15" ht="13.5" x14ac:dyDescent="0.2">
      <c r="A13" s="302"/>
      <c r="B13" s="324"/>
      <c r="C13" s="347" t="s">
        <v>179</v>
      </c>
      <c r="D13" s="348"/>
      <c r="E13" s="348"/>
      <c r="F13" s="336">
        <v>90000</v>
      </c>
      <c r="G13" s="336"/>
      <c r="H13" s="376">
        <v>76701</v>
      </c>
      <c r="I13" s="376">
        <v>56437</v>
      </c>
      <c r="J13" s="325">
        <f t="shared" si="0"/>
        <v>0.62707777777777773</v>
      </c>
      <c r="K13" s="355"/>
      <c r="L13" s="415"/>
      <c r="M13" s="337"/>
      <c r="N13" s="144"/>
    </row>
    <row r="14" spans="1:15" ht="13.5" x14ac:dyDescent="0.25">
      <c r="A14" s="283"/>
      <c r="B14" s="326"/>
      <c r="C14" s="349" t="s">
        <v>67</v>
      </c>
      <c r="D14" s="350"/>
      <c r="E14" s="350"/>
      <c r="F14" s="344">
        <v>90000</v>
      </c>
      <c r="G14" s="344"/>
      <c r="H14" s="376">
        <v>74471</v>
      </c>
      <c r="I14" s="376">
        <v>69230</v>
      </c>
      <c r="J14" s="325">
        <f t="shared" si="0"/>
        <v>0.76922222222222225</v>
      </c>
      <c r="K14" s="355"/>
      <c r="L14" s="415"/>
      <c r="M14" s="144"/>
      <c r="N14" s="144"/>
    </row>
    <row r="15" spans="1:15" ht="13.5" x14ac:dyDescent="0.25">
      <c r="A15" s="283"/>
      <c r="B15" s="326"/>
      <c r="C15" s="349" t="s">
        <v>171</v>
      </c>
      <c r="D15" s="350"/>
      <c r="E15" s="350"/>
      <c r="F15" s="344">
        <v>74000</v>
      </c>
      <c r="G15" s="344"/>
      <c r="H15" s="377">
        <v>37568</v>
      </c>
      <c r="I15" s="377">
        <v>31567</v>
      </c>
      <c r="J15" s="325">
        <f t="shared" si="0"/>
        <v>0.42658108108108106</v>
      </c>
      <c r="K15" s="441"/>
      <c r="L15" s="355"/>
      <c r="M15" s="144"/>
      <c r="N15" s="144"/>
    </row>
    <row r="16" spans="1:15" ht="13.5" x14ac:dyDescent="0.25">
      <c r="A16" s="283"/>
      <c r="B16" s="326"/>
      <c r="C16" s="349" t="s">
        <v>76</v>
      </c>
      <c r="D16" s="350"/>
      <c r="E16" s="350"/>
      <c r="F16" s="344">
        <v>50468</v>
      </c>
      <c r="G16" s="351"/>
      <c r="H16" s="376">
        <v>6587</v>
      </c>
      <c r="I16" s="376">
        <v>6587</v>
      </c>
      <c r="J16" s="325">
        <f t="shared" si="0"/>
        <v>0.13051834826028375</v>
      </c>
      <c r="K16" s="355"/>
      <c r="L16" s="415"/>
      <c r="M16" s="144"/>
      <c r="N16" s="144"/>
    </row>
    <row r="17" spans="1:14" ht="13.5" x14ac:dyDescent="0.2">
      <c r="A17" s="302"/>
      <c r="B17" s="88" t="s">
        <v>49</v>
      </c>
      <c r="C17" s="88" t="s">
        <v>171</v>
      </c>
      <c r="D17" s="324"/>
      <c r="E17" s="324"/>
      <c r="F17" s="330">
        <v>20000</v>
      </c>
      <c r="G17" s="330"/>
      <c r="H17" s="336">
        <v>20000</v>
      </c>
      <c r="I17" s="330">
        <v>20000</v>
      </c>
      <c r="J17" s="325">
        <f>+I17/F17</f>
        <v>1</v>
      </c>
      <c r="K17" s="355"/>
      <c r="L17" s="415"/>
      <c r="M17" s="144"/>
      <c r="N17" s="144"/>
    </row>
    <row r="18" spans="1:14" x14ac:dyDescent="0.2">
      <c r="E18" s="144" t="s">
        <v>349</v>
      </c>
    </row>
    <row r="19" spans="1:14" ht="13.5" x14ac:dyDescent="0.25">
      <c r="A19" s="283"/>
      <c r="B19" s="283"/>
      <c r="C19" s="283"/>
      <c r="D19" s="283"/>
      <c r="E19" s="283"/>
      <c r="F19" s="283"/>
      <c r="G19" s="283"/>
    </row>
    <row r="20" spans="1:14" ht="12.75" customHeight="1" x14ac:dyDescent="0.2">
      <c r="A20" s="530" t="s">
        <v>257</v>
      </c>
      <c r="B20" s="535" t="s">
        <v>258</v>
      </c>
      <c r="C20" s="531" t="s">
        <v>259</v>
      </c>
      <c r="D20" s="531" t="s">
        <v>260</v>
      </c>
      <c r="E20" s="530" t="s">
        <v>261</v>
      </c>
      <c r="F20" s="588" t="s">
        <v>353</v>
      </c>
      <c r="G20" s="588"/>
      <c r="H20" s="588"/>
      <c r="I20" s="588"/>
      <c r="J20" s="588"/>
      <c r="K20" s="412"/>
      <c r="L20" s="601" t="s">
        <v>348</v>
      </c>
    </row>
    <row r="21" spans="1:14" ht="51.75" thickBot="1" x14ac:dyDescent="0.25">
      <c r="A21" s="530"/>
      <c r="B21" s="535"/>
      <c r="C21" s="531"/>
      <c r="D21" s="531"/>
      <c r="E21" s="530"/>
      <c r="F21" s="299" t="s">
        <v>58</v>
      </c>
      <c r="G21" s="431" t="s">
        <v>354</v>
      </c>
      <c r="H21" s="361" t="s">
        <v>229</v>
      </c>
      <c r="I21" s="362" t="s">
        <v>230</v>
      </c>
      <c r="J21" s="433" t="s">
        <v>347</v>
      </c>
      <c r="K21" s="432" t="s">
        <v>351</v>
      </c>
      <c r="L21" s="601"/>
    </row>
    <row r="22" spans="1:14" ht="28.5" customHeight="1" x14ac:dyDescent="0.2">
      <c r="A22" s="389" t="s">
        <v>265</v>
      </c>
      <c r="B22" s="390"/>
      <c r="C22" s="390"/>
      <c r="D22" s="390"/>
      <c r="E22" s="390"/>
      <c r="F22" s="390"/>
      <c r="G22" s="390"/>
      <c r="H22" s="390"/>
      <c r="I22" s="390"/>
      <c r="J22" s="390"/>
      <c r="K22" s="413"/>
      <c r="L22" s="356"/>
    </row>
    <row r="23" spans="1:14" ht="90" customHeight="1" x14ac:dyDescent="0.2">
      <c r="A23" s="532" t="s">
        <v>266</v>
      </c>
      <c r="B23" s="529" t="s">
        <v>267</v>
      </c>
      <c r="C23" s="78" t="s">
        <v>199</v>
      </c>
      <c r="D23" s="522" t="s">
        <v>68</v>
      </c>
      <c r="E23" s="287" t="s">
        <v>268</v>
      </c>
      <c r="F23" s="307">
        <v>110000</v>
      </c>
      <c r="G23" s="307">
        <v>71524</v>
      </c>
      <c r="H23" s="305">
        <v>71524</v>
      </c>
      <c r="I23" s="305">
        <v>71524</v>
      </c>
      <c r="J23" s="301">
        <f t="shared" ref="J23:J38" si="1">+I23/F23</f>
        <v>0.65021818181818181</v>
      </c>
      <c r="K23" s="434">
        <f>+I23/G23</f>
        <v>1</v>
      </c>
      <c r="L23" s="357" t="s">
        <v>307</v>
      </c>
      <c r="M23" s="440"/>
    </row>
    <row r="24" spans="1:14" ht="38.25" x14ac:dyDescent="0.2">
      <c r="A24" s="533"/>
      <c r="B24" s="529"/>
      <c r="C24" s="78" t="s">
        <v>199</v>
      </c>
      <c r="D24" s="522"/>
      <c r="E24" s="287" t="s">
        <v>270</v>
      </c>
      <c r="F24" s="308">
        <v>14000</v>
      </c>
      <c r="G24" s="307">
        <v>0</v>
      </c>
      <c r="H24" s="305">
        <v>0</v>
      </c>
      <c r="I24" s="305">
        <v>0</v>
      </c>
      <c r="J24" s="301">
        <f t="shared" si="1"/>
        <v>0</v>
      </c>
      <c r="K24" s="434">
        <v>0</v>
      </c>
      <c r="L24" s="357"/>
      <c r="M24" s="440"/>
    </row>
    <row r="25" spans="1:14" ht="51" customHeight="1" x14ac:dyDescent="0.2">
      <c r="A25" s="533"/>
      <c r="B25" s="529" t="s">
        <v>272</v>
      </c>
      <c r="C25" s="80" t="s">
        <v>76</v>
      </c>
      <c r="D25" s="522" t="s">
        <v>273</v>
      </c>
      <c r="E25" s="288" t="s">
        <v>274</v>
      </c>
      <c r="F25" s="307">
        <v>150736</v>
      </c>
      <c r="G25" s="307">
        <f>+F25-3537</f>
        <v>147199</v>
      </c>
      <c r="H25" s="374">
        <v>146559</v>
      </c>
      <c r="I25" s="307">
        <v>145225</v>
      </c>
      <c r="J25" s="301">
        <f t="shared" si="1"/>
        <v>0.96343939072285323</v>
      </c>
      <c r="K25" s="301">
        <f>+I25/G25</f>
        <v>0.9865895828096658</v>
      </c>
      <c r="L25" s="357" t="s">
        <v>307</v>
      </c>
      <c r="M25" s="440"/>
    </row>
    <row r="26" spans="1:14" ht="38.25" customHeight="1" x14ac:dyDescent="0.2">
      <c r="A26" s="533"/>
      <c r="B26" s="529"/>
      <c r="C26" s="80" t="s">
        <v>76</v>
      </c>
      <c r="D26" s="522"/>
      <c r="E26" s="360" t="s">
        <v>275</v>
      </c>
      <c r="F26" s="307">
        <v>14000</v>
      </c>
      <c r="G26" s="307">
        <v>14000</v>
      </c>
      <c r="H26" s="374">
        <v>3000</v>
      </c>
      <c r="I26" s="305">
        <v>3000</v>
      </c>
      <c r="J26" s="301">
        <f t="shared" si="1"/>
        <v>0.21428571428571427</v>
      </c>
      <c r="K26" s="301">
        <f>+I26/G26</f>
        <v>0.21428571428571427</v>
      </c>
      <c r="L26" s="357"/>
      <c r="M26" s="440"/>
    </row>
    <row r="27" spans="1:14" ht="140.25" customHeight="1" x14ac:dyDescent="0.2">
      <c r="A27" s="533"/>
      <c r="B27" s="85" t="s">
        <v>276</v>
      </c>
      <c r="C27" s="80" t="s">
        <v>67</v>
      </c>
      <c r="D27" s="80" t="s">
        <v>277</v>
      </c>
      <c r="E27" s="288" t="s">
        <v>278</v>
      </c>
      <c r="F27" s="307">
        <v>13000</v>
      </c>
      <c r="G27" s="307">
        <v>13000</v>
      </c>
      <c r="H27" s="307">
        <v>13052</v>
      </c>
      <c r="I27" s="307">
        <v>13052</v>
      </c>
      <c r="J27" s="301">
        <f t="shared" si="1"/>
        <v>1.004</v>
      </c>
      <c r="K27" s="301">
        <f t="shared" ref="K27:K91" si="2">+I27/G27</f>
        <v>1.004</v>
      </c>
      <c r="L27" s="357" t="s">
        <v>307</v>
      </c>
      <c r="M27" s="440"/>
    </row>
    <row r="28" spans="1:14" ht="153.75" customHeight="1" x14ac:dyDescent="0.2">
      <c r="A28" s="533"/>
      <c r="B28" s="85" t="s">
        <v>279</v>
      </c>
      <c r="C28" s="78" t="s">
        <v>76</v>
      </c>
      <c r="D28" s="80" t="s">
        <v>280</v>
      </c>
      <c r="E28" s="288" t="s">
        <v>281</v>
      </c>
      <c r="F28" s="307">
        <v>42000</v>
      </c>
      <c r="G28" s="307">
        <f>42000-10673</f>
        <v>31327</v>
      </c>
      <c r="H28" s="307">
        <v>31327</v>
      </c>
      <c r="I28" s="307">
        <v>31327</v>
      </c>
      <c r="J28" s="301">
        <f t="shared" si="1"/>
        <v>0.74588095238095242</v>
      </c>
      <c r="K28" s="301">
        <f t="shared" si="2"/>
        <v>1</v>
      </c>
      <c r="L28" s="357" t="s">
        <v>307</v>
      </c>
      <c r="M28" s="440"/>
    </row>
    <row r="29" spans="1:14" ht="119.25" customHeight="1" x14ac:dyDescent="0.2">
      <c r="A29" s="533"/>
      <c r="B29" s="87" t="s">
        <v>282</v>
      </c>
      <c r="C29" s="78" t="s">
        <v>67</v>
      </c>
      <c r="D29" s="80" t="s">
        <v>280</v>
      </c>
      <c r="E29" s="289" t="s">
        <v>283</v>
      </c>
      <c r="F29" s="307">
        <v>12000</v>
      </c>
      <c r="G29" s="307">
        <f>12000+3224</f>
        <v>15224</v>
      </c>
      <c r="H29" s="307">
        <v>15224</v>
      </c>
      <c r="I29" s="307">
        <v>7724</v>
      </c>
      <c r="J29" s="301">
        <f t="shared" si="1"/>
        <v>0.64366666666666672</v>
      </c>
      <c r="K29" s="301">
        <f t="shared" si="2"/>
        <v>0.50735680504466629</v>
      </c>
      <c r="L29" s="357"/>
      <c r="M29" s="440"/>
    </row>
    <row r="30" spans="1:14" ht="99.75" customHeight="1" x14ac:dyDescent="0.2">
      <c r="A30" s="533"/>
      <c r="B30" s="87" t="s">
        <v>284</v>
      </c>
      <c r="C30" s="78" t="s">
        <v>67</v>
      </c>
      <c r="D30" s="80" t="s">
        <v>280</v>
      </c>
      <c r="E30" s="289" t="s">
        <v>286</v>
      </c>
      <c r="F30" s="307">
        <v>40000</v>
      </c>
      <c r="G30" s="307">
        <v>40000</v>
      </c>
      <c r="H30" s="345">
        <v>18632</v>
      </c>
      <c r="I30" s="374">
        <v>18632</v>
      </c>
      <c r="J30" s="301">
        <f t="shared" si="1"/>
        <v>0.46579999999999999</v>
      </c>
      <c r="K30" s="301">
        <f t="shared" si="2"/>
        <v>0.46579999999999999</v>
      </c>
      <c r="L30" s="357" t="s">
        <v>307</v>
      </c>
      <c r="M30" s="440"/>
    </row>
    <row r="31" spans="1:14" ht="38.25" customHeight="1" x14ac:dyDescent="0.2">
      <c r="A31" s="534"/>
      <c r="B31" s="87" t="s">
        <v>287</v>
      </c>
      <c r="C31" s="78" t="s">
        <v>179</v>
      </c>
      <c r="D31" s="78" t="s">
        <v>288</v>
      </c>
      <c r="E31" s="289" t="s">
        <v>289</v>
      </c>
      <c r="F31" s="307">
        <v>14000</v>
      </c>
      <c r="G31" s="307">
        <f>14000+22449</f>
        <v>36449</v>
      </c>
      <c r="H31" s="307">
        <v>36449</v>
      </c>
      <c r="I31" s="307">
        <v>36449</v>
      </c>
      <c r="J31" s="301">
        <f t="shared" si="1"/>
        <v>2.6034999999999999</v>
      </c>
      <c r="K31" s="301">
        <f t="shared" si="2"/>
        <v>1</v>
      </c>
      <c r="L31" s="357"/>
      <c r="M31" s="440"/>
    </row>
    <row r="32" spans="1:14" ht="71.25" customHeight="1" x14ac:dyDescent="0.2">
      <c r="A32" s="529" t="s">
        <v>290</v>
      </c>
      <c r="B32" s="529" t="s">
        <v>291</v>
      </c>
      <c r="C32" s="80" t="s">
        <v>76</v>
      </c>
      <c r="D32" s="522" t="s">
        <v>292</v>
      </c>
      <c r="E32" s="289" t="s">
        <v>293</v>
      </c>
      <c r="F32" s="307">
        <v>22217</v>
      </c>
      <c r="G32" s="307">
        <f>22217-2523</f>
        <v>19694</v>
      </c>
      <c r="H32" s="307">
        <v>19694</v>
      </c>
      <c r="I32" s="307">
        <v>19694</v>
      </c>
      <c r="J32" s="301">
        <f t="shared" si="1"/>
        <v>0.8864383130035558</v>
      </c>
      <c r="K32" s="301">
        <f t="shared" si="2"/>
        <v>1</v>
      </c>
      <c r="L32" s="357" t="s">
        <v>195</v>
      </c>
      <c r="M32" s="440"/>
    </row>
    <row r="33" spans="1:13" ht="114.75" customHeight="1" x14ac:dyDescent="0.2">
      <c r="A33" s="529"/>
      <c r="B33" s="529"/>
      <c r="C33" s="80" t="s">
        <v>76</v>
      </c>
      <c r="D33" s="522"/>
      <c r="E33" s="287" t="s">
        <v>294</v>
      </c>
      <c r="F33" s="307">
        <v>60000</v>
      </c>
      <c r="G33" s="307">
        <f>60000-3409</f>
        <v>56591</v>
      </c>
      <c r="H33" s="345">
        <v>47807</v>
      </c>
      <c r="I33" s="307">
        <v>33423</v>
      </c>
      <c r="J33" s="301">
        <f t="shared" si="1"/>
        <v>0.55705000000000005</v>
      </c>
      <c r="K33" s="301">
        <f t="shared" si="2"/>
        <v>0.59060628015055394</v>
      </c>
      <c r="L33" s="357" t="s">
        <v>285</v>
      </c>
      <c r="M33" s="440"/>
    </row>
    <row r="34" spans="1:13" ht="38.25" x14ac:dyDescent="0.2">
      <c r="A34" s="529"/>
      <c r="B34" s="529"/>
      <c r="C34" s="80" t="s">
        <v>199</v>
      </c>
      <c r="D34" s="522"/>
      <c r="E34" s="288" t="s">
        <v>295</v>
      </c>
      <c r="F34" s="307">
        <v>15900</v>
      </c>
      <c r="G34" s="307">
        <v>15900</v>
      </c>
      <c r="H34" s="307">
        <v>15900</v>
      </c>
      <c r="I34" s="307">
        <v>15900</v>
      </c>
      <c r="J34" s="301">
        <f t="shared" si="1"/>
        <v>1</v>
      </c>
      <c r="K34" s="301">
        <f t="shared" si="2"/>
        <v>1</v>
      </c>
      <c r="L34" s="357" t="s">
        <v>307</v>
      </c>
      <c r="M34" s="440"/>
    </row>
    <row r="35" spans="1:13" ht="69" customHeight="1" x14ac:dyDescent="0.2">
      <c r="A35" s="529"/>
      <c r="B35" s="529"/>
      <c r="C35" s="80" t="s">
        <v>85</v>
      </c>
      <c r="D35" s="522"/>
      <c r="E35" s="288" t="s">
        <v>296</v>
      </c>
      <c r="F35" s="307">
        <v>12000</v>
      </c>
      <c r="G35" s="374">
        <v>12000</v>
      </c>
      <c r="H35" s="307">
        <v>12000</v>
      </c>
      <c r="I35" s="307">
        <v>12000</v>
      </c>
      <c r="J35" s="301">
        <f t="shared" si="1"/>
        <v>1</v>
      </c>
      <c r="K35" s="301">
        <f t="shared" si="2"/>
        <v>1</v>
      </c>
      <c r="L35" s="373" t="s">
        <v>190</v>
      </c>
      <c r="M35" s="440">
        <v>4000</v>
      </c>
    </row>
    <row r="36" spans="1:13" ht="140.25" x14ac:dyDescent="0.2">
      <c r="A36" s="529"/>
      <c r="B36" s="529"/>
      <c r="C36" s="80" t="s">
        <v>199</v>
      </c>
      <c r="D36" s="522"/>
      <c r="E36" s="288" t="s">
        <v>297</v>
      </c>
      <c r="F36" s="307">
        <v>80000</v>
      </c>
      <c r="G36" s="307">
        <v>80000</v>
      </c>
      <c r="H36" s="376">
        <v>35323</v>
      </c>
      <c r="I36" s="376">
        <v>35323</v>
      </c>
      <c r="J36" s="301">
        <f t="shared" si="1"/>
        <v>0.44153750000000003</v>
      </c>
      <c r="K36" s="301">
        <f t="shared" si="2"/>
        <v>0.44153750000000003</v>
      </c>
      <c r="L36" s="357"/>
      <c r="M36" s="440"/>
    </row>
    <row r="37" spans="1:13" ht="51" customHeight="1" x14ac:dyDescent="0.2">
      <c r="A37" s="529"/>
      <c r="B37" s="529"/>
      <c r="C37" s="80" t="s">
        <v>171</v>
      </c>
      <c r="D37" s="522"/>
      <c r="E37" s="287" t="s">
        <v>298</v>
      </c>
      <c r="F37" s="307">
        <v>7000</v>
      </c>
      <c r="G37" s="307">
        <v>7000</v>
      </c>
      <c r="H37" s="307">
        <v>2874</v>
      </c>
      <c r="I37" s="307">
        <v>2874</v>
      </c>
      <c r="J37" s="301">
        <f t="shared" si="1"/>
        <v>0.41057142857142859</v>
      </c>
      <c r="K37" s="301">
        <f t="shared" si="2"/>
        <v>0.41057142857142859</v>
      </c>
      <c r="L37" s="357"/>
      <c r="M37" s="440"/>
    </row>
    <row r="38" spans="1:13" ht="51" customHeight="1" x14ac:dyDescent="0.2">
      <c r="A38" s="529"/>
      <c r="B38" s="526" t="s">
        <v>299</v>
      </c>
      <c r="C38" s="80" t="s">
        <v>76</v>
      </c>
      <c r="D38" s="522" t="s">
        <v>300</v>
      </c>
      <c r="E38" s="288" t="s">
        <v>301</v>
      </c>
      <c r="F38" s="307">
        <v>20000</v>
      </c>
      <c r="G38" s="307">
        <f>20000+5000</f>
        <v>25000</v>
      </c>
      <c r="H38" s="307"/>
      <c r="I38" s="307"/>
      <c r="J38" s="301">
        <f t="shared" si="1"/>
        <v>0</v>
      </c>
      <c r="K38" s="301">
        <f t="shared" si="2"/>
        <v>0</v>
      </c>
      <c r="L38" s="357"/>
      <c r="M38" s="440"/>
    </row>
    <row r="39" spans="1:13" ht="51" customHeight="1" x14ac:dyDescent="0.2">
      <c r="A39" s="529"/>
      <c r="B39" s="526"/>
      <c r="C39" s="80" t="s">
        <v>76</v>
      </c>
      <c r="D39" s="522"/>
      <c r="E39" s="288" t="s">
        <v>302</v>
      </c>
      <c r="F39" s="307">
        <v>0</v>
      </c>
      <c r="G39" s="307">
        <f>5673-4066</f>
        <v>1607</v>
      </c>
      <c r="H39" s="307">
        <v>1607</v>
      </c>
      <c r="I39" s="307">
        <v>1607</v>
      </c>
      <c r="J39" s="301">
        <v>0</v>
      </c>
      <c r="K39" s="301">
        <f t="shared" si="2"/>
        <v>1</v>
      </c>
      <c r="L39" s="357"/>
      <c r="M39" s="440"/>
    </row>
    <row r="40" spans="1:13" ht="38.25" customHeight="1" x14ac:dyDescent="0.2">
      <c r="A40" s="529"/>
      <c r="B40" s="526"/>
      <c r="C40" s="80" t="s">
        <v>76</v>
      </c>
      <c r="D40" s="522"/>
      <c r="E40" s="288" t="s">
        <v>303</v>
      </c>
      <c r="F40" s="307">
        <v>8000</v>
      </c>
      <c r="G40" s="307">
        <v>0</v>
      </c>
      <c r="H40" s="307"/>
      <c r="I40" s="307"/>
      <c r="J40" s="301">
        <f t="shared" ref="J40:J51" si="3">+I40/F40</f>
        <v>0</v>
      </c>
      <c r="K40" s="301">
        <v>0</v>
      </c>
      <c r="L40" s="357"/>
      <c r="M40" s="440"/>
    </row>
    <row r="41" spans="1:13" ht="25.5" customHeight="1" x14ac:dyDescent="0.2">
      <c r="A41" s="529"/>
      <c r="B41" s="526"/>
      <c r="C41" s="80" t="s">
        <v>76</v>
      </c>
      <c r="D41" s="522"/>
      <c r="E41" s="289" t="s">
        <v>304</v>
      </c>
      <c r="F41" s="307">
        <v>40000</v>
      </c>
      <c r="G41" s="307">
        <v>40000</v>
      </c>
      <c r="H41" s="307"/>
      <c r="I41" s="307"/>
      <c r="J41" s="301">
        <f t="shared" si="3"/>
        <v>0</v>
      </c>
      <c r="K41" s="301">
        <f t="shared" si="2"/>
        <v>0</v>
      </c>
      <c r="L41" s="357"/>
      <c r="M41" s="440"/>
    </row>
    <row r="42" spans="1:13" ht="114.75" customHeight="1" x14ac:dyDescent="0.2">
      <c r="A42" s="529" t="s">
        <v>305</v>
      </c>
      <c r="B42" s="85" t="s">
        <v>308</v>
      </c>
      <c r="C42" s="89" t="s">
        <v>76</v>
      </c>
      <c r="D42" s="522" t="s">
        <v>309</v>
      </c>
      <c r="E42" s="287" t="s">
        <v>310</v>
      </c>
      <c r="F42" s="307">
        <v>10000</v>
      </c>
      <c r="G42" s="307">
        <v>10000</v>
      </c>
      <c r="H42" s="307">
        <v>10000</v>
      </c>
      <c r="I42" s="307">
        <v>10000</v>
      </c>
      <c r="J42" s="301">
        <f t="shared" si="3"/>
        <v>1</v>
      </c>
      <c r="K42" s="301">
        <v>0</v>
      </c>
      <c r="L42" s="357" t="s">
        <v>195</v>
      </c>
      <c r="M42" s="440"/>
    </row>
    <row r="43" spans="1:13" ht="90.75" customHeight="1" x14ac:dyDescent="0.2">
      <c r="A43" s="529"/>
      <c r="B43" s="529" t="s">
        <v>311</v>
      </c>
      <c r="C43" s="80" t="s">
        <v>76</v>
      </c>
      <c r="D43" s="522"/>
      <c r="E43" s="289" t="s">
        <v>312</v>
      </c>
      <c r="F43" s="307">
        <v>20000</v>
      </c>
      <c r="G43" s="307">
        <f>20000+2523</f>
        <v>22523</v>
      </c>
      <c r="H43" s="307">
        <v>1500</v>
      </c>
      <c r="I43" s="307">
        <v>1500</v>
      </c>
      <c r="J43" s="301">
        <f t="shared" si="3"/>
        <v>7.4999999999999997E-2</v>
      </c>
      <c r="K43" s="301">
        <f t="shared" si="2"/>
        <v>6.6598588109932064E-2</v>
      </c>
      <c r="L43" s="357"/>
      <c r="M43" s="440"/>
    </row>
    <row r="44" spans="1:13" ht="25.5" customHeight="1" x14ac:dyDescent="0.2">
      <c r="A44" s="529"/>
      <c r="B44" s="529"/>
      <c r="C44" s="90" t="s">
        <v>179</v>
      </c>
      <c r="D44" s="522"/>
      <c r="E44" s="289" t="s">
        <v>313</v>
      </c>
      <c r="F44" s="307">
        <v>50000</v>
      </c>
      <c r="G44" s="307">
        <v>50000</v>
      </c>
      <c r="H44" s="307"/>
      <c r="I44" s="307"/>
      <c r="J44" s="301">
        <f t="shared" si="3"/>
        <v>0</v>
      </c>
      <c r="K44" s="301">
        <f t="shared" si="2"/>
        <v>0</v>
      </c>
      <c r="L44" s="357"/>
      <c r="M44" s="440"/>
    </row>
    <row r="45" spans="1:13" ht="76.5" customHeight="1" x14ac:dyDescent="0.2">
      <c r="A45" s="529"/>
      <c r="B45" s="91" t="s">
        <v>314</v>
      </c>
      <c r="C45" s="80" t="s">
        <v>76</v>
      </c>
      <c r="D45" s="522"/>
      <c r="E45" s="287" t="s">
        <v>315</v>
      </c>
      <c r="F45" s="307">
        <v>10000</v>
      </c>
      <c r="G45" s="307">
        <v>10000</v>
      </c>
      <c r="H45" s="307"/>
      <c r="I45" s="307"/>
      <c r="J45" s="301">
        <f t="shared" si="3"/>
        <v>0</v>
      </c>
      <c r="K45" s="301">
        <f t="shared" si="2"/>
        <v>0</v>
      </c>
      <c r="L45" s="357"/>
      <c r="M45" s="440"/>
    </row>
    <row r="46" spans="1:13" ht="76.5" customHeight="1" x14ac:dyDescent="0.2">
      <c r="A46" s="548" t="s">
        <v>316</v>
      </c>
      <c r="B46" s="92" t="s">
        <v>317</v>
      </c>
      <c r="C46" s="80" t="s">
        <v>179</v>
      </c>
      <c r="D46" s="80" t="s">
        <v>318</v>
      </c>
      <c r="E46" s="288" t="s">
        <v>319</v>
      </c>
      <c r="F46" s="307">
        <v>12000</v>
      </c>
      <c r="G46" s="307">
        <f>12000+5260</f>
        <v>17260</v>
      </c>
      <c r="H46" s="307">
        <f>12042+5218</f>
        <v>17260</v>
      </c>
      <c r="I46" s="307">
        <f>15337+1923</f>
        <v>17260</v>
      </c>
      <c r="J46" s="301">
        <f t="shared" si="3"/>
        <v>1.4383333333333332</v>
      </c>
      <c r="K46" s="301">
        <f t="shared" si="2"/>
        <v>1</v>
      </c>
      <c r="L46" s="357"/>
      <c r="M46" s="440"/>
    </row>
    <row r="47" spans="1:13" ht="38.25" customHeight="1" x14ac:dyDescent="0.2">
      <c r="A47" s="548"/>
      <c r="B47" s="523" t="s">
        <v>320</v>
      </c>
      <c r="C47" s="89" t="s">
        <v>179</v>
      </c>
      <c r="D47" s="522" t="s">
        <v>318</v>
      </c>
      <c r="E47" s="288" t="s">
        <v>321</v>
      </c>
      <c r="F47" s="307">
        <v>8000</v>
      </c>
      <c r="G47" s="307">
        <v>8000</v>
      </c>
      <c r="H47" s="307">
        <v>8000</v>
      </c>
      <c r="I47" s="307">
        <v>8000</v>
      </c>
      <c r="J47" s="301">
        <f t="shared" si="3"/>
        <v>1</v>
      </c>
      <c r="K47" s="301">
        <f t="shared" si="2"/>
        <v>1</v>
      </c>
      <c r="L47" s="582"/>
      <c r="M47" s="440"/>
    </row>
    <row r="48" spans="1:13" ht="51" customHeight="1" x14ac:dyDescent="0.2">
      <c r="A48" s="548"/>
      <c r="B48" s="524"/>
      <c r="C48" s="89" t="s">
        <v>179</v>
      </c>
      <c r="D48" s="522"/>
      <c r="E48" s="287" t="s">
        <v>322</v>
      </c>
      <c r="F48" s="307">
        <v>5000</v>
      </c>
      <c r="G48" s="307">
        <v>5000</v>
      </c>
      <c r="H48" s="345">
        <v>5000</v>
      </c>
      <c r="I48" s="307">
        <v>5000</v>
      </c>
      <c r="J48" s="301">
        <f t="shared" si="3"/>
        <v>1</v>
      </c>
      <c r="K48" s="301">
        <f t="shared" si="2"/>
        <v>1</v>
      </c>
      <c r="L48" s="584"/>
      <c r="M48" s="440"/>
    </row>
    <row r="49" spans="1:17" ht="89.25" customHeight="1" x14ac:dyDescent="0.2">
      <c r="A49" s="548"/>
      <c r="B49" s="525"/>
      <c r="C49" s="80" t="s">
        <v>179</v>
      </c>
      <c r="D49" s="80" t="s">
        <v>318</v>
      </c>
      <c r="E49" s="287" t="s">
        <v>323</v>
      </c>
      <c r="F49" s="307">
        <v>12000</v>
      </c>
      <c r="G49" s="307">
        <f>12000-3678</f>
        <v>8322</v>
      </c>
      <c r="H49" s="345">
        <v>8322</v>
      </c>
      <c r="I49" s="307">
        <f>2045+6277</f>
        <v>8322</v>
      </c>
      <c r="J49" s="301">
        <f t="shared" si="3"/>
        <v>0.69350000000000001</v>
      </c>
      <c r="K49" s="301">
        <f t="shared" si="2"/>
        <v>1</v>
      </c>
      <c r="L49" s="585"/>
      <c r="M49" s="440"/>
    </row>
    <row r="50" spans="1:17" ht="76.5" customHeight="1" x14ac:dyDescent="0.2">
      <c r="A50" s="529" t="s">
        <v>324</v>
      </c>
      <c r="B50" s="93" t="s">
        <v>325</v>
      </c>
      <c r="C50" s="80" t="s">
        <v>179</v>
      </c>
      <c r="D50" s="586" t="s">
        <v>326</v>
      </c>
      <c r="E50" s="288" t="s">
        <v>327</v>
      </c>
      <c r="F50" s="307">
        <v>30000</v>
      </c>
      <c r="G50" s="307">
        <v>30000</v>
      </c>
      <c r="H50" s="307">
        <v>30382</v>
      </c>
      <c r="I50" s="374">
        <f>14043+4457</f>
        <v>18500</v>
      </c>
      <c r="J50" s="301">
        <f t="shared" si="3"/>
        <v>0.6166666666666667</v>
      </c>
      <c r="K50" s="301">
        <f t="shared" si="2"/>
        <v>0.6166666666666667</v>
      </c>
      <c r="L50" s="357" t="s">
        <v>105</v>
      </c>
      <c r="M50" s="440"/>
    </row>
    <row r="51" spans="1:17" ht="72.75" customHeight="1" x14ac:dyDescent="0.2">
      <c r="A51" s="532"/>
      <c r="B51" s="309" t="s">
        <v>328</v>
      </c>
      <c r="C51" s="80" t="s">
        <v>179</v>
      </c>
      <c r="D51" s="587"/>
      <c r="E51" s="310" t="s">
        <v>329</v>
      </c>
      <c r="F51" s="311">
        <v>72000</v>
      </c>
      <c r="G51" s="311">
        <f>72000-57674</f>
        <v>14326</v>
      </c>
      <c r="H51" s="368">
        <v>14326</v>
      </c>
      <c r="I51" s="311">
        <f>5638.23+6571</f>
        <v>12209.23</v>
      </c>
      <c r="J51" s="328">
        <f t="shared" si="3"/>
        <v>0.16957263888888888</v>
      </c>
      <c r="K51" s="301">
        <f t="shared" si="2"/>
        <v>0.85224277537344684</v>
      </c>
      <c r="L51" s="357"/>
      <c r="O51" s="440">
        <f>+M51-N51</f>
        <v>0</v>
      </c>
      <c r="P51" s="440">
        <f>+F51-H51</f>
        <v>57674</v>
      </c>
    </row>
    <row r="52" spans="1:17" ht="23.25" customHeight="1" x14ac:dyDescent="0.2">
      <c r="A52" s="391" t="s">
        <v>330</v>
      </c>
      <c r="B52" s="392"/>
      <c r="C52" s="392"/>
      <c r="D52" s="392"/>
      <c r="E52" s="392"/>
      <c r="F52" s="392"/>
      <c r="G52" s="392"/>
      <c r="H52" s="392"/>
      <c r="I52" s="392"/>
      <c r="J52" s="393"/>
      <c r="K52" s="393"/>
      <c r="L52" s="358"/>
    </row>
    <row r="53" spans="1:17" ht="175.5" customHeight="1" x14ac:dyDescent="0.2">
      <c r="A53" s="575" t="s">
        <v>331</v>
      </c>
      <c r="B53" s="312" t="s">
        <v>332</v>
      </c>
      <c r="C53" s="334" t="s">
        <v>85</v>
      </c>
      <c r="D53" s="334" t="s">
        <v>318</v>
      </c>
      <c r="E53" s="313" t="s">
        <v>333</v>
      </c>
      <c r="F53" s="314">
        <v>70000</v>
      </c>
      <c r="G53" s="314">
        <v>70000</v>
      </c>
      <c r="H53" s="314">
        <v>70000</v>
      </c>
      <c r="I53" s="314">
        <v>70000</v>
      </c>
      <c r="J53" s="329">
        <f t="shared" ref="J53:J74" si="4">+I53/F53</f>
        <v>1</v>
      </c>
      <c r="K53" s="301">
        <f t="shared" si="2"/>
        <v>1</v>
      </c>
      <c r="L53" s="582" t="s">
        <v>356</v>
      </c>
      <c r="M53" s="440"/>
    </row>
    <row r="54" spans="1:17" ht="100.5" customHeight="1" x14ac:dyDescent="0.2">
      <c r="A54" s="575"/>
      <c r="B54" s="95" t="s">
        <v>334</v>
      </c>
      <c r="C54" s="78" t="s">
        <v>85</v>
      </c>
      <c r="D54" s="78" t="s">
        <v>318</v>
      </c>
      <c r="E54" s="288" t="s">
        <v>335</v>
      </c>
      <c r="F54" s="374">
        <v>64000</v>
      </c>
      <c r="G54" s="374">
        <v>64000</v>
      </c>
      <c r="H54" s="374">
        <v>64000</v>
      </c>
      <c r="I54" s="374">
        <v>61430</v>
      </c>
      <c r="J54" s="301">
        <f t="shared" si="4"/>
        <v>0.95984375</v>
      </c>
      <c r="K54" s="301">
        <f t="shared" si="2"/>
        <v>0.95984375</v>
      </c>
      <c r="L54" s="583"/>
      <c r="M54" s="440"/>
    </row>
    <row r="55" spans="1:17" ht="102" customHeight="1" x14ac:dyDescent="0.2">
      <c r="A55" s="575"/>
      <c r="B55" s="87" t="s">
        <v>336</v>
      </c>
      <c r="C55" s="89" t="s">
        <v>85</v>
      </c>
      <c r="D55" s="334" t="s">
        <v>318</v>
      </c>
      <c r="E55" s="288" t="s">
        <v>337</v>
      </c>
      <c r="F55" s="307">
        <v>259200</v>
      </c>
      <c r="G55" s="307">
        <v>259200</v>
      </c>
      <c r="H55" s="374">
        <v>84625</v>
      </c>
      <c r="I55" s="374">
        <f>2000+2805+2679</f>
        <v>7484</v>
      </c>
      <c r="J55" s="301">
        <f t="shared" si="4"/>
        <v>2.8873456790123458E-2</v>
      </c>
      <c r="K55" s="301">
        <f t="shared" si="2"/>
        <v>2.8873456790123458E-2</v>
      </c>
      <c r="L55" s="364"/>
      <c r="M55" s="440"/>
    </row>
    <row r="56" spans="1:17" ht="25.5" x14ac:dyDescent="0.2">
      <c r="A56" s="575"/>
      <c r="B56" s="532" t="s">
        <v>338</v>
      </c>
      <c r="C56" s="96" t="s">
        <v>199</v>
      </c>
      <c r="D56" s="78" t="s">
        <v>216</v>
      </c>
      <c r="E56" s="288" t="s">
        <v>339</v>
      </c>
      <c r="F56" s="307">
        <v>80000</v>
      </c>
      <c r="G56" s="307">
        <v>132476</v>
      </c>
      <c r="H56" s="307">
        <v>58153</v>
      </c>
      <c r="I56" s="307">
        <v>49167</v>
      </c>
      <c r="J56" s="301">
        <f t="shared" si="4"/>
        <v>0.61458749999999995</v>
      </c>
      <c r="K56" s="301">
        <f t="shared" si="2"/>
        <v>0.37113892327666897</v>
      </c>
      <c r="L56" s="357"/>
      <c r="M56" s="440"/>
    </row>
    <row r="57" spans="1:17" ht="38.25" customHeight="1" x14ac:dyDescent="0.2">
      <c r="A57" s="575"/>
      <c r="B57" s="533"/>
      <c r="C57" s="96" t="s">
        <v>171</v>
      </c>
      <c r="D57" s="78" t="s">
        <v>340</v>
      </c>
      <c r="E57" s="288" t="s">
        <v>341</v>
      </c>
      <c r="F57" s="307">
        <v>40000</v>
      </c>
      <c r="G57" s="307">
        <v>20000</v>
      </c>
      <c r="H57" s="307">
        <v>20000</v>
      </c>
      <c r="I57" s="374">
        <v>14000</v>
      </c>
      <c r="J57" s="301">
        <f t="shared" si="4"/>
        <v>0.35</v>
      </c>
      <c r="K57" s="301">
        <f t="shared" si="2"/>
        <v>0.7</v>
      </c>
      <c r="L57" s="357"/>
      <c r="M57" s="440"/>
    </row>
    <row r="58" spans="1:17" ht="51" customHeight="1" x14ac:dyDescent="0.2">
      <c r="A58" s="575"/>
      <c r="B58" s="533"/>
      <c r="C58" s="96" t="s">
        <v>179</v>
      </c>
      <c r="D58" s="78" t="s">
        <v>101</v>
      </c>
      <c r="E58" s="288" t="s">
        <v>342</v>
      </c>
      <c r="F58" s="307">
        <v>60000</v>
      </c>
      <c r="G58" s="307">
        <v>60000</v>
      </c>
      <c r="H58" s="345">
        <v>31412</v>
      </c>
      <c r="I58" s="307">
        <f>9085+761.64+17085</f>
        <v>26931.64</v>
      </c>
      <c r="J58" s="301">
        <f t="shared" si="4"/>
        <v>0.44886066666666663</v>
      </c>
      <c r="K58" s="301">
        <f t="shared" si="2"/>
        <v>0.44886066666666663</v>
      </c>
      <c r="L58" s="357"/>
      <c r="M58" s="440"/>
    </row>
    <row r="59" spans="1:17" ht="43.5" customHeight="1" x14ac:dyDescent="0.2">
      <c r="A59" s="575"/>
      <c r="B59" s="533"/>
      <c r="C59" s="96" t="s">
        <v>67</v>
      </c>
      <c r="D59" s="78" t="s">
        <v>288</v>
      </c>
      <c r="E59" s="288" t="s">
        <v>343</v>
      </c>
      <c r="F59" s="307">
        <v>120000</v>
      </c>
      <c r="G59" s="307">
        <v>120000</v>
      </c>
      <c r="H59" s="307">
        <v>69056</v>
      </c>
      <c r="I59" s="374">
        <v>67915</v>
      </c>
      <c r="J59" s="301">
        <f t="shared" si="4"/>
        <v>0.56595833333333334</v>
      </c>
      <c r="K59" s="301">
        <f t="shared" si="2"/>
        <v>0.56595833333333334</v>
      </c>
      <c r="L59" s="357"/>
      <c r="M59" s="440"/>
    </row>
    <row r="60" spans="1:17" ht="51" customHeight="1" x14ac:dyDescent="0.2">
      <c r="A60" s="575"/>
      <c r="B60" s="533"/>
      <c r="C60" s="96" t="s">
        <v>179</v>
      </c>
      <c r="D60" s="78" t="s">
        <v>288</v>
      </c>
      <c r="E60" s="288" t="s">
        <v>344</v>
      </c>
      <c r="F60" s="307">
        <v>40000</v>
      </c>
      <c r="G60" s="307">
        <v>40000</v>
      </c>
      <c r="H60" s="345">
        <f>6703+9297</f>
        <v>16000</v>
      </c>
      <c r="I60" s="374">
        <v>5462</v>
      </c>
      <c r="J60" s="301">
        <f t="shared" si="4"/>
        <v>0.13655</v>
      </c>
      <c r="K60" s="301">
        <f t="shared" si="2"/>
        <v>0.13655</v>
      </c>
      <c r="L60" s="357"/>
      <c r="M60" s="440"/>
    </row>
    <row r="61" spans="1:17" ht="51" customHeight="1" x14ac:dyDescent="0.2">
      <c r="A61" s="575"/>
      <c r="B61" s="533"/>
      <c r="C61" s="96" t="s">
        <v>67</v>
      </c>
      <c r="D61" s="78" t="s">
        <v>101</v>
      </c>
      <c r="E61" s="288" t="s">
        <v>345</v>
      </c>
      <c r="F61" s="307">
        <v>60000</v>
      </c>
      <c r="G61" s="307">
        <v>60000</v>
      </c>
      <c r="H61" s="345">
        <v>22656</v>
      </c>
      <c r="I61" s="374">
        <v>22656</v>
      </c>
      <c r="J61" s="301">
        <f t="shared" si="4"/>
        <v>0.37759999999999999</v>
      </c>
      <c r="K61" s="301">
        <f t="shared" si="2"/>
        <v>0.37759999999999999</v>
      </c>
      <c r="L61" s="357"/>
      <c r="M61" s="440"/>
    </row>
    <row r="62" spans="1:17" ht="25.5" customHeight="1" x14ac:dyDescent="0.2">
      <c r="A62" s="575"/>
      <c r="B62" s="534"/>
      <c r="C62" s="97" t="s">
        <v>76</v>
      </c>
      <c r="D62" s="98" t="s">
        <v>273</v>
      </c>
      <c r="E62" s="288" t="s">
        <v>346</v>
      </c>
      <c r="F62" s="307">
        <v>40000</v>
      </c>
      <c r="G62" s="307">
        <v>40000</v>
      </c>
      <c r="H62" s="307">
        <v>6320</v>
      </c>
      <c r="I62" s="307"/>
      <c r="J62" s="301">
        <f t="shared" si="4"/>
        <v>0</v>
      </c>
      <c r="K62" s="301">
        <f t="shared" si="2"/>
        <v>0</v>
      </c>
      <c r="L62" s="357"/>
      <c r="M62" s="440"/>
    </row>
    <row r="63" spans="1:17" s="363" customFormat="1" ht="63.75" customHeight="1" x14ac:dyDescent="0.2">
      <c r="A63" s="575"/>
      <c r="B63" s="87" t="s">
        <v>0</v>
      </c>
      <c r="C63" s="89" t="s">
        <v>85</v>
      </c>
      <c r="D63" s="89" t="s">
        <v>288</v>
      </c>
      <c r="E63" s="288" t="s">
        <v>1</v>
      </c>
      <c r="F63" s="307">
        <v>16000</v>
      </c>
      <c r="G63" s="307">
        <v>16000</v>
      </c>
      <c r="H63" s="307"/>
      <c r="I63" s="307"/>
      <c r="J63" s="301">
        <f t="shared" si="4"/>
        <v>0</v>
      </c>
      <c r="K63" s="301">
        <f t="shared" si="2"/>
        <v>0</v>
      </c>
      <c r="L63" s="357"/>
      <c r="M63" s="440"/>
      <c r="N63" s="386"/>
      <c r="O63" s="386"/>
      <c r="P63" s="386"/>
      <c r="Q63" s="386"/>
    </row>
    <row r="64" spans="1:17" ht="102" customHeight="1" x14ac:dyDescent="0.2">
      <c r="A64" s="575"/>
      <c r="B64" s="99" t="s">
        <v>2</v>
      </c>
      <c r="C64" s="273" t="s">
        <v>67</v>
      </c>
      <c r="D64" s="589" t="s">
        <v>280</v>
      </c>
      <c r="E64" s="290" t="s">
        <v>3</v>
      </c>
      <c r="F64" s="307">
        <v>32000</v>
      </c>
      <c r="G64" s="307">
        <v>32000</v>
      </c>
      <c r="H64" s="307">
        <v>0</v>
      </c>
      <c r="I64" s="307">
        <v>0</v>
      </c>
      <c r="J64" s="301">
        <f t="shared" si="4"/>
        <v>0</v>
      </c>
      <c r="K64" s="301">
        <f t="shared" si="2"/>
        <v>0</v>
      </c>
      <c r="L64" s="357"/>
      <c r="M64" s="440"/>
    </row>
    <row r="65" spans="1:13" ht="102" customHeight="1" x14ac:dyDescent="0.2">
      <c r="A65" s="575"/>
      <c r="B65" s="102" t="s">
        <v>4</v>
      </c>
      <c r="C65" s="117" t="s">
        <v>67</v>
      </c>
      <c r="D65" s="591"/>
      <c r="E65" s="287" t="s">
        <v>5</v>
      </c>
      <c r="F65" s="307">
        <v>40000</v>
      </c>
      <c r="G65" s="307">
        <v>40000</v>
      </c>
      <c r="H65" s="307">
        <v>20902</v>
      </c>
      <c r="I65" s="307">
        <v>20902</v>
      </c>
      <c r="J65" s="301">
        <f t="shared" si="4"/>
        <v>0.52254999999999996</v>
      </c>
      <c r="K65" s="301">
        <f t="shared" si="2"/>
        <v>0.52254999999999996</v>
      </c>
      <c r="L65" s="357"/>
      <c r="M65" s="440"/>
    </row>
    <row r="66" spans="1:13" ht="54.75" customHeight="1" x14ac:dyDescent="0.2">
      <c r="A66" s="576"/>
      <c r="B66" s="105" t="s">
        <v>6</v>
      </c>
      <c r="C66" s="106" t="s">
        <v>67</v>
      </c>
      <c r="D66" s="106" t="s">
        <v>7</v>
      </c>
      <c r="E66" s="287" t="s">
        <v>8</v>
      </c>
      <c r="F66" s="345">
        <v>120000</v>
      </c>
      <c r="G66" s="345">
        <f>120000-3224-86076</f>
        <v>30700</v>
      </c>
      <c r="H66" s="345">
        <v>74240</v>
      </c>
      <c r="I66" s="374">
        <v>37915</v>
      </c>
      <c r="J66" s="301">
        <f t="shared" si="4"/>
        <v>0.31595833333333334</v>
      </c>
      <c r="K66" s="301">
        <f t="shared" si="2"/>
        <v>1.2350162866449512</v>
      </c>
      <c r="L66" s="357"/>
      <c r="M66" s="440"/>
    </row>
    <row r="67" spans="1:13" ht="39.75" customHeight="1" x14ac:dyDescent="0.2">
      <c r="A67" s="555" t="s">
        <v>9</v>
      </c>
      <c r="B67" s="554" t="s">
        <v>10</v>
      </c>
      <c r="C67" s="273" t="s">
        <v>171</v>
      </c>
      <c r="D67" s="589" t="s">
        <v>11</v>
      </c>
      <c r="E67" s="291" t="s">
        <v>12</v>
      </c>
      <c r="F67" s="307">
        <v>3498</v>
      </c>
      <c r="G67" s="307">
        <v>3009</v>
      </c>
      <c r="H67" s="307">
        <v>3009</v>
      </c>
      <c r="I67" s="307">
        <v>3009</v>
      </c>
      <c r="J67" s="301">
        <f t="shared" si="4"/>
        <v>0.86020583190394506</v>
      </c>
      <c r="K67" s="301">
        <f t="shared" si="2"/>
        <v>1</v>
      </c>
      <c r="L67" s="357" t="s">
        <v>307</v>
      </c>
      <c r="M67" s="440"/>
    </row>
    <row r="68" spans="1:13" ht="38.25" customHeight="1" x14ac:dyDescent="0.2">
      <c r="A68" s="556"/>
      <c r="B68" s="554"/>
      <c r="C68" s="273" t="s">
        <v>171</v>
      </c>
      <c r="D68" s="590"/>
      <c r="E68" s="292" t="s">
        <v>13</v>
      </c>
      <c r="F68" s="307">
        <v>5860</v>
      </c>
      <c r="G68" s="307">
        <v>3901</v>
      </c>
      <c r="H68" s="307">
        <v>3901</v>
      </c>
      <c r="I68" s="307">
        <v>3901</v>
      </c>
      <c r="J68" s="301">
        <f t="shared" si="4"/>
        <v>0.66569965870307168</v>
      </c>
      <c r="K68" s="301">
        <f t="shared" si="2"/>
        <v>1</v>
      </c>
      <c r="L68" s="357" t="s">
        <v>307</v>
      </c>
      <c r="M68" s="440"/>
    </row>
    <row r="69" spans="1:13" ht="38.25" customHeight="1" x14ac:dyDescent="0.2">
      <c r="A69" s="556"/>
      <c r="B69" s="554"/>
      <c r="C69" s="273" t="s">
        <v>171</v>
      </c>
      <c r="D69" s="590"/>
      <c r="E69" s="293" t="s">
        <v>14</v>
      </c>
      <c r="F69" s="307">
        <v>27440</v>
      </c>
      <c r="G69" s="307">
        <v>21571</v>
      </c>
      <c r="H69" s="307">
        <v>21571</v>
      </c>
      <c r="I69" s="307">
        <f>+H69</f>
        <v>21571</v>
      </c>
      <c r="J69" s="301">
        <f t="shared" si="4"/>
        <v>0.78611516034985418</v>
      </c>
      <c r="K69" s="301">
        <f t="shared" si="2"/>
        <v>1</v>
      </c>
      <c r="L69" s="357" t="s">
        <v>307</v>
      </c>
      <c r="M69" s="440"/>
    </row>
    <row r="70" spans="1:13" ht="63.75" customHeight="1" x14ac:dyDescent="0.2">
      <c r="A70" s="556"/>
      <c r="B70" s="554"/>
      <c r="C70" s="273" t="s">
        <v>171</v>
      </c>
      <c r="D70" s="590"/>
      <c r="E70" s="293" t="s">
        <v>60</v>
      </c>
      <c r="F70" s="307">
        <v>300000</v>
      </c>
      <c r="G70" s="307">
        <v>300000</v>
      </c>
      <c r="H70" s="307">
        <v>300000</v>
      </c>
      <c r="I70" s="307">
        <f>101182+40965</f>
        <v>142147</v>
      </c>
      <c r="J70" s="301">
        <f t="shared" si="4"/>
        <v>0.47382333333333332</v>
      </c>
      <c r="K70" s="301">
        <f t="shared" si="2"/>
        <v>0.47382333333333332</v>
      </c>
      <c r="L70" s="357" t="s">
        <v>307</v>
      </c>
      <c r="M70" s="440"/>
    </row>
    <row r="71" spans="1:13" ht="63.75" customHeight="1" x14ac:dyDescent="0.2">
      <c r="A71" s="556"/>
      <c r="B71" s="579" t="s">
        <v>16</v>
      </c>
      <c r="C71" s="273" t="s">
        <v>179</v>
      </c>
      <c r="D71" s="589" t="s">
        <v>180</v>
      </c>
      <c r="E71" s="293" t="s">
        <v>17</v>
      </c>
      <c r="F71" s="345">
        <v>6000</v>
      </c>
      <c r="G71" s="345">
        <f>6000-5260-740</f>
        <v>0</v>
      </c>
      <c r="H71" s="345">
        <v>0</v>
      </c>
      <c r="I71" s="345">
        <v>0</v>
      </c>
      <c r="J71" s="301">
        <f t="shared" si="4"/>
        <v>0</v>
      </c>
      <c r="K71" s="301">
        <v>0</v>
      </c>
      <c r="L71" s="357" t="s">
        <v>307</v>
      </c>
      <c r="M71" s="440"/>
    </row>
    <row r="72" spans="1:13" ht="64.5" customHeight="1" x14ac:dyDescent="0.2">
      <c r="A72" s="556"/>
      <c r="B72" s="580"/>
      <c r="C72" s="273" t="s">
        <v>179</v>
      </c>
      <c r="D72" s="590"/>
      <c r="E72" s="294" t="s">
        <v>18</v>
      </c>
      <c r="F72" s="307">
        <v>24000</v>
      </c>
      <c r="G72" s="307">
        <f>24000-14470</f>
        <v>9530</v>
      </c>
      <c r="H72" s="345">
        <v>9530</v>
      </c>
      <c r="I72" s="345">
        <f>3815+5715</f>
        <v>9530</v>
      </c>
      <c r="J72" s="301">
        <f t="shared" si="4"/>
        <v>0.39708333333333334</v>
      </c>
      <c r="K72" s="301">
        <f t="shared" si="2"/>
        <v>1</v>
      </c>
      <c r="L72" s="357"/>
      <c r="M72" s="440"/>
    </row>
    <row r="73" spans="1:13" ht="51" customHeight="1" x14ac:dyDescent="0.2">
      <c r="A73" s="556"/>
      <c r="B73" s="580"/>
      <c r="C73" s="273" t="s">
        <v>171</v>
      </c>
      <c r="D73" s="590"/>
      <c r="E73" s="294" t="s">
        <v>19</v>
      </c>
      <c r="F73" s="307">
        <v>24000</v>
      </c>
      <c r="G73" s="307">
        <f>24000-2052-10006</f>
        <v>11942</v>
      </c>
      <c r="H73" s="345">
        <v>9948</v>
      </c>
      <c r="I73" s="345">
        <v>9948</v>
      </c>
      <c r="J73" s="301">
        <f t="shared" si="4"/>
        <v>0.41449999999999998</v>
      </c>
      <c r="K73" s="301">
        <f t="shared" si="2"/>
        <v>0.83302629375314019</v>
      </c>
      <c r="L73" s="357" t="s">
        <v>307</v>
      </c>
      <c r="M73" s="440"/>
    </row>
    <row r="74" spans="1:13" ht="38.25" customHeight="1" x14ac:dyDescent="0.2">
      <c r="A74" s="556"/>
      <c r="B74" s="580"/>
      <c r="C74" s="273" t="s">
        <v>171</v>
      </c>
      <c r="D74" s="590"/>
      <c r="E74" s="291" t="s">
        <v>59</v>
      </c>
      <c r="F74" s="307">
        <v>450000</v>
      </c>
      <c r="G74" s="307">
        <v>450000</v>
      </c>
      <c r="H74" s="374">
        <v>400000</v>
      </c>
      <c r="I74" s="374">
        <f>8560+28930</f>
        <v>37490</v>
      </c>
      <c r="J74" s="301">
        <f t="shared" si="4"/>
        <v>8.3311111111111114E-2</v>
      </c>
      <c r="K74" s="301">
        <f t="shared" si="2"/>
        <v>8.3311111111111114E-2</v>
      </c>
      <c r="L74" s="357"/>
      <c r="M74" s="440"/>
    </row>
    <row r="75" spans="1:13" ht="38.25" customHeight="1" x14ac:dyDescent="0.2">
      <c r="A75" s="556"/>
      <c r="B75" s="580"/>
      <c r="C75" s="273" t="s">
        <v>171</v>
      </c>
      <c r="D75" s="591"/>
      <c r="E75" s="291" t="s">
        <v>21</v>
      </c>
      <c r="F75" s="307">
        <v>0</v>
      </c>
      <c r="G75" s="307">
        <v>63000</v>
      </c>
      <c r="H75" s="307"/>
      <c r="I75" s="307">
        <v>0</v>
      </c>
      <c r="J75" s="301">
        <v>0</v>
      </c>
      <c r="K75" s="301">
        <v>0</v>
      </c>
      <c r="L75" s="357"/>
      <c r="M75" s="440"/>
    </row>
    <row r="76" spans="1:13" ht="38.25" customHeight="1" x14ac:dyDescent="0.2">
      <c r="A76" s="428"/>
      <c r="B76" s="426"/>
      <c r="C76" s="424" t="s">
        <v>171</v>
      </c>
      <c r="D76" s="429"/>
      <c r="E76" s="291" t="s">
        <v>355</v>
      </c>
      <c r="F76" s="307">
        <v>0</v>
      </c>
      <c r="G76" s="307">
        <v>150000</v>
      </c>
      <c r="H76" s="307"/>
      <c r="I76" s="307">
        <v>2483</v>
      </c>
      <c r="J76" s="301">
        <v>0</v>
      </c>
      <c r="K76" s="301">
        <f t="shared" si="2"/>
        <v>1.6553333333333333E-2</v>
      </c>
      <c r="L76" s="357"/>
      <c r="M76" s="440"/>
    </row>
    <row r="77" spans="1:13" ht="51" customHeight="1" x14ac:dyDescent="0.2">
      <c r="A77" s="573" t="s">
        <v>22</v>
      </c>
      <c r="B77" s="573" t="s">
        <v>23</v>
      </c>
      <c r="C77" s="89" t="s">
        <v>85</v>
      </c>
      <c r="D77" s="586" t="s">
        <v>24</v>
      </c>
      <c r="E77" s="287" t="s">
        <v>25</v>
      </c>
      <c r="F77" s="307">
        <v>25000</v>
      </c>
      <c r="G77" s="307">
        <v>2375</v>
      </c>
      <c r="H77" s="345">
        <v>2375</v>
      </c>
      <c r="I77" s="345">
        <v>2375</v>
      </c>
      <c r="J77" s="301">
        <f t="shared" ref="J77:J83" si="5">+I77/F77</f>
        <v>9.5000000000000001E-2</v>
      </c>
      <c r="K77" s="301">
        <f t="shared" si="2"/>
        <v>1</v>
      </c>
      <c r="L77" s="357"/>
      <c r="M77" s="440"/>
    </row>
    <row r="78" spans="1:13" ht="74.25" customHeight="1" x14ac:dyDescent="0.2">
      <c r="A78" s="573"/>
      <c r="B78" s="573"/>
      <c r="C78" s="89" t="s">
        <v>85</v>
      </c>
      <c r="D78" s="603"/>
      <c r="E78" s="287" t="s">
        <v>26</v>
      </c>
      <c r="F78" s="307">
        <v>15000</v>
      </c>
      <c r="G78" s="374">
        <f>15000-3000</f>
        <v>12000</v>
      </c>
      <c r="H78" s="307">
        <v>400</v>
      </c>
      <c r="I78" s="307">
        <v>400</v>
      </c>
      <c r="J78" s="301">
        <f t="shared" si="5"/>
        <v>2.6666666666666668E-2</v>
      </c>
      <c r="K78" s="301">
        <f t="shared" si="2"/>
        <v>3.3333333333333333E-2</v>
      </c>
      <c r="L78" s="367"/>
      <c r="M78" s="440"/>
    </row>
    <row r="79" spans="1:13" ht="51" customHeight="1" x14ac:dyDescent="0.2">
      <c r="A79" s="573"/>
      <c r="B79" s="116" t="s">
        <v>27</v>
      </c>
      <c r="C79" s="98" t="s">
        <v>85</v>
      </c>
      <c r="D79" s="603"/>
      <c r="E79" s="287" t="s">
        <v>28</v>
      </c>
      <c r="F79" s="307">
        <v>20000</v>
      </c>
      <c r="G79" s="307">
        <f>20000-16000-4000</f>
        <v>0</v>
      </c>
      <c r="H79" s="307"/>
      <c r="I79" s="307"/>
      <c r="J79" s="301">
        <f t="shared" si="5"/>
        <v>0</v>
      </c>
      <c r="K79" s="301">
        <v>0</v>
      </c>
      <c r="L79" s="357"/>
      <c r="M79" s="440"/>
    </row>
    <row r="80" spans="1:13" ht="51" customHeight="1" x14ac:dyDescent="0.2">
      <c r="A80" s="573"/>
      <c r="B80" s="116" t="s">
        <v>29</v>
      </c>
      <c r="C80" s="98" t="s">
        <v>85</v>
      </c>
      <c r="D80" s="603"/>
      <c r="E80" s="288" t="s">
        <v>30</v>
      </c>
      <c r="F80" s="307">
        <v>20000</v>
      </c>
      <c r="G80" s="307">
        <f>20000-17625-2375</f>
        <v>0</v>
      </c>
      <c r="H80" s="307"/>
      <c r="I80" s="307"/>
      <c r="J80" s="301">
        <f t="shared" si="5"/>
        <v>0</v>
      </c>
      <c r="K80" s="301">
        <v>0</v>
      </c>
      <c r="L80" s="357"/>
      <c r="M80" s="440"/>
    </row>
    <row r="81" spans="1:15" ht="76.5" customHeight="1" x14ac:dyDescent="0.2">
      <c r="A81" s="529" t="s">
        <v>31</v>
      </c>
      <c r="B81" s="99" t="s">
        <v>32</v>
      </c>
      <c r="C81" s="117" t="s">
        <v>179</v>
      </c>
      <c r="D81" s="108" t="s">
        <v>180</v>
      </c>
      <c r="E81" s="291" t="s">
        <v>33</v>
      </c>
      <c r="F81" s="307">
        <v>120000</v>
      </c>
      <c r="G81" s="307">
        <f>120000-22449-74388</f>
        <v>23163</v>
      </c>
      <c r="H81" s="345">
        <v>23113</v>
      </c>
      <c r="I81" s="374">
        <v>23113</v>
      </c>
      <c r="J81" s="301">
        <f t="shared" si="5"/>
        <v>0.19260833333333333</v>
      </c>
      <c r="K81" s="301">
        <f t="shared" si="2"/>
        <v>0.99784138496740493</v>
      </c>
      <c r="L81" s="357"/>
      <c r="M81" s="440"/>
    </row>
    <row r="82" spans="1:15" ht="63.75" customHeight="1" x14ac:dyDescent="0.2">
      <c r="A82" s="529"/>
      <c r="B82" s="99" t="s">
        <v>34</v>
      </c>
      <c r="C82" s="117" t="s">
        <v>179</v>
      </c>
      <c r="D82" s="589" t="s">
        <v>309</v>
      </c>
      <c r="E82" s="291" t="s">
        <v>35</v>
      </c>
      <c r="F82" s="307">
        <v>40000</v>
      </c>
      <c r="G82" s="307">
        <f>40000-882</f>
        <v>39118</v>
      </c>
      <c r="H82" s="345">
        <v>19118</v>
      </c>
      <c r="I82" s="307">
        <v>19118</v>
      </c>
      <c r="J82" s="301">
        <f t="shared" si="5"/>
        <v>0.47794999999999999</v>
      </c>
      <c r="K82" s="301">
        <f t="shared" si="2"/>
        <v>0.48872641750600748</v>
      </c>
      <c r="L82" s="357"/>
      <c r="M82" s="440"/>
    </row>
    <row r="83" spans="1:15" ht="94.5" customHeight="1" x14ac:dyDescent="0.2">
      <c r="A83" s="532"/>
      <c r="B83" s="300" t="s">
        <v>36</v>
      </c>
      <c r="C83" s="78" t="s">
        <v>67</v>
      </c>
      <c r="D83" s="604"/>
      <c r="E83" s="118" t="s">
        <v>37</v>
      </c>
      <c r="F83" s="307">
        <v>100000</v>
      </c>
      <c r="G83" s="307">
        <v>100000</v>
      </c>
      <c r="H83" s="307"/>
      <c r="I83" s="307"/>
      <c r="J83" s="301">
        <f t="shared" si="5"/>
        <v>0</v>
      </c>
      <c r="K83" s="301">
        <f t="shared" si="2"/>
        <v>0</v>
      </c>
      <c r="L83" s="357"/>
      <c r="O83" s="440">
        <f>+M83-N83</f>
        <v>0</v>
      </c>
    </row>
    <row r="84" spans="1:15" ht="17.25" customHeight="1" x14ac:dyDescent="0.2">
      <c r="A84" s="394" t="s">
        <v>38</v>
      </c>
      <c r="B84" s="395"/>
      <c r="C84" s="395"/>
      <c r="D84" s="395"/>
      <c r="E84" s="395"/>
      <c r="F84" s="395"/>
      <c r="G84" s="395"/>
      <c r="H84" s="395"/>
      <c r="I84" s="395"/>
      <c r="J84" s="396"/>
      <c r="K84" s="396"/>
      <c r="L84" s="358"/>
    </row>
    <row r="85" spans="1:15" ht="102" customHeight="1" x14ac:dyDescent="0.2">
      <c r="A85" s="533" t="s">
        <v>39</v>
      </c>
      <c r="B85" s="602" t="s">
        <v>40</v>
      </c>
      <c r="C85" s="106" t="s">
        <v>85</v>
      </c>
      <c r="D85" s="589" t="s">
        <v>41</v>
      </c>
      <c r="E85" s="313" t="s">
        <v>42</v>
      </c>
      <c r="F85" s="307">
        <v>20000</v>
      </c>
      <c r="G85" s="438">
        <v>0</v>
      </c>
      <c r="H85" s="315"/>
      <c r="I85" s="315"/>
      <c r="J85" s="329">
        <f>+I85/F85</f>
        <v>0</v>
      </c>
      <c r="K85" s="301">
        <v>0</v>
      </c>
      <c r="L85" s="357"/>
      <c r="M85" s="440"/>
    </row>
    <row r="86" spans="1:15" ht="89.25" customHeight="1" x14ac:dyDescent="0.2">
      <c r="A86" s="533"/>
      <c r="B86" s="552"/>
      <c r="C86" s="273" t="s">
        <v>85</v>
      </c>
      <c r="D86" s="591"/>
      <c r="E86" s="288" t="s">
        <v>43</v>
      </c>
      <c r="F86" s="307">
        <f>24000</f>
        <v>24000</v>
      </c>
      <c r="G86" s="330">
        <v>0</v>
      </c>
      <c r="H86" s="81"/>
      <c r="I86" s="81"/>
      <c r="J86" s="301">
        <f>+I86/F86</f>
        <v>0</v>
      </c>
      <c r="K86" s="301">
        <v>0</v>
      </c>
      <c r="L86" s="357"/>
      <c r="M86" s="440"/>
    </row>
    <row r="87" spans="1:15" ht="51" customHeight="1" x14ac:dyDescent="0.2">
      <c r="A87" s="534"/>
      <c r="B87" s="85" t="s">
        <v>44</v>
      </c>
      <c r="C87" s="369" t="s">
        <v>76</v>
      </c>
      <c r="D87" s="120" t="s">
        <v>288</v>
      </c>
      <c r="E87" s="288" t="s">
        <v>45</v>
      </c>
      <c r="F87" s="330">
        <v>82000</v>
      </c>
      <c r="G87" s="330">
        <v>82000</v>
      </c>
      <c r="H87" s="81"/>
      <c r="I87" s="81"/>
      <c r="J87" s="301">
        <f>+I87/F87</f>
        <v>0</v>
      </c>
      <c r="K87" s="301">
        <f t="shared" si="2"/>
        <v>0</v>
      </c>
      <c r="L87" s="357"/>
      <c r="M87" s="440"/>
      <c r="N87" s="386">
        <v>0</v>
      </c>
    </row>
    <row r="88" spans="1:15" ht="24.75" customHeight="1" x14ac:dyDescent="0.2">
      <c r="A88" s="427"/>
      <c r="B88" s="425"/>
      <c r="C88" s="369" t="s">
        <v>179</v>
      </c>
      <c r="D88" s="120"/>
      <c r="E88" s="598" t="s">
        <v>350</v>
      </c>
      <c r="F88" s="330">
        <v>0</v>
      </c>
      <c r="G88" s="330">
        <v>151832</v>
      </c>
      <c r="H88" s="330">
        <v>14722</v>
      </c>
      <c r="I88" s="330">
        <f>773+740</f>
        <v>1513</v>
      </c>
      <c r="J88" s="301">
        <v>0</v>
      </c>
      <c r="K88" s="301">
        <f t="shared" si="2"/>
        <v>9.9649612729859321E-3</v>
      </c>
      <c r="L88" s="357"/>
      <c r="M88" s="440"/>
    </row>
    <row r="89" spans="1:15" ht="23.25" customHeight="1" x14ac:dyDescent="0.2">
      <c r="A89" s="427"/>
      <c r="B89" s="425"/>
      <c r="C89" s="369" t="s">
        <v>67</v>
      </c>
      <c r="D89" s="120"/>
      <c r="E89" s="599"/>
      <c r="F89" s="330">
        <v>0</v>
      </c>
      <c r="G89" s="330">
        <v>86076</v>
      </c>
      <c r="H89" s="81"/>
      <c r="I89" s="81"/>
      <c r="J89" s="301">
        <v>0</v>
      </c>
      <c r="K89" s="301">
        <f t="shared" si="2"/>
        <v>0</v>
      </c>
      <c r="L89" s="357"/>
      <c r="M89" s="440"/>
    </row>
    <row r="90" spans="1:15" ht="25.5" customHeight="1" x14ac:dyDescent="0.2">
      <c r="A90" s="427"/>
      <c r="B90" s="425"/>
      <c r="C90" s="369" t="s">
        <v>76</v>
      </c>
      <c r="D90" s="120"/>
      <c r="E90" s="600"/>
      <c r="F90" s="330">
        <v>0</v>
      </c>
      <c r="G90" s="330">
        <v>19012</v>
      </c>
      <c r="H90" s="81"/>
      <c r="I90" s="81"/>
      <c r="J90" s="301">
        <v>0</v>
      </c>
      <c r="K90" s="301">
        <f t="shared" si="2"/>
        <v>0</v>
      </c>
      <c r="L90" s="357"/>
      <c r="M90" s="440"/>
    </row>
    <row r="91" spans="1:15" ht="16.5" customHeight="1" x14ac:dyDescent="0.2">
      <c r="A91" s="297"/>
      <c r="B91" s="297"/>
      <c r="C91" s="297"/>
      <c r="D91" s="298"/>
      <c r="E91" s="316" t="s">
        <v>221</v>
      </c>
      <c r="F91" s="338">
        <f>SUM(F23:F90)</f>
        <v>3251851</v>
      </c>
      <c r="G91" s="338">
        <f>SUM(G23:G90)</f>
        <v>3314851</v>
      </c>
      <c r="H91" s="430">
        <f>SUM(H23:H90)</f>
        <v>1910813</v>
      </c>
      <c r="I91" s="430">
        <f>SUM(I23:I90)</f>
        <v>1189005.8700000001</v>
      </c>
      <c r="J91" s="327">
        <f>+I91/F91</f>
        <v>0.36563971411974289</v>
      </c>
      <c r="K91" s="327">
        <f t="shared" si="2"/>
        <v>0.35869059272950732</v>
      </c>
      <c r="L91" s="359"/>
      <c r="M91" s="440"/>
    </row>
    <row r="92" spans="1:15" ht="16.5" customHeight="1" x14ac:dyDescent="0.25">
      <c r="A92" s="317"/>
      <c r="B92" s="317"/>
      <c r="C92" s="317"/>
      <c r="D92" s="318"/>
      <c r="E92" s="319"/>
      <c r="F92" s="320"/>
      <c r="G92" s="320"/>
      <c r="H92" s="339"/>
      <c r="I92" s="339"/>
      <c r="J92" s="321"/>
      <c r="K92" s="321"/>
      <c r="L92" s="321"/>
      <c r="M92" s="387"/>
      <c r="N92" s="387"/>
    </row>
    <row r="93" spans="1:15" ht="16.5" customHeight="1" x14ac:dyDescent="0.25">
      <c r="A93" s="317"/>
      <c r="B93" s="317"/>
      <c r="C93" s="317"/>
      <c r="D93" s="318"/>
      <c r="E93" s="319"/>
      <c r="F93" s="320"/>
      <c r="G93" s="320"/>
      <c r="H93" s="339"/>
      <c r="I93" s="339"/>
      <c r="J93" s="321"/>
      <c r="K93" s="321"/>
      <c r="L93" s="321"/>
      <c r="M93" s="387"/>
      <c r="N93" s="436"/>
    </row>
    <row r="94" spans="1:15" ht="16.5" customHeight="1" x14ac:dyDescent="0.25">
      <c r="A94" s="317"/>
      <c r="B94" s="317"/>
      <c r="C94" s="317"/>
      <c r="D94" s="318"/>
      <c r="E94" s="319"/>
      <c r="F94" s="320"/>
      <c r="G94" s="320"/>
      <c r="H94" s="339"/>
      <c r="I94" s="339"/>
      <c r="J94" s="321"/>
      <c r="K94" s="321"/>
      <c r="L94" s="321"/>
      <c r="M94" s="387"/>
      <c r="N94" s="387"/>
    </row>
    <row r="95" spans="1:15" ht="16.5" customHeight="1" x14ac:dyDescent="0.25">
      <c r="A95" s="317"/>
      <c r="B95" s="317"/>
      <c r="C95" s="317"/>
      <c r="D95" s="318"/>
      <c r="E95" s="319"/>
      <c r="F95" s="320"/>
      <c r="G95" s="320"/>
      <c r="H95" s="339"/>
      <c r="I95" s="339"/>
      <c r="J95" s="321"/>
      <c r="K95" s="321"/>
      <c r="L95" s="321"/>
      <c r="M95" s="436"/>
      <c r="N95" s="436"/>
    </row>
    <row r="96" spans="1:15" ht="33.75" customHeight="1" thickBot="1" x14ac:dyDescent="0.25">
      <c r="F96" s="342"/>
      <c r="G96" s="342"/>
      <c r="J96" s="340"/>
      <c r="K96" s="447"/>
      <c r="L96" s="447"/>
      <c r="M96" s="144"/>
      <c r="N96" s="144"/>
    </row>
    <row r="97" spans="1:17" ht="54.75" customHeight="1" thickBot="1" x14ac:dyDescent="0.25">
      <c r="A97" s="317"/>
      <c r="B97" s="317"/>
      <c r="C97" s="466"/>
      <c r="D97" s="319"/>
      <c r="E97" s="455" t="s">
        <v>357</v>
      </c>
      <c r="F97" s="456" t="s">
        <v>354</v>
      </c>
      <c r="G97" s="455" t="s">
        <v>306</v>
      </c>
      <c r="H97" s="457" t="s">
        <v>229</v>
      </c>
      <c r="I97" s="457" t="s">
        <v>230</v>
      </c>
      <c r="J97" s="457" t="s">
        <v>358</v>
      </c>
      <c r="K97" s="457" t="s">
        <v>189</v>
      </c>
      <c r="L97" s="458" t="s">
        <v>188</v>
      </c>
      <c r="M97" s="459"/>
      <c r="N97" s="450"/>
    </row>
    <row r="98" spans="1:17" s="144" customFormat="1" ht="25.5" customHeight="1" x14ac:dyDescent="0.2">
      <c r="C98" s="467" t="s">
        <v>199</v>
      </c>
      <c r="D98" s="460"/>
      <c r="E98" s="365">
        <f>(+F7+F11+F23+F24+F34+F36+F56)*1.07</f>
        <v>779634.10000000009</v>
      </c>
      <c r="F98" s="365">
        <f>(+G7+F11+G23+G24+G34+G36+G56)*1.07</f>
        <v>777452.37</v>
      </c>
      <c r="G98" s="416">
        <f>608256+91847</f>
        <v>700103</v>
      </c>
      <c r="H98" s="417">
        <f>(+H7+H11+H23+H24+H34+H36+H56)*1.07</f>
        <v>631658.45000000007</v>
      </c>
      <c r="I98" s="417">
        <f>(+I7+I11+I23+I24+I34+I36+I56)*1.07</f>
        <v>616413.09000000008</v>
      </c>
      <c r="J98" s="414">
        <f t="shared" ref="J98:J104" si="6">+I98/F98</f>
        <v>0.7928628347997706</v>
      </c>
      <c r="K98" s="370">
        <f t="shared" ref="K98:K104" si="7">+H98/G98</f>
        <v>0.90223645663566654</v>
      </c>
      <c r="L98" s="418">
        <f t="shared" ref="L98:L104" si="8">+I98/G98</f>
        <v>0.88046057508680875</v>
      </c>
      <c r="M98" s="459"/>
      <c r="O98" s="409"/>
      <c r="P98" s="386"/>
      <c r="Q98" s="386"/>
    </row>
    <row r="99" spans="1:17" s="375" customFormat="1" ht="25.5" customHeight="1" x14ac:dyDescent="0.2">
      <c r="C99" s="468" t="s">
        <v>85</v>
      </c>
      <c r="D99" s="461"/>
      <c r="E99" s="378">
        <v>625364</v>
      </c>
      <c r="F99" s="378">
        <f>(+G85+G86+G80+G79+G78+G77+G63+G55+G54+G53+G35+F12)*1.07</f>
        <v>511005.25000000006</v>
      </c>
      <c r="G99" s="378">
        <f>143380+151298</f>
        <v>294678</v>
      </c>
      <c r="H99" s="451">
        <f>(+H12+H35+H53+H54+H55+H63+H77+H78+H79+H80+H85+H86)*1.07</f>
        <v>294678</v>
      </c>
      <c r="I99" s="378">
        <f>(+I12+I35+I53+I54+I55+I63+I77+I78+I79+I80+I85+I86)*1.07</f>
        <v>171860.19</v>
      </c>
      <c r="J99" s="379">
        <f t="shared" si="6"/>
        <v>0.33631785583416213</v>
      </c>
      <c r="K99" s="380">
        <f t="shared" si="7"/>
        <v>1</v>
      </c>
      <c r="L99" s="381">
        <f t="shared" si="8"/>
        <v>0.58321350762527235</v>
      </c>
      <c r="M99" s="460"/>
      <c r="N99" s="144"/>
      <c r="O99" s="409"/>
      <c r="P99" s="386"/>
      <c r="Q99" s="386"/>
    </row>
    <row r="100" spans="1:17" s="144" customFormat="1" ht="25.5" customHeight="1" x14ac:dyDescent="0.2">
      <c r="C100" s="468" t="s">
        <v>179</v>
      </c>
      <c r="D100" s="460"/>
      <c r="E100" s="365">
        <f>(+F82+F81+F72+F71+F60+F58+F51+F50+F49+F48+F47+F46+F44+F31+F13)*1.07</f>
        <v>623810</v>
      </c>
      <c r="F100" s="365">
        <f>(+G82+G81+G88+G72+G71+G60+G58+G51+G50+G49+G48+G47+G46+G44+G31+F13)*1.07</f>
        <v>623810</v>
      </c>
      <c r="G100" s="365">
        <f>98975+317790</f>
        <v>416765</v>
      </c>
      <c r="H100" s="452">
        <f>(+H13+H31+H44+H46+H47+H48+H49+H50+H51+H58+H60+H71+H72+H81+H82+H88)*1.07</f>
        <v>332058.45</v>
      </c>
      <c r="I100" s="335">
        <f>(+I13+I31+I44+I46+I47+I48+I49+I50+I51+I58+I60+I71+I72+I81+I82+I88)*1.07</f>
        <v>265194.01089999999</v>
      </c>
      <c r="J100" s="366">
        <f t="shared" si="6"/>
        <v>0.42511984562607202</v>
      </c>
      <c r="K100" s="370">
        <f t="shared" si="7"/>
        <v>0.79675224646983311</v>
      </c>
      <c r="L100" s="371">
        <f t="shared" si="8"/>
        <v>0.63631545571245185</v>
      </c>
      <c r="M100" s="460"/>
      <c r="O100" s="409"/>
      <c r="P100" s="386"/>
      <c r="Q100" s="386"/>
    </row>
    <row r="101" spans="1:17" s="144" customFormat="1" ht="21" customHeight="1" x14ac:dyDescent="0.2">
      <c r="C101" s="468" t="s">
        <v>67</v>
      </c>
      <c r="D101" s="460"/>
      <c r="E101" s="378">
        <f>(+F83+F66+F65+F64+F61+F59+F30+F29+F27+F14)*1.07</f>
        <v>670890</v>
      </c>
      <c r="F101" s="378">
        <f>(G89+G83+G66+G65+G64+G61+G59+G30+G29+G27+F14)*1.07</f>
        <v>670890</v>
      </c>
      <c r="G101" s="378">
        <f>112350+257870</f>
        <v>370220</v>
      </c>
      <c r="H101" s="451">
        <f>(+H14+H27+H29+H30+H59+H61+H64+H65+H66+H83+H89)*1.07</f>
        <v>329809.31</v>
      </c>
      <c r="I101" s="378">
        <f>(+I14+I27+I29+I30+I59+I61+I64+I65+I66+I83+I89)*1.07</f>
        <v>276087.82</v>
      </c>
      <c r="J101" s="379">
        <f t="shared" si="6"/>
        <v>0.41152472089314196</v>
      </c>
      <c r="K101" s="380">
        <f t="shared" si="7"/>
        <v>0.8908468208092486</v>
      </c>
      <c r="L101" s="381">
        <f t="shared" si="8"/>
        <v>0.7457398843930636</v>
      </c>
      <c r="M101" s="460"/>
      <c r="O101" s="409"/>
      <c r="P101" s="386"/>
      <c r="Q101" s="386"/>
    </row>
    <row r="102" spans="1:17" s="144" customFormat="1" ht="21" customHeight="1" x14ac:dyDescent="0.2">
      <c r="C102" s="468" t="s">
        <v>171</v>
      </c>
      <c r="D102" s="460"/>
      <c r="E102" s="335">
        <f>(+F75+F74+F73+F70+F69+F68+F67+F57+F37+F15+F8+F17)*1.07</f>
        <v>1691081.5</v>
      </c>
      <c r="F102" s="335">
        <f>(G76+G75+G74+G73+G70+G69+G68+G67+G57+G37+G8+F15+F17)*1.07</f>
        <v>1810561.9800000002</v>
      </c>
      <c r="G102" s="335">
        <f>182293+1071729</f>
        <v>1254022</v>
      </c>
      <c r="H102" s="453">
        <f>(+H8+H15+H17+H37+H57+H67+H68+H69+H70+H73+H74+H75)*1.07</f>
        <v>1317420.3800000001</v>
      </c>
      <c r="I102" s="377">
        <f>(+I8+I15+I17+I37+I57+I67+I68+I69+I70+I73+I74+I75+I76)*1.07</f>
        <v>619360.94000000006</v>
      </c>
      <c r="J102" s="366">
        <f t="shared" si="6"/>
        <v>0.34208215285731342</v>
      </c>
      <c r="K102" s="370">
        <f t="shared" si="7"/>
        <v>1.050556034902099</v>
      </c>
      <c r="L102" s="371">
        <f t="shared" si="8"/>
        <v>0.49389958070911044</v>
      </c>
      <c r="M102" s="462"/>
      <c r="N102" s="435"/>
      <c r="O102" s="450"/>
      <c r="P102" s="386"/>
      <c r="Q102" s="386"/>
    </row>
    <row r="103" spans="1:17" s="144" customFormat="1" ht="21" customHeight="1" thickBot="1" x14ac:dyDescent="0.25">
      <c r="C103" s="469" t="s">
        <v>76</v>
      </c>
      <c r="D103" s="460"/>
      <c r="E103" s="382">
        <f>(+F87+F62+F45+F43+F42+F41+F40+F39+F38+F33+F32+F28+F26+F25+F16)*1.07</f>
        <v>609280.47000000009</v>
      </c>
      <c r="F103" s="382">
        <f>(G90+G87+G62+G45+G43+G42+G41+G40+G39+G38+G33+G32+G28+G26+G25+F16)*1.07</f>
        <v>609280.47000000009</v>
      </c>
      <c r="G103" s="382">
        <f>284413+151940</f>
        <v>436353</v>
      </c>
      <c r="H103" s="454">
        <f>(+H16+H25+H26+H28+H32+H33+H38+H39+H40+H41+H42+H43+H45+H62+H87+H90)*1.07</f>
        <v>293609.07</v>
      </c>
      <c r="I103" s="382">
        <f>(+I16+I25+I26+I28+I32+I33+I38+I39+I40+I41+I42+I43+I45+I62+I87+I90)*1.07</f>
        <v>270028.41000000003</v>
      </c>
      <c r="J103" s="383">
        <f t="shared" si="6"/>
        <v>0.44319229533157362</v>
      </c>
      <c r="K103" s="384">
        <f t="shared" si="7"/>
        <v>0.67287051996892422</v>
      </c>
      <c r="L103" s="385">
        <f t="shared" si="8"/>
        <v>0.61883019023588703</v>
      </c>
      <c r="M103" s="460"/>
      <c r="O103" s="409"/>
      <c r="P103" s="386"/>
      <c r="Q103" s="386"/>
    </row>
    <row r="104" spans="1:17" s="144" customFormat="1" ht="21" customHeight="1" thickBot="1" x14ac:dyDescent="0.25">
      <c r="C104" s="470" t="s">
        <v>191</v>
      </c>
      <c r="D104" s="473"/>
      <c r="E104" s="474">
        <f>+SUM(E98:E103)</f>
        <v>5000060.0699999994</v>
      </c>
      <c r="F104" s="474">
        <f>+SUM(F98:F103)</f>
        <v>5003000.07</v>
      </c>
      <c r="G104" s="474">
        <f>+SUM(G98:G103)</f>
        <v>3472141</v>
      </c>
      <c r="H104" s="474">
        <f>+SUM(H98:H103)</f>
        <v>3199233.66</v>
      </c>
      <c r="I104" s="474">
        <f>+SUM(I98:I103)</f>
        <v>2218944.4609000003</v>
      </c>
      <c r="J104" s="475">
        <f t="shared" si="6"/>
        <v>0.44352277230729686</v>
      </c>
      <c r="K104" s="471">
        <f t="shared" si="7"/>
        <v>0.9214008474886245</v>
      </c>
      <c r="L104" s="472">
        <f t="shared" si="8"/>
        <v>0.63907095388695345</v>
      </c>
      <c r="M104" s="459"/>
      <c r="O104" s="386"/>
      <c r="P104" s="386"/>
      <c r="Q104" s="386"/>
    </row>
    <row r="105" spans="1:17" x14ac:dyDescent="0.2">
      <c r="C105" s="460"/>
      <c r="D105" s="460"/>
      <c r="E105" s="460"/>
      <c r="F105" s="463"/>
      <c r="G105" s="463"/>
      <c r="H105" s="459"/>
      <c r="I105" s="459"/>
      <c r="J105" s="464"/>
      <c r="K105" s="464"/>
      <c r="L105" s="464"/>
      <c r="M105" s="465"/>
    </row>
    <row r="106" spans="1:17" x14ac:dyDescent="0.2">
      <c r="C106" s="460"/>
      <c r="D106" s="460"/>
      <c r="E106" s="459"/>
      <c r="F106" s="462"/>
      <c r="G106" s="462"/>
      <c r="H106" s="460"/>
      <c r="I106" s="460"/>
      <c r="J106" s="133"/>
      <c r="K106" s="133"/>
      <c r="L106" s="133"/>
      <c r="M106" s="465"/>
    </row>
    <row r="107" spans="1:17" x14ac:dyDescent="0.2">
      <c r="C107" s="460"/>
      <c r="D107" s="460"/>
      <c r="E107" s="460"/>
      <c r="F107" s="463"/>
      <c r="G107" s="463"/>
      <c r="H107" s="460"/>
      <c r="I107" s="460"/>
      <c r="J107" s="133"/>
      <c r="K107" s="133"/>
      <c r="L107" s="133"/>
      <c r="M107" s="465"/>
    </row>
    <row r="109" spans="1:17" x14ac:dyDescent="0.2">
      <c r="F109" s="419"/>
      <c r="G109" s="422"/>
      <c r="H109" s="420"/>
      <c r="I109" s="419"/>
    </row>
    <row r="110" spans="1:17" x14ac:dyDescent="0.2">
      <c r="F110" s="419"/>
      <c r="G110" s="415"/>
      <c r="H110" s="419"/>
      <c r="I110" s="419"/>
      <c r="K110" s="448"/>
    </row>
    <row r="111" spans="1:17" x14ac:dyDescent="0.2">
      <c r="F111" s="419"/>
      <c r="G111" s="422"/>
      <c r="H111" s="419"/>
      <c r="I111" s="421"/>
      <c r="K111" s="408"/>
    </row>
    <row r="112" spans="1:17" x14ac:dyDescent="0.2">
      <c r="F112" s="422"/>
      <c r="G112" s="422"/>
      <c r="H112" s="419"/>
      <c r="I112" s="421"/>
      <c r="K112" s="408"/>
    </row>
    <row r="113" spans="6:11" x14ac:dyDescent="0.2">
      <c r="F113" s="419"/>
      <c r="G113" s="437"/>
      <c r="H113" s="423"/>
      <c r="I113" s="419"/>
      <c r="K113" s="448"/>
    </row>
    <row r="114" spans="6:11" x14ac:dyDescent="0.2">
      <c r="F114" s="419"/>
      <c r="G114" s="422"/>
      <c r="H114" s="419"/>
      <c r="I114" s="419"/>
    </row>
    <row r="115" spans="6:11" x14ac:dyDescent="0.2">
      <c r="F115" s="419"/>
      <c r="G115" s="422"/>
      <c r="H115" s="419"/>
      <c r="I115" s="419"/>
    </row>
    <row r="116" spans="6:11" x14ac:dyDescent="0.2">
      <c r="F116" s="419"/>
      <c r="G116" s="422"/>
      <c r="H116" s="419"/>
      <c r="I116" s="419"/>
    </row>
    <row r="117" spans="6:11" x14ac:dyDescent="0.2">
      <c r="F117" s="419"/>
      <c r="G117" s="422"/>
      <c r="H117" s="419"/>
      <c r="I117" s="419"/>
    </row>
    <row r="118" spans="6:11" x14ac:dyDescent="0.2">
      <c r="F118" s="419"/>
      <c r="G118" s="422"/>
      <c r="H118" s="419"/>
      <c r="I118" s="419"/>
    </row>
    <row r="119" spans="6:11" x14ac:dyDescent="0.2">
      <c r="F119" s="419"/>
      <c r="G119" s="422"/>
      <c r="H119" s="419"/>
      <c r="I119" s="419"/>
    </row>
    <row r="120" spans="6:11" x14ac:dyDescent="0.2">
      <c r="F120" s="419"/>
      <c r="G120" s="422"/>
      <c r="H120" s="419"/>
      <c r="I120" s="419"/>
    </row>
  </sheetData>
  <mergeCells count="49">
    <mergeCell ref="E88:E90"/>
    <mergeCell ref="L20:L21"/>
    <mergeCell ref="A85:A87"/>
    <mergeCell ref="D64:D65"/>
    <mergeCell ref="B56:B62"/>
    <mergeCell ref="B85:B86"/>
    <mergeCell ref="D85:D86"/>
    <mergeCell ref="A81:A83"/>
    <mergeCell ref="D77:D80"/>
    <mergeCell ref="D67:D70"/>
    <mergeCell ref="B67:B70"/>
    <mergeCell ref="D82:D83"/>
    <mergeCell ref="A50:A51"/>
    <mergeCell ref="A53:A66"/>
    <mergeCell ref="A77:A80"/>
    <mergeCell ref="B77:B78"/>
    <mergeCell ref="B71:B75"/>
    <mergeCell ref="D38:D41"/>
    <mergeCell ref="A42:A45"/>
    <mergeCell ref="A46:A49"/>
    <mergeCell ref="B47:B49"/>
    <mergeCell ref="B43:B44"/>
    <mergeCell ref="B23:B24"/>
    <mergeCell ref="A67:A75"/>
    <mergeCell ref="D71:D75"/>
    <mergeCell ref="A5:A6"/>
    <mergeCell ref="B5:B6"/>
    <mergeCell ref="C5:C6"/>
    <mergeCell ref="C20:C21"/>
    <mergeCell ref="A7:A8"/>
    <mergeCell ref="A20:A21"/>
    <mergeCell ref="B7:B8"/>
    <mergeCell ref="B20:B21"/>
    <mergeCell ref="A23:A31"/>
    <mergeCell ref="B25:B26"/>
    <mergeCell ref="A32:A41"/>
    <mergeCell ref="B32:B37"/>
    <mergeCell ref="B38:B41"/>
    <mergeCell ref="F20:J20"/>
    <mergeCell ref="D25:D26"/>
    <mergeCell ref="D32:D37"/>
    <mergeCell ref="E20:E21"/>
    <mergeCell ref="D20:D21"/>
    <mergeCell ref="D23:D24"/>
    <mergeCell ref="L53:L54"/>
    <mergeCell ref="D42:D45"/>
    <mergeCell ref="D47:D48"/>
    <mergeCell ref="L47:L49"/>
    <mergeCell ref="D50:D51"/>
  </mergeCells>
  <phoneticPr fontId="0" type="noConversion"/>
  <pageMargins left="0.43307086614173229" right="0.19685039370078741" top="0.70866141732283472" bottom="0.59055118110236227" header="0.27559055118110237" footer="0.31496062992125984"/>
  <pageSetup paperSize="9" scale="90" orientation="landscape" r:id="rId1"/>
  <headerFooter>
    <oddHeader xml:space="preserve">&amp;L&amp;"Arial,Negrita Cursiva"Programa Conjunto Industrias Creativas una Herramienta
Innovadora para el Alivio de la Pobreza en el Peru&amp;C
</oddHeader>
    <oddFooter>&amp;L&amp;D&amp;C&amp;P</oddFooter>
  </headerFooter>
  <rowBreaks count="4" manualBreakCount="4">
    <brk id="37" max="16383" man="1"/>
    <brk id="46" max="16383" man="1"/>
    <brk id="51" max="16383" man="1"/>
    <brk id="81"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MR vigente a dic 2010</vt:lpstr>
      <vt:lpstr>MR reformulado</vt:lpstr>
      <vt:lpstr>SeguimientomMref 2012</vt:lpstr>
      <vt:lpstr>Hoja1</vt:lpstr>
      <vt:lpstr>'SeguimientomMref 2012'!Print_Titles</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acosta</dc:creator>
  <cp:lastModifiedBy>nikica.grubnic</cp:lastModifiedBy>
  <cp:lastPrinted>2012-01-06T22:05:15Z</cp:lastPrinted>
  <dcterms:created xsi:type="dcterms:W3CDTF">2010-01-18T21:06:50Z</dcterms:created>
  <dcterms:modified xsi:type="dcterms:W3CDTF">2012-04-24T13:38:23Z</dcterms:modified>
</cp:coreProperties>
</file>