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suzanne_kanyange_one_un_org/Documents/Desktop/"/>
    </mc:Choice>
  </mc:AlternateContent>
  <xr:revisionPtr revIDLastSave="0" documentId="8_{BC3502CA-7528-4739-BEA1-FE3446556371}" xr6:coauthVersionLast="47" xr6:coauthVersionMax="47" xr10:uidLastSave="{00000000-0000-0000-0000-000000000000}"/>
  <bookViews>
    <workbookView xWindow="-120" yWindow="-120" windowWidth="25440" windowHeight="15390" xr2:uid="{9C9D38CE-50AD-44B4-B57E-74EE9FF47ABF}"/>
  </bookViews>
  <sheets>
    <sheet name="BUDGET TOT" sheetId="3" r:id="rId1"/>
    <sheet name="B PAR CATEGORI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3" l="1"/>
  <c r="H24" i="3"/>
  <c r="H29" i="3"/>
  <c r="H34" i="3"/>
  <c r="H22" i="3"/>
  <c r="H17" i="3" s="1"/>
  <c r="H14" i="3"/>
  <c r="H10" i="3"/>
  <c r="H9" i="3" s="1"/>
  <c r="E14" i="3"/>
  <c r="D9" i="3"/>
  <c r="F9" i="3"/>
  <c r="D27" i="3"/>
  <c r="D24" i="3"/>
  <c r="D33" i="3"/>
  <c r="D36" i="3"/>
  <c r="D16" i="3"/>
  <c r="D14" i="3" s="1"/>
  <c r="D17" i="3"/>
  <c r="E17" i="3"/>
  <c r="D35" i="3"/>
  <c r="D32" i="3"/>
  <c r="D30" i="3"/>
  <c r="D31" i="3"/>
  <c r="H37" i="3" l="1"/>
  <c r="H38" i="3" s="1"/>
  <c r="H39" i="3" s="1"/>
  <c r="H40" i="3" s="1"/>
  <c r="D29" i="3"/>
  <c r="G6" i="4"/>
  <c r="C13" i="4"/>
  <c r="B13" i="4"/>
  <c r="D34" i="3"/>
  <c r="I24" i="3"/>
  <c r="H15" i="4" l="1"/>
  <c r="I9" i="3"/>
  <c r="D37" i="3"/>
  <c r="D38" i="3" s="1"/>
  <c r="B14" i="4"/>
  <c r="B15" i="4" s="1"/>
  <c r="I14" i="3"/>
  <c r="D39" i="3" l="1"/>
  <c r="D40" i="3" s="1"/>
  <c r="E13" i="4"/>
  <c r="E14" i="4" s="1"/>
  <c r="D13" i="4"/>
  <c r="F9" i="4"/>
  <c r="I29" i="3"/>
  <c r="I17" i="3"/>
  <c r="F36" i="3"/>
  <c r="I34" i="3"/>
  <c r="E35" i="3"/>
  <c r="F33" i="3"/>
  <c r="F31" i="3"/>
  <c r="E31" i="3"/>
  <c r="F30" i="3"/>
  <c r="I27" i="3"/>
  <c r="F27" i="3"/>
  <c r="F24" i="3"/>
  <c r="G24" i="3" s="1"/>
  <c r="E24" i="3"/>
  <c r="F17" i="3"/>
  <c r="F14" i="3"/>
  <c r="G14" i="3" s="1"/>
  <c r="E11" i="3"/>
  <c r="E9" i="3" s="1"/>
  <c r="G9" i="3"/>
  <c r="G17" i="3" l="1"/>
  <c r="F29" i="3"/>
  <c r="G29" i="3" s="1"/>
  <c r="E29" i="3"/>
  <c r="E34" i="3"/>
  <c r="D14" i="4"/>
  <c r="D15" i="4" s="1"/>
  <c r="G27" i="3"/>
  <c r="F34" i="3"/>
  <c r="G34" i="3" s="1"/>
  <c r="I37" i="3"/>
  <c r="F13" i="4"/>
  <c r="F14" i="4" s="1"/>
  <c r="F15" i="4" s="1"/>
  <c r="G11" i="4"/>
  <c r="E15" i="4"/>
  <c r="F37" i="3" l="1"/>
  <c r="G37" i="3" s="1"/>
  <c r="E37" i="3"/>
  <c r="I38" i="3"/>
  <c r="I40" i="3" s="1"/>
  <c r="F38" i="3" l="1"/>
  <c r="F39" i="3" s="1"/>
  <c r="F40" i="3" s="1"/>
  <c r="G40" i="3" s="1"/>
  <c r="E38" i="3"/>
  <c r="E39" i="3" l="1"/>
  <c r="E40" i="3" l="1"/>
  <c r="G12" i="4" l="1"/>
  <c r="I12" i="4" s="1"/>
  <c r="G10" i="4"/>
  <c r="I10" i="4" s="1"/>
  <c r="G8" i="4"/>
  <c r="I8" i="4" s="1"/>
  <c r="G7" i="4"/>
  <c r="I7" i="4" s="1"/>
  <c r="G9" i="4"/>
  <c r="I9" i="4" s="1"/>
  <c r="C14" i="4"/>
  <c r="C15" i="4" s="1"/>
  <c r="G14" i="4" l="1"/>
  <c r="I14" i="4" s="1"/>
  <c r="G13" i="4"/>
  <c r="I6" i="4"/>
  <c r="G15" i="4" l="1"/>
  <c r="I13" i="4"/>
  <c r="I15" i="4" l="1"/>
</calcChain>
</file>

<file path=xl/sharedStrings.xml><?xml version="1.0" encoding="utf-8"?>
<sst xmlns="http://schemas.openxmlformats.org/spreadsheetml/2006/main" count="92" uniqueCount="92">
  <si>
    <t>Produit 1.3</t>
  </si>
  <si>
    <t>Annexe D - Budget du projet PBF</t>
  </si>
  <si>
    <t>PROJET "Appui à la Coordination, au suivi et à l'évaluation du portefeuille du PBF 2021</t>
  </si>
  <si>
    <t>Tableau 1 - Budget du projet PBF par resultat, produit et activite</t>
  </si>
  <si>
    <t>Nombre de resultat/ produit</t>
  </si>
  <si>
    <t>Formulation du resultat/ produit/ activité</t>
  </si>
  <si>
    <t>Budget 2014-2017 par agence recipiendiaire en USD - Veuillez ajouter une nouvelle colonne par agence recipiendiaire</t>
  </si>
  <si>
    <t>Budget 2018-2020 par agence recipiendiaire en USD - Veuillez ajouter une nouvelle colonne par agence recipiendiaire</t>
  </si>
  <si>
    <t>Budget 2021 par agence recipiendiaire en USD - Veuillez ajouter une nouvelle colonne par agence recipiendiaire</t>
  </si>
  <si>
    <t xml:space="preserve">Pourcentage du budget pour chaque produit ou activité réservé pour action directe sur le genre (cas echeant) </t>
  </si>
  <si>
    <t>Notes quelconque le cas echeant (.e.g sur types des entrants ou justification du budget)</t>
  </si>
  <si>
    <t>Résultat 1 : La coordination, le suivi &amp; evaluation et le rapportage des resultats du portefeuille du PBF sont assures par le Secretariat PBF.</t>
  </si>
  <si>
    <t xml:space="preserve">Produit 1.1: Le cadre strategique et technique pour l'identification de projets de consolidation de la paix ayant un effet catalytique est mis en place en complementarite avec d'autres plans strateqiques (UNDAF, PRSP, PND, Strategies regionales, etc.) </t>
  </si>
  <si>
    <t>Activité 1.1.1</t>
  </si>
  <si>
    <t>Cartographie des acteurs et des interventions dans le domaine de la consolidation de la paix.</t>
  </si>
  <si>
    <t>Activité 1.1.2</t>
  </si>
  <si>
    <t>L'analyse situationelle de la consolidation de la paix au Burundi et  les frais  associer a la revue strategique du PBF.</t>
  </si>
  <si>
    <t>Activité 1.1.3</t>
  </si>
  <si>
    <t>Evaluation du portefeuille 2014-2020</t>
  </si>
  <si>
    <t>Activité 1.1.4</t>
  </si>
  <si>
    <t>Ateliers revue strategique</t>
  </si>
  <si>
    <t>Produit 1.2 </t>
  </si>
  <si>
    <t xml:space="preserve">Produit 1.2 : Des mécanismes de coordination entre les projets et les partenaires clés sont mise en place pour assurer la réalisation des résultats stratégiques du portefeuille PBF et la cohérence/synergies entre les projets et les activités </t>
  </si>
  <si>
    <t>Activité 1.2.1</t>
  </si>
  <si>
    <t xml:space="preserve">Appui au Sous-groupe sectoriel de la consolidation de la paix  </t>
  </si>
  <si>
    <t>Consultant (charge de secretariat du SGSCP)</t>
  </si>
  <si>
    <t>Activité 1.2.2</t>
  </si>
  <si>
    <t xml:space="preserve">Rapport de demarrage du cadre d'evaluation de resilience aux conflits </t>
  </si>
  <si>
    <t xml:space="preserve">Presentation du rapport </t>
  </si>
  <si>
    <t>Produit 1.3 : Le suivi et évaluation du portefeuille du PBF est assuré</t>
  </si>
  <si>
    <t>Activité 1.3.1</t>
  </si>
  <si>
    <t xml:space="preserve">Missions de suivi conjointe SNU/gouvernement (CPC) </t>
  </si>
  <si>
    <t>Activité 1.3.2</t>
  </si>
  <si>
    <t xml:space="preserve">Missions de suivi </t>
  </si>
  <si>
    <t>Activité 1.3.3</t>
  </si>
  <si>
    <t xml:space="preserve">Seances de formation de RUNOs </t>
  </si>
  <si>
    <t>Activité 1.3.4</t>
  </si>
  <si>
    <t>Appuyer les partenaires dans l'elaboration de rapports mandataires</t>
  </si>
  <si>
    <t>Activité 1.3.5</t>
  </si>
  <si>
    <t xml:space="preserve">Appuyer les partenaires dans l'elaboration de plans de suivi evaluation </t>
  </si>
  <si>
    <t>Résultat 2 : Le Comité de Pilotage et Bureau du Coordonnateur Résident du Système des Nations Unies sont appuyés afin d’assurer leur rôle d’orientation stratégique, de l’endossement des projets PBF et de suivi et évaluation du portefeuille PBF</t>
  </si>
  <si>
    <t xml:space="preserve">Produit 2.1 : Les capacités du Comité de Pilotage (y compris au niveau technique) et des autres partenaires pertinents sont renforcées pour assurer la supervision et le suivi &amp; évaluation des projets du PBF.
</t>
  </si>
  <si>
    <t>Activité 2.1.1</t>
  </si>
  <si>
    <t xml:space="preserve">Reunions du CPC </t>
  </si>
  <si>
    <t>Activité 2.1.2</t>
  </si>
  <si>
    <t xml:space="preserve">Controle de qualite de rapports, notes conceptuelles, etc. pour validation par le CPC </t>
  </si>
  <si>
    <t>Produit 2.2 </t>
  </si>
  <si>
    <t>Produit 2.2 : Le plaidoyer, la communication et le partenariat/création de réseaux sont assures pour promouvoir une meilleure compréhension et connaissance du portefeuille PBF et de ses résultats au sein des autorités nationales, de la société civile, des bailleurs de fonds et du grand public.</t>
  </si>
  <si>
    <t>Activité 2.2.2</t>
  </si>
  <si>
    <t>Outils de communication</t>
  </si>
  <si>
    <t>Coût de personnel du projet si pas inclus dans les activites si-dessus</t>
  </si>
  <si>
    <t xml:space="preserve">Frais du personnel du Secrétariat Technique (ST-PBF) : </t>
  </si>
  <si>
    <t>Coordonnateur International P4</t>
  </si>
  <si>
    <t>Assistant financier/administratif (VNU national)</t>
  </si>
  <si>
    <t>Chauffeur</t>
  </si>
  <si>
    <t>Couts operationnels si pas inclus dans les activites si-dessus</t>
  </si>
  <si>
    <t xml:space="preserve">Equipement du ST PBF </t>
  </si>
  <si>
    <t xml:space="preserve">Fournitures et matériels de bureau </t>
  </si>
  <si>
    <t xml:space="preserve">Frais de fonnctionement du ST PBF </t>
  </si>
  <si>
    <t xml:space="preserve">Sous Total </t>
  </si>
  <si>
    <t>Total du budget du projet</t>
  </si>
  <si>
    <t>Couts indirects 7%</t>
  </si>
  <si>
    <t xml:space="preserve">Total du budget </t>
  </si>
  <si>
    <t>Tableau 2 - Budget de projet PBF par categorie de cout de l'ONU</t>
  </si>
  <si>
    <t>PROJET "Appui à la Coordination et au Suivi des Projects du Fonds pour la consolidation de la Paix au Burundi"</t>
  </si>
  <si>
    <t>CATEGORIES</t>
  </si>
  <si>
    <t xml:space="preserve">Tranche 1 </t>
  </si>
  <si>
    <t>Tranche 2</t>
  </si>
  <si>
    <t>Tranche 3</t>
  </si>
  <si>
    <t>Tranche 4</t>
  </si>
  <si>
    <t>Tranche 5 (budget 2021)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</si>
  <si>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</si>
  <si>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</si>
  <si>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</si>
  <si>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</si>
  <si>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</si>
  <si>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</si>
  <si>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</si>
  <si>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</si>
  <si>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</si>
  <si>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</si>
  <si>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Taux d'exécution du budget</t>
  </si>
  <si>
    <t>Observations</t>
  </si>
  <si>
    <t>Cette ligne dépassent largement car on y a mis certaines des activités d'appuis à la coordination et d'autres qu'on ne retrouvait pas l'imputation(Période 2014-2017)</t>
  </si>
  <si>
    <t>Budget total du projet de 2014 au 2021 = $2,535,429.</t>
  </si>
  <si>
    <t>Budget total par tranche 2014-2021</t>
  </si>
  <si>
    <t>BUDGET 2014-2022</t>
  </si>
  <si>
    <t>Révision budgétaire 2022</t>
  </si>
  <si>
    <r>
      <rPr>
        <sz val="7"/>
        <rFont val="Times New Roman"/>
        <family val="1"/>
      </rPr>
      <t xml:space="preserve"> </t>
    </r>
    <r>
      <rPr>
        <sz val="12"/>
        <rFont val="Times New Roman"/>
        <family val="1"/>
      </rPr>
      <t xml:space="preserve">Chargé de Suivi et Evaluation </t>
    </r>
  </si>
  <si>
    <t xml:space="preserve"> Budet Total 2014-2022</t>
  </si>
  <si>
    <t>Dépenses/Engagements de 2014 jusqu'au 14 Novembre 2022</t>
  </si>
  <si>
    <r>
      <t xml:space="preserve">Niveau de dépenses/ engagements actuel en USD cumulé de </t>
    </r>
    <r>
      <rPr>
        <b/>
        <i/>
        <u/>
        <sz val="12"/>
        <color theme="1"/>
        <rFont val="Times New Roman"/>
        <family val="1"/>
      </rPr>
      <t>2014 au 14 Novembre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</si>
</sst>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8"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i/>
      <sz val="12"/>
      <color theme="1"/>
      <name val="Times New Roman"/>
      <family val="1"/>
    </font>
    <font>
      <b/>
      <i/>
      <u/>
      <sz val="12"/>
      <color theme="1"/>
      <name val="Times New Roman"/>
      <family val="1"/>
    </font>
    <font>
      <b/>
      <sz val="12"/>
      <color theme="1"/>
      <name val="Times New Roman"/>
      <family val="1"/>
    </font>
    <font>
      <b/>
      <sz val="12"/>
      <color rgb="FF000000"/>
      <name val="Times New Roman"/>
      <family val="1"/>
    </font>
    <font>
      <sz val="12"/>
      <color theme="1"/>
      <name val="Times New Roman"/>
      <family val="1"/>
    </font>
    <font>
      <sz val="11"/>
      <color theme="1"/>
      <name val="Calibri"/>
      <family val="2"/>
    </font>
    <font>
      <b/>
      <sz val="11"/>
      <color theme="1"/>
      <name val="Calibri"/>
      <family val="2"/>
    </font>
    <font>
      <b/>
      <sz val="12"/>
      <name val="Times New Roman"/>
      <family val="1"/>
    </font>
    <font>
      <sz val="12"/>
      <color rgb="FF000000"/>
      <name val="Times New Roman"/>
      <family val="1"/>
    </font>
    <font>
      <sz val="11"/>
      <name val="Calibri"/>
      <family val="2"/>
      <scheme val="minor"/>
    </font>
    <font>
      <b/>
      <i/>
      <sz val="12"/>
      <color rgb="FF2F5496"/>
      <name val="Times New Roman"/>
      <family val="1"/>
    </font>
    <font>
      <b/>
      <sz val="14"/>
      <color rgb="FFFF0000"/>
      <name val="Times New Roman"/>
      <family val="1"/>
    </font>
    <font>
      <sz val="8"/>
      <name val="Calibri"/>
      <family val="2"/>
      <scheme val="minor"/>
    </font>
    <font>
      <sz val="12"/>
      <name val="Times New Roman"/>
      <family val="1"/>
    </font>
    <font>
      <sz val="11"/>
      <name val="Calibri"/>
      <family val="2"/>
    </font>
    <font>
      <b/>
      <sz val="11"/>
      <name val="Calibri"/>
      <family val="2"/>
    </font>
    <font>
      <sz val="14"/>
      <name val="Times New Roman"/>
      <family val="1"/>
    </font>
    <font>
      <sz val="11"/>
      <name val="Times New Roman"/>
      <family val="1"/>
    </font>
    <font>
      <b/>
      <sz val="11"/>
      <name val="Times New Roman"/>
      <family val="1"/>
    </font>
    <font>
      <sz val="7"/>
      <name val="Times New Roman"/>
      <family val="1"/>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bgColor indexed="64"/>
      </patternFill>
    </fill>
    <fill>
      <patternFill patternType="solid">
        <fgColor rgb="FFFFFFFF"/>
        <bgColor indexed="64"/>
      </patternFill>
    </fill>
    <fill>
      <patternFill patternType="solid">
        <fgColor rgb="FFFFFF00"/>
        <bgColor rgb="FF000000"/>
      </patternFill>
    </fill>
    <fill>
      <patternFill patternType="solid">
        <fgColor theme="0"/>
        <bgColor rgb="FF000000"/>
      </patternFill>
    </fill>
    <fill>
      <patternFill patternType="solid">
        <fgColor theme="7" tint="0.39997558519241921"/>
        <bgColor indexed="64"/>
      </patternFill>
    </fill>
    <fill>
      <patternFill patternType="solid">
        <fgColor theme="7" tint="0.39997558519241921"/>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auto="1"/>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auto="1"/>
      </right>
      <top/>
      <bottom style="thin">
        <color indexed="64"/>
      </bottom>
      <diagonal/>
    </border>
    <border>
      <left/>
      <right/>
      <top style="medium">
        <color indexed="64"/>
      </top>
      <bottom style="medium">
        <color indexed="64"/>
      </bottom>
      <diagonal/>
    </border>
  </borders>
  <cellStyleXfs count="3">
    <xf numFmtId="0" fontId="0" fillId="0" borderId="0"/>
    <xf numFmtId="41" fontId="2" fillId="0" borderId="0" applyFont="0" applyFill="0" applyBorder="0" applyAlignment="0" applyProtection="0"/>
    <xf numFmtId="9" fontId="2" fillId="0" borderId="0" applyFont="0" applyFill="0" applyBorder="0" applyAlignment="0" applyProtection="0"/>
  </cellStyleXfs>
  <cellXfs count="244">
    <xf numFmtId="0" fontId="0" fillId="0" borderId="0" xfId="0"/>
    <xf numFmtId="0" fontId="0" fillId="0" borderId="1" xfId="0" applyBorder="1"/>
    <xf numFmtId="0" fontId="1" fillId="0" borderId="1" xfId="0" applyFont="1" applyBorder="1"/>
    <xf numFmtId="0" fontId="1" fillId="0" borderId="0" xfId="0" applyFont="1"/>
    <xf numFmtId="0" fontId="0" fillId="0" borderId="1" xfId="0" applyBorder="1" applyAlignment="1">
      <alignment wrapText="1"/>
    </xf>
    <xf numFmtId="0" fontId="0" fillId="0" borderId="0" xfId="0" applyAlignment="1">
      <alignment wrapText="1"/>
    </xf>
    <xf numFmtId="0" fontId="0" fillId="0" borderId="0" xfId="0" applyAlignment="1">
      <alignment horizontal="center"/>
    </xf>
    <xf numFmtId="0" fontId="5" fillId="0" borderId="4" xfId="0" applyFont="1" applyBorder="1" applyAlignment="1">
      <alignment vertical="top"/>
    </xf>
    <xf numFmtId="0" fontId="6" fillId="0" borderId="5" xfId="0" applyFont="1" applyBorder="1" applyAlignment="1">
      <alignment vertical="top"/>
    </xf>
    <xf numFmtId="0" fontId="0" fillId="0" borderId="5" xfId="0" applyBorder="1" applyAlignment="1">
      <alignment vertical="top"/>
    </xf>
    <xf numFmtId="0" fontId="0" fillId="0" borderId="5" xfId="0" applyBorder="1" applyAlignment="1">
      <alignment horizontal="center" vertical="top"/>
    </xf>
    <xf numFmtId="0" fontId="0" fillId="0" borderId="6" xfId="0"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7" fillId="0" borderId="5" xfId="0" applyFont="1" applyBorder="1" applyAlignment="1">
      <alignment horizontal="center" vertical="top"/>
    </xf>
    <xf numFmtId="0" fontId="7" fillId="0" borderId="6" xfId="0" applyFont="1" applyBorder="1" applyAlignment="1">
      <alignment vertical="top"/>
    </xf>
    <xf numFmtId="0" fontId="6" fillId="0" borderId="7" xfId="0" applyFont="1" applyBorder="1" applyAlignment="1">
      <alignment vertical="top"/>
    </xf>
    <xf numFmtId="0" fontId="6" fillId="0" borderId="8" xfId="0" applyFont="1" applyBorder="1" applyAlignment="1">
      <alignment vertical="top"/>
    </xf>
    <xf numFmtId="0" fontId="6" fillId="0" borderId="8" xfId="0" applyFont="1" applyBorder="1" applyAlignment="1">
      <alignment horizontal="center" vertical="top"/>
    </xf>
    <xf numFmtId="0" fontId="6" fillId="0" borderId="9" xfId="0" applyFont="1" applyBorder="1" applyAlignment="1">
      <alignment vertical="top"/>
    </xf>
    <xf numFmtId="0" fontId="7" fillId="0" borderId="10" xfId="0" applyFont="1" applyBorder="1" applyAlignment="1">
      <alignment vertical="top"/>
    </xf>
    <xf numFmtId="0" fontId="0" fillId="0" borderId="0" xfId="0" applyAlignment="1">
      <alignment vertical="top"/>
    </xf>
    <xf numFmtId="0" fontId="0" fillId="0" borderId="0" xfId="0" applyAlignment="1">
      <alignment horizontal="center" vertical="top"/>
    </xf>
    <xf numFmtId="0" fontId="0" fillId="0" borderId="11" xfId="0" applyBorder="1" applyAlignment="1">
      <alignment vertical="top"/>
    </xf>
    <xf numFmtId="0" fontId="0" fillId="0" borderId="10" xfId="0" applyBorder="1" applyAlignment="1">
      <alignment vertical="top"/>
    </xf>
    <xf numFmtId="0" fontId="8" fillId="0" borderId="12" xfId="0" applyFont="1" applyBorder="1" applyAlignment="1">
      <alignment vertical="top" wrapText="1"/>
    </xf>
    <xf numFmtId="0" fontId="8" fillId="0" borderId="12" xfId="0" applyFont="1" applyBorder="1" applyAlignment="1">
      <alignment horizontal="center" vertical="top" wrapText="1"/>
    </xf>
    <xf numFmtId="3" fontId="11" fillId="4" borderId="12" xfId="0" applyNumberFormat="1" applyFont="1" applyFill="1" applyBorder="1" applyAlignment="1">
      <alignment horizontal="center" vertical="top"/>
    </xf>
    <xf numFmtId="0" fontId="12" fillId="3" borderId="12" xfId="0" applyFont="1" applyFill="1" applyBorder="1" applyAlignment="1">
      <alignment vertical="top" wrapText="1"/>
    </xf>
    <xf numFmtId="3" fontId="12" fillId="0" borderId="15" xfId="0" applyNumberFormat="1" applyFont="1" applyBorder="1" applyAlignment="1">
      <alignment horizontal="center" vertical="top" wrapText="1"/>
    </xf>
    <xf numFmtId="0" fontId="12" fillId="0" borderId="15" xfId="0" applyFont="1" applyBorder="1" applyAlignment="1">
      <alignment vertical="top" wrapText="1"/>
    </xf>
    <xf numFmtId="0" fontId="0" fillId="0" borderId="15" xfId="0" applyBorder="1" applyAlignment="1">
      <alignment vertical="top" wrapText="1"/>
    </xf>
    <xf numFmtId="0" fontId="12" fillId="0" borderId="18" xfId="0" applyFont="1" applyBorder="1" applyAlignment="1">
      <alignment vertical="top" wrapText="1"/>
    </xf>
    <xf numFmtId="3" fontId="13" fillId="0" borderId="18" xfId="0" applyNumberFormat="1" applyFont="1" applyBorder="1" applyAlignment="1">
      <alignment horizontal="center" vertical="top"/>
    </xf>
    <xf numFmtId="0" fontId="0" fillId="0" borderId="18" xfId="0" applyBorder="1" applyAlignment="1">
      <alignment vertical="top" wrapText="1"/>
    </xf>
    <xf numFmtId="3" fontId="10" fillId="3" borderId="12" xfId="0" applyNumberFormat="1" applyFont="1" applyFill="1" applyBorder="1" applyAlignment="1">
      <alignment horizontal="center" vertical="top" wrapText="1"/>
    </xf>
    <xf numFmtId="3" fontId="14" fillId="3" borderId="12" xfId="0" applyNumberFormat="1" applyFont="1" applyFill="1" applyBorder="1" applyAlignment="1">
      <alignment horizontal="center" vertical="top"/>
    </xf>
    <xf numFmtId="3" fontId="15" fillId="3" borderId="12" xfId="0" applyNumberFormat="1" applyFont="1" applyFill="1" applyBorder="1" applyAlignment="1">
      <alignment horizontal="center" vertical="top" wrapText="1"/>
    </xf>
    <xf numFmtId="3" fontId="12" fillId="6" borderId="15" xfId="0" applyNumberFormat="1" applyFont="1" applyFill="1" applyBorder="1" applyAlignment="1">
      <alignment horizontal="left" vertical="top" wrapText="1"/>
    </xf>
    <xf numFmtId="3" fontId="12" fillId="0" borderId="15" xfId="0" quotePrefix="1" applyNumberFormat="1" applyFont="1" applyBorder="1" applyAlignment="1">
      <alignment horizontal="left" vertical="top" wrapText="1"/>
    </xf>
    <xf numFmtId="3" fontId="12" fillId="0" borderId="15" xfId="0" quotePrefix="1" applyNumberFormat="1" applyFont="1" applyBorder="1" applyAlignment="1">
      <alignment horizontal="center" vertical="top" wrapText="1"/>
    </xf>
    <xf numFmtId="3" fontId="0" fillId="0" borderId="0" xfId="0" applyNumberFormat="1" applyAlignment="1">
      <alignment horizontal="center" vertical="top"/>
    </xf>
    <xf numFmtId="3" fontId="10" fillId="0" borderId="15" xfId="2" applyNumberFormat="1" applyFont="1" applyFill="1" applyBorder="1" applyAlignment="1">
      <alignment horizontal="center" vertical="top" wrapText="1"/>
    </xf>
    <xf numFmtId="3" fontId="12" fillId="6" borderId="18" xfId="0" quotePrefix="1" applyNumberFormat="1" applyFont="1" applyFill="1" applyBorder="1" applyAlignment="1">
      <alignment horizontal="left" vertical="top" wrapText="1"/>
    </xf>
    <xf numFmtId="3" fontId="12" fillId="6" borderId="18" xfId="0" quotePrefix="1" applyNumberFormat="1" applyFont="1" applyFill="1" applyBorder="1" applyAlignment="1">
      <alignment horizontal="center" vertical="top" wrapText="1"/>
    </xf>
    <xf numFmtId="3" fontId="10" fillId="0" borderId="18" xfId="0" applyNumberFormat="1" applyFont="1" applyBorder="1" applyAlignment="1">
      <alignment horizontal="center" vertical="top" wrapText="1"/>
    </xf>
    <xf numFmtId="0" fontId="12" fillId="3" borderId="17" xfId="0" applyFont="1" applyFill="1" applyBorder="1" applyAlignment="1">
      <alignment vertical="top" wrapText="1"/>
    </xf>
    <xf numFmtId="3" fontId="12" fillId="3" borderId="17" xfId="0" applyNumberFormat="1" applyFont="1" applyFill="1" applyBorder="1" applyAlignment="1">
      <alignment horizontal="left" vertical="top" wrapText="1"/>
    </xf>
    <xf numFmtId="3" fontId="14" fillId="3" borderId="17" xfId="0" applyNumberFormat="1" applyFont="1" applyFill="1" applyBorder="1" applyAlignment="1">
      <alignment horizontal="center" vertical="top"/>
    </xf>
    <xf numFmtId="0" fontId="0" fillId="3" borderId="17" xfId="0" applyFill="1" applyBorder="1" applyAlignment="1">
      <alignment vertical="top" wrapText="1"/>
    </xf>
    <xf numFmtId="3" fontId="10" fillId="0" borderId="15" xfId="0" applyNumberFormat="1" applyFont="1" applyBorder="1" applyAlignment="1">
      <alignment horizontal="center" vertical="top" wrapText="1"/>
    </xf>
    <xf numFmtId="3" fontId="12" fillId="6" borderId="18" xfId="0" applyNumberFormat="1" applyFont="1" applyFill="1" applyBorder="1" applyAlignment="1">
      <alignment horizontal="left" vertical="top" wrapText="1"/>
    </xf>
    <xf numFmtId="3" fontId="16" fillId="0" borderId="18" xfId="0" applyNumberFormat="1" applyFont="1" applyBorder="1" applyAlignment="1">
      <alignment vertical="top" wrapText="1"/>
    </xf>
    <xf numFmtId="0" fontId="12" fillId="2" borderId="12" xfId="0" applyFont="1" applyFill="1" applyBorder="1" applyAlignment="1">
      <alignment vertical="top" wrapText="1"/>
    </xf>
    <xf numFmtId="3" fontId="13" fillId="7" borderId="12" xfId="0" applyNumberFormat="1" applyFont="1" applyFill="1" applyBorder="1" applyAlignment="1">
      <alignment horizontal="center" vertical="top"/>
    </xf>
    <xf numFmtId="3" fontId="13" fillId="7" borderId="12" xfId="0" applyNumberFormat="1" applyFont="1" applyFill="1" applyBorder="1" applyAlignment="1">
      <alignment horizontal="center" vertical="center"/>
    </xf>
    <xf numFmtId="0" fontId="10" fillId="2" borderId="12" xfId="0" applyFont="1" applyFill="1" applyBorder="1" applyAlignment="1">
      <alignment vertical="top" wrapText="1"/>
    </xf>
    <xf numFmtId="0" fontId="12" fillId="5" borderId="15" xfId="0" applyFont="1" applyFill="1" applyBorder="1" applyAlignment="1">
      <alignment vertical="top" wrapText="1"/>
    </xf>
    <xf numFmtId="0" fontId="0" fillId="0" borderId="15" xfId="0" applyBorder="1" applyAlignment="1">
      <alignment vertical="top"/>
    </xf>
    <xf numFmtId="3" fontId="13" fillId="8" borderId="15" xfId="0" applyNumberFormat="1" applyFont="1" applyFill="1" applyBorder="1" applyAlignment="1">
      <alignment horizontal="center" vertical="top"/>
    </xf>
    <xf numFmtId="3" fontId="10" fillId="5" borderId="15" xfId="0" applyNumberFormat="1" applyFont="1" applyFill="1" applyBorder="1" applyAlignment="1">
      <alignment horizontal="center" vertical="top" wrapText="1"/>
    </xf>
    <xf numFmtId="0" fontId="12" fillId="5" borderId="19" xfId="0" applyFont="1" applyFill="1" applyBorder="1" applyAlignment="1">
      <alignment vertical="top" wrapText="1"/>
    </xf>
    <xf numFmtId="3" fontId="16" fillId="0" borderId="19" xfId="0" applyNumberFormat="1" applyFont="1" applyBorder="1" applyAlignment="1">
      <alignment vertical="top"/>
    </xf>
    <xf numFmtId="3" fontId="13" fillId="8" borderId="19" xfId="0" applyNumberFormat="1" applyFont="1" applyFill="1" applyBorder="1" applyAlignment="1">
      <alignment horizontal="center" vertical="top"/>
    </xf>
    <xf numFmtId="3" fontId="10" fillId="5" borderId="19" xfId="0" applyNumberFormat="1" applyFont="1" applyFill="1" applyBorder="1" applyAlignment="1">
      <alignment horizontal="center" vertical="top" wrapText="1"/>
    </xf>
    <xf numFmtId="0" fontId="10" fillId="5" borderId="19" xfId="0" applyFont="1" applyFill="1" applyBorder="1" applyAlignment="1">
      <alignment vertical="top" wrapText="1"/>
    </xf>
    <xf numFmtId="0" fontId="10" fillId="9" borderId="12" xfId="0" applyFont="1" applyFill="1" applyBorder="1" applyAlignment="1">
      <alignment vertical="top" wrapText="1"/>
    </xf>
    <xf numFmtId="3" fontId="11" fillId="9" borderId="12" xfId="0" applyNumberFormat="1" applyFont="1" applyFill="1" applyBorder="1" applyAlignment="1">
      <alignment vertical="top"/>
    </xf>
    <xf numFmtId="3" fontId="14" fillId="10" borderId="12" xfId="0" applyNumberFormat="1" applyFont="1" applyFill="1" applyBorder="1" applyAlignment="1">
      <alignment horizontal="center" vertical="center"/>
    </xf>
    <xf numFmtId="3" fontId="1" fillId="0" borderId="0" xfId="0" applyNumberFormat="1" applyFont="1"/>
    <xf numFmtId="3" fontId="0" fillId="0" borderId="0" xfId="0" applyNumberFormat="1" applyAlignment="1">
      <alignment horizontal="center"/>
    </xf>
    <xf numFmtId="1" fontId="0" fillId="0" borderId="0" xfId="0" applyNumberFormat="1" applyAlignment="1">
      <alignment horizontal="center"/>
    </xf>
    <xf numFmtId="3" fontId="1" fillId="0" borderId="0" xfId="0" applyNumberFormat="1" applyFont="1" applyAlignment="1">
      <alignment horizontal="center"/>
    </xf>
    <xf numFmtId="3" fontId="0" fillId="0" borderId="0" xfId="0" applyNumberFormat="1"/>
    <xf numFmtId="0" fontId="1" fillId="0" borderId="4" xfId="0" applyFont="1" applyBorder="1"/>
    <xf numFmtId="0" fontId="0" fillId="0" borderId="5" xfId="0" applyBorder="1"/>
    <xf numFmtId="0" fontId="0" fillId="0" borderId="6" xfId="0" applyBorder="1"/>
    <xf numFmtId="0" fontId="1" fillId="0" borderId="10" xfId="0" applyFont="1" applyBorder="1"/>
    <xf numFmtId="0" fontId="0" fillId="0" borderId="11" xfId="0" applyBorder="1"/>
    <xf numFmtId="0" fontId="0" fillId="0" borderId="10" xfId="0" applyBorder="1"/>
    <xf numFmtId="0" fontId="1" fillId="0" borderId="22" xfId="0" applyFont="1" applyBorder="1"/>
    <xf numFmtId="0" fontId="0" fillId="0" borderId="22" xfId="0" applyBorder="1"/>
    <xf numFmtId="0" fontId="1" fillId="0" borderId="1" xfId="0" applyFont="1" applyBorder="1" applyAlignment="1">
      <alignment horizontal="center"/>
    </xf>
    <xf numFmtId="164" fontId="0" fillId="0" borderId="1" xfId="0" applyNumberFormat="1" applyBorder="1" applyAlignment="1">
      <alignment horizontal="center"/>
    </xf>
    <xf numFmtId="0" fontId="0" fillId="0" borderId="22" xfId="0" applyBorder="1" applyAlignment="1">
      <alignment wrapText="1"/>
    </xf>
    <xf numFmtId="164" fontId="1" fillId="0" borderId="1" xfId="0" applyNumberFormat="1" applyFont="1" applyBorder="1" applyAlignment="1">
      <alignment horizontal="center"/>
    </xf>
    <xf numFmtId="0" fontId="18" fillId="0" borderId="0" xfId="0" applyFont="1" applyAlignment="1">
      <alignment vertical="center"/>
    </xf>
    <xf numFmtId="43" fontId="19" fillId="0" borderId="0" xfId="0" applyNumberFormat="1" applyFont="1"/>
    <xf numFmtId="41" fontId="0" fillId="0" borderId="0" xfId="1" applyFont="1"/>
    <xf numFmtId="41" fontId="0" fillId="0" borderId="1" xfId="1" applyFont="1" applyBorder="1"/>
    <xf numFmtId="9" fontId="0" fillId="0" borderId="0" xfId="2" applyFont="1"/>
    <xf numFmtId="3" fontId="1" fillId="5" borderId="1" xfId="0" applyNumberFormat="1" applyFont="1" applyFill="1" applyBorder="1" applyAlignment="1">
      <alignment horizontal="center"/>
    </xf>
    <xf numFmtId="0" fontId="1" fillId="0" borderId="26" xfId="0" applyFont="1" applyBorder="1"/>
    <xf numFmtId="3" fontId="1" fillId="0" borderId="27" xfId="0" applyNumberFormat="1" applyFont="1" applyBorder="1" applyAlignment="1">
      <alignment horizontal="center"/>
    </xf>
    <xf numFmtId="164" fontId="0" fillId="0" borderId="0" xfId="0" applyNumberFormat="1"/>
    <xf numFmtId="3" fontId="3" fillId="0" borderId="0" xfId="0" applyNumberFormat="1" applyFont="1"/>
    <xf numFmtId="3" fontId="1" fillId="0" borderId="1" xfId="0" applyNumberFormat="1" applyFont="1" applyBorder="1" applyAlignment="1">
      <alignment horizontal="center"/>
    </xf>
    <xf numFmtId="3" fontId="21" fillId="0" borderId="15" xfId="0" applyNumberFormat="1" applyFont="1" applyBorder="1" applyAlignment="1">
      <alignment horizontal="left" vertical="top" wrapText="1"/>
    </xf>
    <xf numFmtId="3" fontId="10" fillId="2" borderId="13" xfId="0" applyNumberFormat="1" applyFont="1" applyFill="1" applyBorder="1" applyAlignment="1">
      <alignment horizontal="left" vertical="top" wrapText="1"/>
    </xf>
    <xf numFmtId="3" fontId="12" fillId="6" borderId="31" xfId="0" applyNumberFormat="1" applyFont="1" applyFill="1" applyBorder="1" applyAlignment="1">
      <alignment horizontal="left" vertical="top" wrapText="1"/>
    </xf>
    <xf numFmtId="3" fontId="12" fillId="6" borderId="32" xfId="0" applyNumberFormat="1" applyFont="1" applyFill="1" applyBorder="1" applyAlignment="1">
      <alignment horizontal="center" vertical="top" wrapText="1"/>
    </xf>
    <xf numFmtId="3" fontId="12" fillId="6" borderId="3" xfId="0" applyNumberFormat="1" applyFont="1" applyFill="1" applyBorder="1" applyAlignment="1">
      <alignment horizontal="center" vertical="top" wrapText="1"/>
    </xf>
    <xf numFmtId="3" fontId="12" fillId="6" borderId="10" xfId="0" applyNumberFormat="1" applyFont="1" applyFill="1" applyBorder="1" applyAlignment="1">
      <alignment horizontal="left" vertical="top" wrapText="1"/>
    </xf>
    <xf numFmtId="3" fontId="12" fillId="6" borderId="2" xfId="0" applyNumberFormat="1" applyFont="1" applyFill="1" applyBorder="1" applyAlignment="1">
      <alignment horizontal="center" vertical="top" wrapText="1"/>
    </xf>
    <xf numFmtId="3" fontId="12" fillId="6" borderId="33" xfId="0" applyNumberFormat="1" applyFont="1" applyFill="1" applyBorder="1" applyAlignment="1">
      <alignment horizontal="center" vertical="top" wrapText="1"/>
    </xf>
    <xf numFmtId="3" fontId="13" fillId="0" borderId="20" xfId="0" applyNumberFormat="1" applyFont="1" applyBorder="1" applyAlignment="1">
      <alignment horizontal="center" vertical="top"/>
    </xf>
    <xf numFmtId="41" fontId="21" fillId="0" borderId="15" xfId="1" applyFont="1" applyBorder="1" applyAlignment="1">
      <alignment horizontal="left" vertical="top" wrapText="1"/>
    </xf>
    <xf numFmtId="41" fontId="12" fillId="0" borderId="15" xfId="1" quotePrefix="1" applyFont="1" applyBorder="1" applyAlignment="1">
      <alignment horizontal="left" vertical="top" wrapText="1"/>
    </xf>
    <xf numFmtId="41" fontId="12" fillId="6" borderId="18" xfId="1" quotePrefix="1" applyFont="1" applyFill="1" applyBorder="1" applyAlignment="1">
      <alignment horizontal="left" vertical="top" wrapText="1"/>
    </xf>
    <xf numFmtId="41" fontId="13" fillId="8" borderId="19" xfId="1" applyFont="1" applyFill="1" applyBorder="1" applyAlignment="1">
      <alignment horizontal="center" vertical="top"/>
    </xf>
    <xf numFmtId="0" fontId="21" fillId="0" borderId="16" xfId="0" applyFont="1" applyBorder="1" applyAlignment="1">
      <alignment vertical="top" wrapText="1"/>
    </xf>
    <xf numFmtId="3" fontId="21" fillId="0" borderId="16" xfId="0" applyNumberFormat="1" applyFont="1" applyBorder="1" applyAlignment="1">
      <alignment horizontal="left" vertical="top" wrapText="1"/>
    </xf>
    <xf numFmtId="3" fontId="21" fillId="0" borderId="16" xfId="0" applyNumberFormat="1" applyFont="1" applyBorder="1" applyAlignment="1">
      <alignment horizontal="center" vertical="top" wrapText="1"/>
    </xf>
    <xf numFmtId="3" fontId="22" fillId="0" borderId="16" xfId="0" applyNumberFormat="1" applyFont="1" applyBorder="1" applyAlignment="1">
      <alignment horizontal="center" vertical="top"/>
    </xf>
    <xf numFmtId="3" fontId="21" fillId="0" borderId="15" xfId="0" applyNumberFormat="1" applyFont="1" applyBorder="1" applyAlignment="1">
      <alignment horizontal="center" vertical="top" wrapText="1"/>
    </xf>
    <xf numFmtId="0" fontId="17" fillId="0" borderId="16" xfId="0" applyFont="1" applyBorder="1" applyAlignment="1">
      <alignment vertical="top" wrapText="1"/>
    </xf>
    <xf numFmtId="0" fontId="21" fillId="0" borderId="15" xfId="0" applyFont="1" applyBorder="1" applyAlignment="1">
      <alignment vertical="top" wrapText="1"/>
    </xf>
    <xf numFmtId="3" fontId="22" fillId="0" borderId="15" xfId="0" applyNumberFormat="1" applyFont="1" applyBorder="1" applyAlignment="1">
      <alignment horizontal="center" vertical="top"/>
    </xf>
    <xf numFmtId="0" fontId="17" fillId="0" borderId="15" xfId="0" applyFont="1" applyBorder="1" applyAlignment="1">
      <alignment vertical="top" wrapText="1"/>
    </xf>
    <xf numFmtId="0" fontId="21" fillId="0" borderId="17" xfId="0" applyFont="1" applyBorder="1" applyAlignment="1">
      <alignment vertical="top" wrapText="1"/>
    </xf>
    <xf numFmtId="3" fontId="21" fillId="0" borderId="17" xfId="0" applyNumberFormat="1" applyFont="1" applyBorder="1" applyAlignment="1">
      <alignment horizontal="left" vertical="top" wrapText="1"/>
    </xf>
    <xf numFmtId="3" fontId="21" fillId="0" borderId="17" xfId="0" applyNumberFormat="1" applyFont="1" applyBorder="1" applyAlignment="1">
      <alignment horizontal="center" vertical="top" wrapText="1"/>
    </xf>
    <xf numFmtId="3" fontId="22" fillId="0" borderId="17" xfId="0" applyNumberFormat="1" applyFont="1" applyBorder="1" applyAlignment="1">
      <alignment horizontal="center" vertical="top"/>
    </xf>
    <xf numFmtId="0" fontId="17" fillId="0" borderId="17" xfId="0" applyFont="1" applyBorder="1" applyAlignment="1">
      <alignment vertical="top" wrapText="1"/>
    </xf>
    <xf numFmtId="0" fontId="21" fillId="0" borderId="18" xfId="0" applyFont="1" applyBorder="1" applyAlignment="1">
      <alignment vertical="top" wrapText="1"/>
    </xf>
    <xf numFmtId="3" fontId="21" fillId="0" borderId="18" xfId="0" applyNumberFormat="1" applyFont="1" applyBorder="1" applyAlignment="1">
      <alignment horizontal="left" vertical="top" wrapText="1"/>
    </xf>
    <xf numFmtId="3" fontId="21" fillId="0" borderId="18" xfId="0" applyNumberFormat="1" applyFont="1" applyBorder="1" applyAlignment="1">
      <alignment horizontal="center" vertical="top" wrapText="1"/>
    </xf>
    <xf numFmtId="3" fontId="22" fillId="0" borderId="18" xfId="0" applyNumberFormat="1" applyFont="1" applyBorder="1" applyAlignment="1">
      <alignment horizontal="center" vertical="top"/>
    </xf>
    <xf numFmtId="0" fontId="17" fillId="0" borderId="18" xfId="0" applyFont="1" applyBorder="1" applyAlignment="1">
      <alignment vertical="top" wrapText="1"/>
    </xf>
    <xf numFmtId="0" fontId="15" fillId="3" borderId="13" xfId="0" applyFont="1" applyFill="1" applyBorder="1" applyAlignment="1">
      <alignment vertical="top" wrapText="1"/>
    </xf>
    <xf numFmtId="3" fontId="23" fillId="4" borderId="12" xfId="0" applyNumberFormat="1" applyFont="1" applyFill="1" applyBorder="1" applyAlignment="1">
      <alignment horizontal="center" vertical="top"/>
    </xf>
    <xf numFmtId="3" fontId="15" fillId="3" borderId="12" xfId="0" applyNumberFormat="1" applyFont="1" applyFill="1" applyBorder="1" applyAlignment="1">
      <alignment horizontal="center" vertical="top"/>
    </xf>
    <xf numFmtId="0" fontId="17" fillId="3" borderId="12" xfId="0" applyFont="1" applyFill="1" applyBorder="1" applyAlignment="1">
      <alignment vertical="top" wrapText="1"/>
    </xf>
    <xf numFmtId="0" fontId="15" fillId="0" borderId="17" xfId="0" applyFont="1" applyBorder="1" applyAlignment="1">
      <alignment vertical="top" wrapText="1"/>
    </xf>
    <xf numFmtId="3" fontId="22" fillId="5" borderId="17" xfId="0" applyNumberFormat="1" applyFont="1" applyFill="1" applyBorder="1" applyAlignment="1">
      <alignment horizontal="center" vertical="top"/>
    </xf>
    <xf numFmtId="3" fontId="24" fillId="0" borderId="15" xfId="0" applyNumberFormat="1" applyFont="1" applyBorder="1" applyAlignment="1">
      <alignment horizontal="center" vertical="top" wrapText="1"/>
    </xf>
    <xf numFmtId="0" fontId="15" fillId="0" borderId="15" xfId="0" applyFont="1" applyBorder="1" applyAlignment="1">
      <alignment vertical="top" wrapText="1"/>
    </xf>
    <xf numFmtId="3" fontId="21" fillId="0" borderId="19" xfId="0" applyNumberFormat="1" applyFont="1" applyBorder="1" applyAlignment="1">
      <alignment horizontal="center" vertical="top" wrapText="1"/>
    </xf>
    <xf numFmtId="0" fontId="17" fillId="0" borderId="18" xfId="0" applyFont="1" applyBorder="1" applyAlignment="1">
      <alignment horizontal="center"/>
    </xf>
    <xf numFmtId="0" fontId="15" fillId="3" borderId="4" xfId="0" applyFont="1" applyFill="1" applyBorder="1" applyAlignment="1">
      <alignment vertical="top" wrapText="1"/>
    </xf>
    <xf numFmtId="3" fontId="4" fillId="3" borderId="6" xfId="0" applyNumberFormat="1" applyFont="1" applyFill="1" applyBorder="1" applyAlignment="1">
      <alignment horizontal="center" vertical="top" wrapText="1"/>
    </xf>
    <xf numFmtId="3" fontId="23" fillId="4" borderId="16" xfId="0" applyNumberFormat="1" applyFont="1" applyFill="1" applyBorder="1" applyAlignment="1">
      <alignment horizontal="center" vertical="top"/>
    </xf>
    <xf numFmtId="3" fontId="15" fillId="3" borderId="16" xfId="0" applyNumberFormat="1" applyFont="1" applyFill="1" applyBorder="1" applyAlignment="1">
      <alignment horizontal="center" vertical="top" wrapText="1"/>
    </xf>
    <xf numFmtId="3" fontId="15" fillId="3" borderId="16" xfId="0" applyNumberFormat="1" applyFont="1" applyFill="1" applyBorder="1" applyAlignment="1">
      <alignment horizontal="justify" vertical="top" wrapText="1"/>
    </xf>
    <xf numFmtId="0" fontId="21" fillId="0" borderId="19" xfId="0" applyFont="1" applyBorder="1" applyAlignment="1">
      <alignment vertical="top" wrapText="1"/>
    </xf>
    <xf numFmtId="3" fontId="21" fillId="0" borderId="20" xfId="0" applyNumberFormat="1" applyFont="1" applyBorder="1" applyAlignment="1">
      <alignment horizontal="center" vertical="top" wrapText="1"/>
    </xf>
    <xf numFmtId="0" fontId="17" fillId="0" borderId="20" xfId="0" applyFont="1" applyBorder="1" applyAlignment="1">
      <alignment vertical="top" wrapText="1"/>
    </xf>
    <xf numFmtId="3" fontId="22" fillId="5" borderId="18" xfId="0" applyNumberFormat="1" applyFont="1" applyFill="1" applyBorder="1" applyAlignment="1">
      <alignment horizontal="center" vertical="top"/>
    </xf>
    <xf numFmtId="3" fontId="21" fillId="0" borderId="18" xfId="0" applyNumberFormat="1" applyFont="1" applyBorder="1" applyAlignment="1">
      <alignment vertical="top" wrapText="1"/>
    </xf>
    <xf numFmtId="3" fontId="4" fillId="3" borderId="14" xfId="0" applyNumberFormat="1" applyFont="1" applyFill="1" applyBorder="1" applyAlignment="1">
      <alignment horizontal="center" vertical="top" wrapText="1"/>
    </xf>
    <xf numFmtId="3" fontId="4" fillId="4" borderId="12" xfId="0" applyNumberFormat="1" applyFont="1" applyFill="1" applyBorder="1" applyAlignment="1">
      <alignment horizontal="center" vertical="top"/>
    </xf>
    <xf numFmtId="3" fontId="21" fillId="3" borderId="12" xfId="0" applyNumberFormat="1" applyFont="1" applyFill="1" applyBorder="1" applyAlignment="1">
      <alignment vertical="top" wrapText="1"/>
    </xf>
    <xf numFmtId="0" fontId="25" fillId="0" borderId="15" xfId="0" quotePrefix="1" applyFont="1" applyBorder="1" applyAlignment="1">
      <alignment vertical="top" wrapText="1"/>
    </xf>
    <xf numFmtId="0" fontId="25" fillId="0" borderId="15" xfId="0" quotePrefix="1" applyFont="1" applyBorder="1" applyAlignment="1">
      <alignment horizontal="center" vertical="top" wrapText="1"/>
    </xf>
    <xf numFmtId="3" fontId="17" fillId="0" borderId="15" xfId="0" applyNumberFormat="1" applyFont="1" applyBorder="1" applyAlignment="1">
      <alignment vertical="top" wrapText="1"/>
    </xf>
    <xf numFmtId="0" fontId="17" fillId="0" borderId="19" xfId="0" applyFont="1" applyBorder="1"/>
    <xf numFmtId="0" fontId="25" fillId="0" borderId="19" xfId="0" quotePrefix="1" applyFont="1" applyBorder="1" applyAlignment="1">
      <alignment wrapText="1"/>
    </xf>
    <xf numFmtId="0" fontId="25" fillId="0" borderId="19" xfId="0" quotePrefix="1" applyFont="1" applyBorder="1" applyAlignment="1">
      <alignment horizontal="center" wrapText="1"/>
    </xf>
    <xf numFmtId="3" fontId="17" fillId="0" borderId="19" xfId="0" applyNumberFormat="1" applyFont="1" applyBorder="1" applyAlignment="1">
      <alignment horizontal="center" vertical="center"/>
    </xf>
    <xf numFmtId="3" fontId="17" fillId="0" borderId="19" xfId="0" applyNumberFormat="1" applyFont="1" applyBorder="1" applyAlignment="1">
      <alignment horizontal="center"/>
    </xf>
    <xf numFmtId="3" fontId="17" fillId="0" borderId="19" xfId="0" applyNumberFormat="1" applyFont="1" applyBorder="1"/>
    <xf numFmtId="0" fontId="26" fillId="3" borderId="13" xfId="0" applyFont="1" applyFill="1" applyBorder="1" applyAlignment="1">
      <alignment vertical="top" wrapText="1"/>
    </xf>
    <xf numFmtId="3" fontId="26" fillId="3" borderId="12" xfId="0" applyNumberFormat="1" applyFont="1" applyFill="1" applyBorder="1" applyAlignment="1">
      <alignment horizontal="center" vertical="top" wrapText="1"/>
    </xf>
    <xf numFmtId="3" fontId="26" fillId="3" borderId="14" xfId="0" applyNumberFormat="1" applyFont="1" applyFill="1" applyBorder="1" applyAlignment="1">
      <alignment horizontal="center" vertical="top" wrapText="1"/>
    </xf>
    <xf numFmtId="3" fontId="4" fillId="3" borderId="12" xfId="0" applyNumberFormat="1" applyFont="1" applyFill="1" applyBorder="1" applyAlignment="1">
      <alignment horizontal="center" vertical="top"/>
    </xf>
    <xf numFmtId="3" fontId="17" fillId="3" borderId="12" xfId="0" applyNumberFormat="1" applyFont="1" applyFill="1" applyBorder="1"/>
    <xf numFmtId="0" fontId="25" fillId="0" borderId="19" xfId="0" applyFont="1" applyBorder="1"/>
    <xf numFmtId="0" fontId="25" fillId="0" borderId="19" xfId="0" applyFont="1" applyBorder="1" applyAlignment="1">
      <alignment horizontal="left" vertical="top"/>
    </xf>
    <xf numFmtId="0" fontId="25" fillId="0" borderId="19" xfId="0" applyFont="1" applyBorder="1" applyAlignment="1">
      <alignment horizontal="center" vertical="top"/>
    </xf>
    <xf numFmtId="0" fontId="21" fillId="3" borderId="12" xfId="0" applyFont="1" applyFill="1" applyBorder="1" applyAlignment="1">
      <alignment vertical="top" wrapText="1"/>
    </xf>
    <xf numFmtId="3" fontId="21" fillId="3" borderId="12" xfId="0" applyNumberFormat="1" applyFont="1" applyFill="1" applyBorder="1" applyAlignment="1">
      <alignment horizontal="left" vertical="top" wrapText="1"/>
    </xf>
    <xf numFmtId="3" fontId="23" fillId="3" borderId="12" xfId="0" applyNumberFormat="1" applyFont="1" applyFill="1" applyBorder="1" applyAlignment="1">
      <alignment horizontal="center" vertical="top"/>
    </xf>
    <xf numFmtId="0" fontId="21" fillId="0" borderId="21" xfId="0" applyFont="1" applyBorder="1" applyAlignment="1">
      <alignment vertical="top" wrapText="1"/>
    </xf>
    <xf numFmtId="3" fontId="21" fillId="6" borderId="21" xfId="0" applyNumberFormat="1" applyFont="1" applyFill="1" applyBorder="1" applyAlignment="1">
      <alignment horizontal="left" vertical="top" wrapText="1"/>
    </xf>
    <xf numFmtId="3" fontId="21" fillId="6" borderId="21" xfId="0" applyNumberFormat="1" applyFont="1" applyFill="1" applyBorder="1" applyAlignment="1">
      <alignment horizontal="center" vertical="top" wrapText="1"/>
    </xf>
    <xf numFmtId="3" fontId="22" fillId="0" borderId="21" xfId="0" applyNumberFormat="1" applyFont="1" applyBorder="1" applyAlignment="1">
      <alignment horizontal="center" vertical="top"/>
    </xf>
    <xf numFmtId="3" fontId="15" fillId="0" borderId="21" xfId="2" applyNumberFormat="1" applyFont="1" applyBorder="1" applyAlignment="1">
      <alignment horizontal="center" vertical="top" wrapText="1"/>
    </xf>
    <xf numFmtId="0" fontId="17" fillId="0" borderId="21" xfId="0" applyFont="1" applyBorder="1" applyAlignment="1">
      <alignment vertical="top" wrapText="1"/>
    </xf>
    <xf numFmtId="3" fontId="21" fillId="6" borderId="15" xfId="0" applyNumberFormat="1" applyFont="1" applyFill="1" applyBorder="1" applyAlignment="1">
      <alignment horizontal="left" vertical="top" wrapText="1"/>
    </xf>
    <xf numFmtId="3" fontId="21" fillId="6" borderId="15" xfId="0" applyNumberFormat="1" applyFont="1" applyFill="1" applyBorder="1" applyAlignment="1">
      <alignment horizontal="center" vertical="top" wrapText="1"/>
    </xf>
    <xf numFmtId="3" fontId="15" fillId="0" borderId="15" xfId="2" applyNumberFormat="1" applyFont="1" applyBorder="1" applyAlignment="1">
      <alignment horizontal="center" vertical="top" wrapText="1"/>
    </xf>
    <xf numFmtId="41" fontId="21" fillId="0" borderId="17" xfId="1" applyFont="1" applyBorder="1" applyAlignment="1">
      <alignment horizontal="left" vertical="top" wrapText="1"/>
    </xf>
    <xf numFmtId="41" fontId="21" fillId="0" borderId="18" xfId="1" applyFont="1" applyBorder="1" applyAlignment="1">
      <alignment horizontal="left" vertical="top" wrapText="1"/>
    </xf>
    <xf numFmtId="41" fontId="21" fillId="0" borderId="16" xfId="1" applyFont="1" applyBorder="1" applyAlignment="1">
      <alignment horizontal="center" vertical="top" wrapText="1"/>
    </xf>
    <xf numFmtId="41" fontId="21" fillId="0" borderId="15" xfId="1" applyFont="1" applyBorder="1" applyAlignment="1">
      <alignment horizontal="center" vertical="top" wrapText="1"/>
    </xf>
    <xf numFmtId="41" fontId="21" fillId="0" borderId="17" xfId="1" applyFont="1" applyBorder="1" applyAlignment="1">
      <alignment horizontal="center" vertical="top" wrapText="1"/>
    </xf>
    <xf numFmtId="41" fontId="21" fillId="0" borderId="18" xfId="1" applyFont="1" applyBorder="1" applyAlignment="1">
      <alignment horizontal="center" vertical="top" wrapText="1"/>
    </xf>
    <xf numFmtId="41" fontId="21" fillId="0" borderId="19" xfId="1" applyFont="1" applyBorder="1" applyAlignment="1">
      <alignment horizontal="left" vertical="top" wrapText="1"/>
    </xf>
    <xf numFmtId="41" fontId="17" fillId="0" borderId="0" xfId="1" applyFont="1"/>
    <xf numFmtId="41" fontId="25" fillId="0" borderId="15" xfId="1" quotePrefix="1" applyFont="1" applyBorder="1" applyAlignment="1">
      <alignment vertical="top" wrapText="1"/>
    </xf>
    <xf numFmtId="41" fontId="25" fillId="0" borderId="19" xfId="1" quotePrefix="1" applyFont="1" applyBorder="1" applyAlignment="1">
      <alignment wrapText="1"/>
    </xf>
    <xf numFmtId="41" fontId="25" fillId="0" borderId="19" xfId="1" applyFont="1" applyBorder="1" applyAlignment="1">
      <alignment horizontal="left" vertical="top"/>
    </xf>
    <xf numFmtId="41" fontId="21" fillId="6" borderId="21" xfId="1" applyFont="1" applyFill="1" applyBorder="1" applyAlignment="1">
      <alignment horizontal="left" vertical="top" wrapText="1"/>
    </xf>
    <xf numFmtId="41" fontId="21" fillId="6" borderId="15" xfId="1" applyFont="1" applyFill="1" applyBorder="1" applyAlignment="1">
      <alignment horizontal="left" vertical="top" wrapText="1"/>
    </xf>
    <xf numFmtId="0" fontId="8" fillId="0" borderId="12" xfId="0" applyFont="1" applyFill="1" applyBorder="1" applyAlignment="1">
      <alignment vertical="top" wrapText="1"/>
    </xf>
    <xf numFmtId="0" fontId="8" fillId="2" borderId="12" xfId="0" applyFont="1" applyFill="1" applyBorder="1" applyAlignment="1">
      <alignment vertical="top" wrapText="1"/>
    </xf>
    <xf numFmtId="0" fontId="0" fillId="0" borderId="0" xfId="0" applyFill="1"/>
    <xf numFmtId="0" fontId="0" fillId="0" borderId="0" xfId="0" applyFill="1" applyBorder="1" applyAlignment="1">
      <alignment vertical="top"/>
    </xf>
    <xf numFmtId="0" fontId="7" fillId="0" borderId="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left" vertical="top" wrapText="1"/>
    </xf>
    <xf numFmtId="0" fontId="12" fillId="0" borderId="0" xfId="0" applyFont="1" applyFill="1" applyBorder="1" applyAlignment="1">
      <alignment vertical="top" wrapText="1"/>
    </xf>
    <xf numFmtId="0" fontId="17" fillId="0" borderId="0" xfId="0" applyFont="1" applyFill="1" applyBorder="1" applyAlignment="1">
      <alignment vertical="top" wrapText="1"/>
    </xf>
    <xf numFmtId="3" fontId="15" fillId="0" borderId="0" xfId="0" applyNumberFormat="1" applyFont="1" applyFill="1" applyBorder="1" applyAlignment="1">
      <alignment horizontal="justify" vertical="top" wrapText="1"/>
    </xf>
    <xf numFmtId="3" fontId="21" fillId="0" borderId="0" xfId="0" applyNumberFormat="1" applyFont="1" applyFill="1" applyBorder="1" applyAlignment="1">
      <alignment vertical="top" wrapText="1"/>
    </xf>
    <xf numFmtId="0" fontId="15" fillId="0" borderId="0" xfId="0" applyFont="1" applyFill="1" applyBorder="1" applyAlignment="1">
      <alignment horizontal="left" vertical="top" wrapText="1"/>
    </xf>
    <xf numFmtId="3" fontId="17" fillId="0" borderId="0" xfId="0" applyNumberFormat="1" applyFont="1" applyFill="1" applyBorder="1" applyAlignment="1">
      <alignment vertical="top" wrapText="1"/>
    </xf>
    <xf numFmtId="3" fontId="17" fillId="0" borderId="0" xfId="0" applyNumberFormat="1" applyFont="1" applyFill="1" applyBorder="1"/>
    <xf numFmtId="0" fontId="0" fillId="0" borderId="0" xfId="0" applyFill="1" applyBorder="1" applyAlignment="1">
      <alignment vertical="top" wrapText="1"/>
    </xf>
    <xf numFmtId="3" fontId="16" fillId="0" borderId="0" xfId="0" applyNumberFormat="1" applyFont="1" applyFill="1" applyBorder="1" applyAlignment="1">
      <alignment vertical="top" wrapText="1"/>
    </xf>
    <xf numFmtId="0" fontId="10" fillId="0" borderId="0" xfId="0" applyFont="1" applyFill="1" applyBorder="1" applyAlignment="1">
      <alignment vertical="top" wrapText="1"/>
    </xf>
    <xf numFmtId="3" fontId="0" fillId="0" borderId="0" xfId="0" applyNumberFormat="1" applyFill="1"/>
    <xf numFmtId="41" fontId="17" fillId="0" borderId="1" xfId="1" applyFont="1" applyBorder="1"/>
    <xf numFmtId="0" fontId="1" fillId="0" borderId="1" xfId="0" applyFont="1" applyFill="1" applyBorder="1" applyAlignment="1">
      <alignment horizontal="center" wrapText="1"/>
    </xf>
    <xf numFmtId="3"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3" fontId="1" fillId="0" borderId="27" xfId="0" applyNumberFormat="1" applyFont="1" applyFill="1" applyBorder="1" applyAlignment="1">
      <alignment horizontal="center"/>
    </xf>
    <xf numFmtId="9" fontId="0" fillId="0" borderId="1" xfId="2" applyFont="1" applyBorder="1"/>
    <xf numFmtId="3" fontId="0" fillId="0" borderId="1" xfId="0" applyNumberFormat="1" applyBorder="1" applyAlignment="1">
      <alignment horizontal="center"/>
    </xf>
    <xf numFmtId="41" fontId="4" fillId="0" borderId="1" xfId="1" applyFont="1" applyBorder="1"/>
    <xf numFmtId="0" fontId="10" fillId="0" borderId="13" xfId="0" applyFont="1" applyBorder="1" applyAlignment="1">
      <alignment horizontal="left" vertical="top" wrapText="1"/>
    </xf>
    <xf numFmtId="0" fontId="10" fillId="0" borderId="34" xfId="0" applyFont="1" applyBorder="1" applyAlignment="1">
      <alignment horizontal="left" vertical="top" wrapText="1"/>
    </xf>
    <xf numFmtId="0" fontId="10" fillId="0" borderId="14" xfId="0" applyFont="1" applyBorder="1" applyAlignment="1">
      <alignment horizontal="left" vertical="top" wrapText="1"/>
    </xf>
    <xf numFmtId="0" fontId="10" fillId="3" borderId="13" xfId="0" applyFont="1" applyFill="1" applyBorder="1" applyAlignment="1">
      <alignment vertical="top" wrapText="1"/>
    </xf>
    <xf numFmtId="0" fontId="0" fillId="0" borderId="14" xfId="0" applyBorder="1" applyAlignment="1">
      <alignment vertical="top" wrapText="1"/>
    </xf>
    <xf numFmtId="0" fontId="15" fillId="0" borderId="13" xfId="0" applyFont="1" applyBorder="1" applyAlignment="1">
      <alignment horizontal="left" vertical="top" wrapText="1"/>
    </xf>
    <xf numFmtId="0" fontId="15" fillId="0" borderId="34" xfId="0" applyFont="1" applyBorder="1" applyAlignment="1">
      <alignment horizontal="left" vertical="top" wrapText="1"/>
    </xf>
    <xf numFmtId="0" fontId="15" fillId="0" borderId="14" xfId="0" applyFont="1" applyBorder="1" applyAlignment="1">
      <alignment horizontal="left" vertical="top" wrapText="1"/>
    </xf>
    <xf numFmtId="0" fontId="15" fillId="3" borderId="13" xfId="0" applyFont="1" applyFill="1" applyBorder="1" applyAlignment="1">
      <alignment vertical="top" wrapText="1"/>
    </xf>
    <xf numFmtId="0" fontId="17" fillId="0" borderId="14" xfId="0" applyFont="1" applyBorder="1" applyAlignment="1">
      <alignmen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28" xfId="0"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vertical="center" wrapText="1"/>
    </xf>
  </cellXfs>
  <cellStyles count="3">
    <cellStyle name="Milliers [0]" xfId="1" builtinId="6"/>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1CA1-9A34-4084-B4D9-D572E023E86B}">
  <dimension ref="B1:N44"/>
  <sheetViews>
    <sheetView tabSelected="1" topLeftCell="A25" zoomScale="70" zoomScaleNormal="70" workbookViewId="0">
      <selection activeCell="I44" sqref="I44"/>
    </sheetView>
  </sheetViews>
  <sheetFormatPr baseColWidth="10" defaultColWidth="9.140625" defaultRowHeight="15" x14ac:dyDescent="0.25"/>
  <cols>
    <col min="1" max="1" width="3.7109375" customWidth="1"/>
    <col min="2" max="2" width="17.140625" customWidth="1"/>
    <col min="3" max="3" width="57.28515625" customWidth="1"/>
    <col min="4" max="4" width="21.7109375" customWidth="1"/>
    <col min="5" max="5" width="20.42578125" customWidth="1"/>
    <col min="6" max="6" width="20" customWidth="1"/>
    <col min="7" max="7" width="17.140625" style="6" customWidth="1"/>
    <col min="8" max="8" width="25.28515625" customWidth="1"/>
    <col min="9" max="9" width="19" style="6" bestFit="1" customWidth="1"/>
    <col min="10" max="10" width="44.5703125" customWidth="1"/>
    <col min="11" max="11" width="6.85546875" style="196" customWidth="1"/>
    <col min="12" max="13" width="13.28515625" customWidth="1"/>
  </cols>
  <sheetData>
    <row r="1" spans="2:14" ht="15.75" customHeight="1" thickBot="1" x14ac:dyDescent="0.3"/>
    <row r="2" spans="2:14" ht="21.75" thickBot="1" x14ac:dyDescent="0.3">
      <c r="B2" s="7" t="s">
        <v>1</v>
      </c>
      <c r="C2" s="8"/>
      <c r="D2" s="8"/>
      <c r="E2" s="8"/>
      <c r="F2" s="9"/>
      <c r="G2" s="10"/>
      <c r="H2" s="8"/>
      <c r="I2" s="10"/>
      <c r="J2" s="11"/>
      <c r="K2" s="197"/>
    </row>
    <row r="3" spans="2:14" ht="15.75" x14ac:dyDescent="0.25">
      <c r="B3" s="12" t="s">
        <v>2</v>
      </c>
      <c r="C3" s="13"/>
      <c r="D3" s="13"/>
      <c r="E3" s="13"/>
      <c r="F3" s="13"/>
      <c r="G3" s="14"/>
      <c r="H3" s="13"/>
      <c r="I3" s="14"/>
      <c r="J3" s="15"/>
      <c r="K3" s="198"/>
    </row>
    <row r="4" spans="2:14" ht="19.5" thickBot="1" x14ac:dyDescent="0.3">
      <c r="B4" s="16" t="s">
        <v>86</v>
      </c>
      <c r="C4" s="17"/>
      <c r="D4" s="17"/>
      <c r="E4" s="17"/>
      <c r="F4" s="17"/>
      <c r="G4" s="18"/>
      <c r="H4" s="17"/>
      <c r="I4" s="18"/>
      <c r="J4" s="19"/>
      <c r="K4" s="199"/>
    </row>
    <row r="5" spans="2:14" ht="15.75" x14ac:dyDescent="0.25">
      <c r="B5" s="20" t="s">
        <v>3</v>
      </c>
      <c r="C5" s="21"/>
      <c r="D5" s="21"/>
      <c r="E5" s="21"/>
      <c r="F5" s="21"/>
      <c r="G5" s="22"/>
      <c r="H5" s="21"/>
      <c r="I5" s="22"/>
      <c r="J5" s="23"/>
      <c r="K5" s="197"/>
    </row>
    <row r="6" spans="2:14" ht="15.75" thickBot="1" x14ac:dyDescent="0.3">
      <c r="B6" s="24"/>
      <c r="C6" s="21"/>
      <c r="D6" s="21"/>
      <c r="E6" s="21"/>
      <c r="F6" s="21"/>
      <c r="G6" s="22"/>
      <c r="H6" s="21"/>
      <c r="I6" s="22"/>
      <c r="J6" s="23"/>
      <c r="K6" s="197"/>
    </row>
    <row r="7" spans="2:14" ht="216" customHeight="1" thickBot="1" x14ac:dyDescent="0.3">
      <c r="B7" s="25" t="s">
        <v>4</v>
      </c>
      <c r="C7" s="25" t="s">
        <v>5</v>
      </c>
      <c r="D7" s="25" t="s">
        <v>6</v>
      </c>
      <c r="E7" s="25" t="s">
        <v>7</v>
      </c>
      <c r="F7" s="194" t="s">
        <v>8</v>
      </c>
      <c r="G7" s="26" t="s">
        <v>9</v>
      </c>
      <c r="H7" s="195" t="s">
        <v>87</v>
      </c>
      <c r="I7" s="26" t="s">
        <v>91</v>
      </c>
      <c r="J7" s="25" t="s">
        <v>10</v>
      </c>
      <c r="K7" s="200"/>
    </row>
    <row r="8" spans="2:14" ht="16.5" customHeight="1" thickBot="1" x14ac:dyDescent="0.3">
      <c r="B8" s="221" t="s">
        <v>11</v>
      </c>
      <c r="C8" s="222"/>
      <c r="D8" s="222"/>
      <c r="E8" s="222"/>
      <c r="F8" s="222"/>
      <c r="G8" s="222"/>
      <c r="H8" s="222"/>
      <c r="I8" s="222"/>
      <c r="J8" s="223"/>
      <c r="K8" s="201"/>
      <c r="L8" s="5"/>
      <c r="M8" s="5"/>
      <c r="N8" s="5"/>
    </row>
    <row r="9" spans="2:14" ht="99" customHeight="1" thickBot="1" x14ac:dyDescent="0.3">
      <c r="B9" s="224" t="s">
        <v>12</v>
      </c>
      <c r="C9" s="225"/>
      <c r="D9" s="27">
        <f t="shared" ref="D9:E9" si="0">SUM(D10:D13)</f>
        <v>0</v>
      </c>
      <c r="E9" s="27">
        <f t="shared" si="0"/>
        <v>120000</v>
      </c>
      <c r="F9" s="27">
        <f>SUM(F10:F13)</f>
        <v>86000</v>
      </c>
      <c r="G9" s="35">
        <f>F9*0.3</f>
        <v>25800</v>
      </c>
      <c r="H9" s="27">
        <f>SUM(H10:H13)</f>
        <v>75735</v>
      </c>
      <c r="I9" s="27">
        <f>SUM(I10:I13)</f>
        <v>188535</v>
      </c>
      <c r="J9" s="28"/>
      <c r="K9" s="202"/>
      <c r="L9" s="73"/>
      <c r="M9" s="73"/>
      <c r="N9" s="90"/>
    </row>
    <row r="10" spans="2:14" ht="31.5" x14ac:dyDescent="0.25">
      <c r="B10" s="110" t="s">
        <v>13</v>
      </c>
      <c r="C10" s="111" t="s">
        <v>14</v>
      </c>
      <c r="D10" s="111"/>
      <c r="E10" s="112">
        <v>50000</v>
      </c>
      <c r="F10" s="113">
        <v>5000</v>
      </c>
      <c r="G10" s="112"/>
      <c r="H10" s="183">
        <f>73000+443+225+667+1400</f>
        <v>75735</v>
      </c>
      <c r="I10" s="114">
        <v>24870</v>
      </c>
      <c r="J10" s="115"/>
      <c r="K10" s="203"/>
      <c r="L10" s="73"/>
      <c r="M10" s="73"/>
      <c r="N10" s="90"/>
    </row>
    <row r="11" spans="2:14" ht="31.5" x14ac:dyDescent="0.25">
      <c r="B11" s="116" t="s">
        <v>15</v>
      </c>
      <c r="C11" s="97" t="s">
        <v>16</v>
      </c>
      <c r="D11" s="97"/>
      <c r="E11" s="114">
        <f>50000+20000</f>
        <v>70000</v>
      </c>
      <c r="F11" s="117">
        <v>35000</v>
      </c>
      <c r="G11" s="114"/>
      <c r="H11" s="184"/>
      <c r="I11" s="114">
        <v>126555</v>
      </c>
      <c r="J11" s="118"/>
      <c r="K11" s="203"/>
      <c r="L11" s="73"/>
      <c r="M11" s="73"/>
      <c r="N11" s="90"/>
    </row>
    <row r="12" spans="2:14" ht="15.75" x14ac:dyDescent="0.25">
      <c r="B12" s="119" t="s">
        <v>17</v>
      </c>
      <c r="C12" s="120" t="s">
        <v>18</v>
      </c>
      <c r="D12" s="120"/>
      <c r="E12" s="121"/>
      <c r="F12" s="122">
        <v>40000</v>
      </c>
      <c r="G12" s="121"/>
      <c r="H12" s="185"/>
      <c r="I12" s="114">
        <v>24102</v>
      </c>
      <c r="J12" s="123"/>
      <c r="K12" s="203"/>
      <c r="L12" s="73"/>
      <c r="M12" s="73"/>
      <c r="N12" s="90"/>
    </row>
    <row r="13" spans="2:14" ht="16.5" thickBot="1" x14ac:dyDescent="0.3">
      <c r="B13" s="124" t="s">
        <v>19</v>
      </c>
      <c r="C13" s="125" t="s">
        <v>20</v>
      </c>
      <c r="D13" s="125"/>
      <c r="E13" s="126"/>
      <c r="F13" s="127">
        <v>6000</v>
      </c>
      <c r="G13" s="126"/>
      <c r="H13" s="186"/>
      <c r="I13" s="114">
        <v>13008</v>
      </c>
      <c r="J13" s="128"/>
      <c r="K13" s="203"/>
      <c r="L13" s="73"/>
      <c r="M13" s="73"/>
      <c r="N13" s="90"/>
    </row>
    <row r="14" spans="2:14" ht="45.75" customHeight="1" thickBot="1" x14ac:dyDescent="0.3">
      <c r="B14" s="129" t="s">
        <v>21</v>
      </c>
      <c r="C14" s="129" t="s">
        <v>22</v>
      </c>
      <c r="D14" s="130">
        <f t="shared" ref="D14:E14" si="1">SUM(D15:D16)</f>
        <v>150078</v>
      </c>
      <c r="E14" s="130">
        <f t="shared" si="1"/>
        <v>10000</v>
      </c>
      <c r="F14" s="130">
        <f>SUM(F15:F16)</f>
        <v>38500</v>
      </c>
      <c r="G14" s="131">
        <f>F14*0.3</f>
        <v>11550</v>
      </c>
      <c r="H14" s="130">
        <f>SUM(H15:H16)</f>
        <v>5415</v>
      </c>
      <c r="I14" s="130">
        <f>SUM(I15:I16)</f>
        <v>98050</v>
      </c>
      <c r="J14" s="132"/>
      <c r="K14" s="203"/>
      <c r="L14" s="73"/>
      <c r="M14" s="73"/>
      <c r="N14" s="90"/>
    </row>
    <row r="15" spans="2:14" ht="47.25" customHeight="1" x14ac:dyDescent="0.25">
      <c r="B15" s="133" t="s">
        <v>23</v>
      </c>
      <c r="C15" s="120" t="s">
        <v>24</v>
      </c>
      <c r="D15" s="121"/>
      <c r="E15" s="121">
        <v>10000</v>
      </c>
      <c r="F15" s="134">
        <v>35000</v>
      </c>
      <c r="G15" s="121"/>
      <c r="H15" s="181">
        <v>415</v>
      </c>
      <c r="I15" s="135">
        <v>37829</v>
      </c>
      <c r="J15" s="123" t="s">
        <v>25</v>
      </c>
      <c r="K15" s="203"/>
      <c r="L15" s="73"/>
      <c r="M15" s="73"/>
      <c r="N15" s="90"/>
    </row>
    <row r="16" spans="2:14" ht="32.25" thickBot="1" x14ac:dyDescent="0.3">
      <c r="B16" s="136" t="s">
        <v>26</v>
      </c>
      <c r="C16" s="97" t="s">
        <v>27</v>
      </c>
      <c r="D16" s="137">
        <f>135000+15078</f>
        <v>150078</v>
      </c>
      <c r="E16" s="138"/>
      <c r="F16" s="117">
        <v>3500</v>
      </c>
      <c r="G16" s="114"/>
      <c r="H16" s="187">
        <v>5000</v>
      </c>
      <c r="I16" s="135">
        <v>60221</v>
      </c>
      <c r="J16" s="118" t="s">
        <v>28</v>
      </c>
      <c r="K16" s="203"/>
      <c r="L16" s="73"/>
      <c r="M16" s="73"/>
      <c r="N16" s="90"/>
    </row>
    <row r="17" spans="2:14" ht="38.25" customHeight="1" x14ac:dyDescent="0.25">
      <c r="B17" s="139" t="s">
        <v>0</v>
      </c>
      <c r="C17" s="139" t="s">
        <v>29</v>
      </c>
      <c r="D17" s="140">
        <f>D18+D19+D20+D21+D22</f>
        <v>64031.199999999997</v>
      </c>
      <c r="E17" s="140">
        <f>E18+E19+E20+E21+E22</f>
        <v>25000</v>
      </c>
      <c r="F17" s="141">
        <f>SUM(F18:F22)</f>
        <v>19500</v>
      </c>
      <c r="G17" s="142">
        <f>F17*0.3</f>
        <v>5850</v>
      </c>
      <c r="H17" s="140">
        <f>H18+H19+H15+H21+H22</f>
        <v>31225</v>
      </c>
      <c r="I17" s="141">
        <f>SUM(I18:I22)</f>
        <v>49179</v>
      </c>
      <c r="J17" s="143"/>
      <c r="K17" s="204"/>
      <c r="L17" s="73"/>
      <c r="M17" s="73"/>
      <c r="N17" s="90"/>
    </row>
    <row r="18" spans="2:14" ht="15.75" x14ac:dyDescent="0.25">
      <c r="B18" s="116" t="s">
        <v>30</v>
      </c>
      <c r="C18" s="97" t="s">
        <v>31</v>
      </c>
      <c r="D18" s="114">
        <v>6000</v>
      </c>
      <c r="E18" s="114"/>
      <c r="F18" s="117">
        <v>12000</v>
      </c>
      <c r="G18" s="114"/>
      <c r="H18" s="106">
        <v>30000</v>
      </c>
      <c r="I18" s="114">
        <v>13133</v>
      </c>
      <c r="J18" s="118"/>
      <c r="K18" s="203"/>
      <c r="L18" s="73"/>
      <c r="M18" s="73"/>
      <c r="N18" s="90"/>
    </row>
    <row r="19" spans="2:14" ht="15.75" x14ac:dyDescent="0.25">
      <c r="B19" s="116" t="s">
        <v>32</v>
      </c>
      <c r="C19" s="97" t="s">
        <v>33</v>
      </c>
      <c r="D19" s="114">
        <v>54000</v>
      </c>
      <c r="E19" s="114">
        <v>15000</v>
      </c>
      <c r="F19" s="117">
        <v>5000</v>
      </c>
      <c r="G19" s="114"/>
      <c r="H19" s="106"/>
      <c r="I19" s="114">
        <v>28535</v>
      </c>
      <c r="J19" s="118"/>
      <c r="K19" s="203"/>
      <c r="L19" s="73"/>
      <c r="M19" s="73"/>
      <c r="N19" s="90"/>
    </row>
    <row r="20" spans="2:14" ht="15.75" x14ac:dyDescent="0.25">
      <c r="B20" s="144" t="s">
        <v>34</v>
      </c>
      <c r="C20" s="120" t="s">
        <v>35</v>
      </c>
      <c r="D20" s="121"/>
      <c r="E20" s="121">
        <v>10000</v>
      </c>
      <c r="F20" s="122">
        <v>2500</v>
      </c>
      <c r="G20" s="145"/>
      <c r="H20" s="188"/>
      <c r="I20" s="114">
        <v>1465</v>
      </c>
      <c r="J20" s="146"/>
      <c r="K20" s="203"/>
      <c r="L20" s="73"/>
      <c r="M20" s="73"/>
      <c r="N20" s="90"/>
    </row>
    <row r="21" spans="2:14" ht="31.5" x14ac:dyDescent="0.25">
      <c r="B21" s="116" t="s">
        <v>36</v>
      </c>
      <c r="C21" s="97" t="s">
        <v>37</v>
      </c>
      <c r="D21" s="114">
        <v>2031.2</v>
      </c>
      <c r="E21" s="114"/>
      <c r="F21" s="117">
        <v>0</v>
      </c>
      <c r="G21" s="145"/>
      <c r="H21" s="106">
        <v>250</v>
      </c>
      <c r="I21" s="114">
        <v>1799</v>
      </c>
      <c r="J21" s="146"/>
      <c r="K21" s="203"/>
      <c r="L21" s="73"/>
      <c r="M21" s="73"/>
      <c r="N21" s="90"/>
    </row>
    <row r="22" spans="2:14" ht="32.25" thickBot="1" x14ac:dyDescent="0.3">
      <c r="B22" s="124" t="s">
        <v>38</v>
      </c>
      <c r="C22" s="125" t="s">
        <v>39</v>
      </c>
      <c r="D22" s="126">
        <v>2000</v>
      </c>
      <c r="E22" s="126"/>
      <c r="F22" s="147">
        <v>0</v>
      </c>
      <c r="G22" s="126"/>
      <c r="H22" s="182">
        <f>200+360</f>
        <v>560</v>
      </c>
      <c r="I22" s="114">
        <v>4247</v>
      </c>
      <c r="J22" s="148"/>
      <c r="K22" s="205"/>
      <c r="L22" s="73"/>
      <c r="M22" s="73"/>
      <c r="N22" s="90"/>
    </row>
    <row r="23" spans="2:14" ht="31.5" customHeight="1" thickBot="1" x14ac:dyDescent="0.3">
      <c r="B23" s="226" t="s">
        <v>40</v>
      </c>
      <c r="C23" s="227"/>
      <c r="D23" s="227"/>
      <c r="E23" s="227"/>
      <c r="F23" s="227"/>
      <c r="G23" s="227"/>
      <c r="H23" s="227"/>
      <c r="I23" s="227"/>
      <c r="J23" s="228"/>
      <c r="K23" s="206"/>
      <c r="L23" s="73"/>
      <c r="M23" s="73"/>
      <c r="N23" s="90"/>
    </row>
    <row r="24" spans="2:14" ht="51" customHeight="1" thickBot="1" x14ac:dyDescent="0.3">
      <c r="B24" s="229" t="s">
        <v>41</v>
      </c>
      <c r="C24" s="230"/>
      <c r="D24" s="149">
        <f>D25+D26</f>
        <v>0</v>
      </c>
      <c r="E24" s="149">
        <f>E25+E26</f>
        <v>6000</v>
      </c>
      <c r="F24" s="150">
        <f>SUM(F25:F26)</f>
        <v>15000</v>
      </c>
      <c r="G24" s="37">
        <f>F24*0.3</f>
        <v>4500</v>
      </c>
      <c r="H24" s="149">
        <f>H25+H26</f>
        <v>4200</v>
      </c>
      <c r="I24" s="150">
        <f>SUM(I25:I26)</f>
        <v>31621</v>
      </c>
      <c r="J24" s="151"/>
      <c r="K24" s="205"/>
      <c r="L24" s="73"/>
      <c r="M24" s="73"/>
      <c r="N24" s="90"/>
    </row>
    <row r="25" spans="2:14" ht="21.75" customHeight="1" x14ac:dyDescent="0.25">
      <c r="B25" s="119" t="s">
        <v>42</v>
      </c>
      <c r="C25" s="152" t="s">
        <v>43</v>
      </c>
      <c r="D25" s="152"/>
      <c r="E25" s="153">
        <v>6000</v>
      </c>
      <c r="F25" s="117">
        <v>15000</v>
      </c>
      <c r="G25" s="114"/>
      <c r="H25" s="189">
        <v>4000</v>
      </c>
      <c r="I25" s="114">
        <v>3824</v>
      </c>
      <c r="J25" s="154"/>
      <c r="K25" s="207"/>
      <c r="L25" s="73"/>
      <c r="M25" s="73"/>
      <c r="N25" s="90"/>
    </row>
    <row r="26" spans="2:14" ht="30.75" thickBot="1" x14ac:dyDescent="0.3">
      <c r="B26" s="155" t="s">
        <v>44</v>
      </c>
      <c r="C26" s="156" t="s">
        <v>45</v>
      </c>
      <c r="D26" s="156"/>
      <c r="E26" s="157"/>
      <c r="F26" s="158">
        <v>0</v>
      </c>
      <c r="G26" s="159"/>
      <c r="H26" s="190">
        <v>200</v>
      </c>
      <c r="I26" s="159">
        <v>27797</v>
      </c>
      <c r="J26" s="160"/>
      <c r="K26" s="208"/>
      <c r="L26" s="73"/>
      <c r="M26" s="73"/>
      <c r="N26" s="90"/>
    </row>
    <row r="27" spans="2:14" ht="58.5" customHeight="1" thickBot="1" x14ac:dyDescent="0.3">
      <c r="B27" s="161" t="s">
        <v>46</v>
      </c>
      <c r="C27" s="161" t="s">
        <v>47</v>
      </c>
      <c r="D27" s="162">
        <f>0</f>
        <v>0</v>
      </c>
      <c r="E27" s="163">
        <v>60000</v>
      </c>
      <c r="F27" s="164">
        <f>F28</f>
        <v>12500</v>
      </c>
      <c r="G27" s="37">
        <f>F27*0.3</f>
        <v>3750</v>
      </c>
      <c r="H27" s="162">
        <f>H28</f>
        <v>23218</v>
      </c>
      <c r="I27" s="164">
        <f>I28</f>
        <v>28411</v>
      </c>
      <c r="J27" s="165"/>
      <c r="K27" s="208"/>
      <c r="L27" s="73"/>
      <c r="M27" s="73"/>
      <c r="N27" s="90"/>
    </row>
    <row r="28" spans="2:14" ht="15.75" thickBot="1" x14ac:dyDescent="0.3">
      <c r="B28" s="166" t="s">
        <v>48</v>
      </c>
      <c r="C28" s="167" t="s">
        <v>49</v>
      </c>
      <c r="D28" s="167"/>
      <c r="E28" s="168"/>
      <c r="F28" s="159">
        <v>12500</v>
      </c>
      <c r="G28" s="159"/>
      <c r="H28" s="191">
        <v>23218</v>
      </c>
      <c r="I28" s="159">
        <v>28411</v>
      </c>
      <c r="J28" s="160"/>
      <c r="K28" s="208"/>
      <c r="L28" s="73"/>
      <c r="M28" s="73"/>
      <c r="N28" s="90"/>
    </row>
    <row r="29" spans="2:14" ht="66" customHeight="1" thickBot="1" x14ac:dyDescent="0.3">
      <c r="B29" s="169" t="s">
        <v>50</v>
      </c>
      <c r="C29" s="170" t="s">
        <v>51</v>
      </c>
      <c r="D29" s="37">
        <f>D30+D31+D32+D33</f>
        <v>626328.00000000012</v>
      </c>
      <c r="E29" s="37">
        <f>E30+E31+E32+E33</f>
        <v>908402</v>
      </c>
      <c r="F29" s="171">
        <f>SUM(F30:F33)</f>
        <v>245025</v>
      </c>
      <c r="G29" s="37">
        <f>F29*0.3</f>
        <v>73507.5</v>
      </c>
      <c r="H29" s="37">
        <f>H30+H31+H32+H33</f>
        <v>30206</v>
      </c>
      <c r="I29" s="37">
        <f>SUM(I30:I33)</f>
        <v>1620679</v>
      </c>
      <c r="J29" s="132"/>
      <c r="K29" s="203"/>
      <c r="L29" s="73"/>
      <c r="M29" s="73"/>
      <c r="N29" s="90"/>
    </row>
    <row r="30" spans="2:14" ht="18" customHeight="1" x14ac:dyDescent="0.25">
      <c r="B30" s="172"/>
      <c r="C30" s="173" t="s">
        <v>52</v>
      </c>
      <c r="D30" s="174">
        <f>(567000+63328)*60%</f>
        <v>378196.8</v>
      </c>
      <c r="E30" s="174">
        <v>685067</v>
      </c>
      <c r="F30" s="175">
        <f>22836*9</f>
        <v>205524</v>
      </c>
      <c r="G30" s="176"/>
      <c r="H30" s="192">
        <v>12206</v>
      </c>
      <c r="I30" s="114">
        <v>1033531</v>
      </c>
      <c r="J30" s="177"/>
      <c r="K30" s="203"/>
      <c r="L30" s="73"/>
      <c r="M30" s="73"/>
      <c r="N30" s="90"/>
    </row>
    <row r="31" spans="2:14" ht="15.75" x14ac:dyDescent="0.25">
      <c r="B31" s="116"/>
      <c r="C31" s="178" t="s">
        <v>88</v>
      </c>
      <c r="D31" s="179">
        <f>(567000+63328)*20%</f>
        <v>126065.60000000001</v>
      </c>
      <c r="E31" s="179">
        <f>26708+100000</f>
        <v>126708</v>
      </c>
      <c r="F31" s="117">
        <f>(29136/12)*9</f>
        <v>21852</v>
      </c>
      <c r="G31" s="180"/>
      <c r="H31" s="193">
        <v>12000</v>
      </c>
      <c r="I31" s="114">
        <v>555406</v>
      </c>
      <c r="J31" s="118"/>
      <c r="K31" s="203"/>
      <c r="L31" s="73"/>
      <c r="M31" s="73"/>
      <c r="N31" s="90"/>
    </row>
    <row r="32" spans="2:14" ht="15.75" x14ac:dyDescent="0.25">
      <c r="B32" s="30"/>
      <c r="C32" s="39" t="s">
        <v>53</v>
      </c>
      <c r="D32" s="40">
        <f>(567000+63328)*10%</f>
        <v>63032.800000000003</v>
      </c>
      <c r="E32" s="40">
        <v>82797</v>
      </c>
      <c r="F32" s="41">
        <v>13500</v>
      </c>
      <c r="G32" s="42"/>
      <c r="H32" s="107">
        <v>3000</v>
      </c>
      <c r="I32" s="29">
        <v>13570</v>
      </c>
      <c r="J32" s="31"/>
      <c r="K32" s="209"/>
      <c r="L32" s="73"/>
      <c r="M32" s="73"/>
      <c r="N32" s="90"/>
    </row>
    <row r="33" spans="2:14" ht="16.5" thickBot="1" x14ac:dyDescent="0.3">
      <c r="B33" s="32"/>
      <c r="C33" s="43" t="s">
        <v>54</v>
      </c>
      <c r="D33" s="44">
        <f>((567000+63328)*10%)-4000</f>
        <v>59032.800000000003</v>
      </c>
      <c r="E33" s="44">
        <v>13830</v>
      </c>
      <c r="F33" s="33">
        <f>(5532/12)*9</f>
        <v>4149</v>
      </c>
      <c r="G33" s="45"/>
      <c r="H33" s="108">
        <v>3000</v>
      </c>
      <c r="I33" s="29">
        <v>18172</v>
      </c>
      <c r="J33" s="34"/>
      <c r="K33" s="209"/>
      <c r="L33" s="73"/>
      <c r="M33" s="73"/>
      <c r="N33" s="90"/>
    </row>
    <row r="34" spans="2:14" ht="67.5" customHeight="1" thickBot="1" x14ac:dyDescent="0.3">
      <c r="B34" s="46" t="s">
        <v>55</v>
      </c>
      <c r="C34" s="47" t="s">
        <v>56</v>
      </c>
      <c r="D34" s="35">
        <f>D35+D36</f>
        <v>94628.6</v>
      </c>
      <c r="E34" s="35">
        <f>E35+E36</f>
        <v>84345</v>
      </c>
      <c r="F34" s="36">
        <f>SUM(F35:F36)</f>
        <v>28100</v>
      </c>
      <c r="G34" s="35">
        <f>F34*0.3</f>
        <v>8430</v>
      </c>
      <c r="H34" s="35">
        <f>H35+H36</f>
        <v>40000</v>
      </c>
      <c r="I34" s="48">
        <f>SUM(I35:I36)</f>
        <v>471122</v>
      </c>
      <c r="J34" s="49"/>
      <c r="K34" s="209"/>
      <c r="L34" s="73"/>
      <c r="M34" s="73"/>
      <c r="N34" s="90"/>
    </row>
    <row r="35" spans="2:14" ht="15.75" x14ac:dyDescent="0.25">
      <c r="B35" s="30"/>
      <c r="C35" s="38" t="s">
        <v>57</v>
      </c>
      <c r="D35" s="101">
        <f>9000+1005.2</f>
        <v>10005.200000000001</v>
      </c>
      <c r="E35" s="104">
        <f>14000+3750+9000+8000</f>
        <v>34750</v>
      </c>
      <c r="F35" s="105">
        <v>8000</v>
      </c>
      <c r="G35" s="50"/>
      <c r="H35" s="102">
        <v>10000</v>
      </c>
      <c r="I35" s="29">
        <v>29421</v>
      </c>
      <c r="J35" s="31"/>
      <c r="K35" s="209"/>
      <c r="L35" s="73"/>
      <c r="M35" s="73"/>
      <c r="N35" s="90"/>
    </row>
    <row r="36" spans="2:14" ht="16.5" thickBot="1" x14ac:dyDescent="0.3">
      <c r="B36" s="32"/>
      <c r="C36" s="51" t="s">
        <v>58</v>
      </c>
      <c r="D36" s="103">
        <f>27000+3015.6+49121.5+5486.3</f>
        <v>84623.400000000009</v>
      </c>
      <c r="E36" s="100">
        <v>49595</v>
      </c>
      <c r="F36" s="33">
        <f>1675*12</f>
        <v>20100</v>
      </c>
      <c r="G36" s="45"/>
      <c r="H36" s="99">
        <v>30000</v>
      </c>
      <c r="I36" s="29">
        <v>441701</v>
      </c>
      <c r="J36" s="52"/>
      <c r="K36" s="210"/>
      <c r="L36" s="73"/>
      <c r="M36" s="73"/>
      <c r="N36" s="90"/>
    </row>
    <row r="37" spans="2:14" ht="16.5" thickBot="1" x14ac:dyDescent="0.3">
      <c r="B37" s="53"/>
      <c r="C37" s="98" t="s">
        <v>59</v>
      </c>
      <c r="D37" s="54">
        <f>D34+D29+D27+D24+D17+D14+D9</f>
        <v>935065.8</v>
      </c>
      <c r="E37" s="54">
        <f>E34+E29+E27+E24+E17+E14+E9</f>
        <v>1213747</v>
      </c>
      <c r="F37" s="54">
        <f>F34+F29+F27+F24+F17+F14+F9</f>
        <v>444625</v>
      </c>
      <c r="G37" s="54">
        <f>F37*0.3</f>
        <v>133387.5</v>
      </c>
      <c r="H37" s="54">
        <f>H34+H29+H27+H24+H17+H14+H9</f>
        <v>209999</v>
      </c>
      <c r="I37" s="55">
        <f>I34+I29+I27+I24+I17+I14+I9</f>
        <v>2487597</v>
      </c>
      <c r="J37" s="56"/>
      <c r="K37" s="211"/>
      <c r="L37" s="73"/>
      <c r="M37" s="73"/>
      <c r="N37" s="90"/>
    </row>
    <row r="38" spans="2:14" ht="15.75" x14ac:dyDescent="0.25">
      <c r="B38" s="57"/>
      <c r="C38" s="58" t="s">
        <v>60</v>
      </c>
      <c r="D38" s="63">
        <f>+D37</f>
        <v>935065.8</v>
      </c>
      <c r="E38" s="59">
        <f>E37-223878</f>
        <v>989869</v>
      </c>
      <c r="F38" s="59">
        <f>F37</f>
        <v>444625</v>
      </c>
      <c r="G38" s="60"/>
      <c r="H38" s="109">
        <f>+H37</f>
        <v>209999</v>
      </c>
      <c r="I38" s="59">
        <f>I37</f>
        <v>2487597</v>
      </c>
      <c r="J38" s="57"/>
      <c r="K38" s="202"/>
      <c r="L38" s="73"/>
      <c r="M38" s="73"/>
      <c r="N38" s="90"/>
    </row>
    <row r="39" spans="2:14" ht="16.5" thickBot="1" x14ac:dyDescent="0.3">
      <c r="B39" s="61"/>
      <c r="C39" s="62" t="s">
        <v>61</v>
      </c>
      <c r="D39" s="63">
        <f>+D38*0.07</f>
        <v>65454.606000000007</v>
      </c>
      <c r="E39" s="63">
        <f>E38*0.07</f>
        <v>69290.83</v>
      </c>
      <c r="F39" s="63">
        <f>F38*0.07</f>
        <v>31123.750000000004</v>
      </c>
      <c r="G39" s="64"/>
      <c r="H39" s="109">
        <f>+H38*0.07</f>
        <v>14699.930000000002</v>
      </c>
      <c r="I39" s="63">
        <v>34871</v>
      </c>
      <c r="J39" s="65"/>
      <c r="K39" s="211"/>
      <c r="L39" s="73"/>
      <c r="M39" s="73"/>
      <c r="N39" s="90"/>
    </row>
    <row r="40" spans="2:14" ht="33" customHeight="1" thickBot="1" x14ac:dyDescent="0.3">
      <c r="B40" s="66"/>
      <c r="C40" s="67" t="s">
        <v>62</v>
      </c>
      <c r="D40" s="68">
        <f>D38+D39</f>
        <v>1000520.4060000001</v>
      </c>
      <c r="E40" s="68">
        <f>E38+E39</f>
        <v>1059159.83</v>
      </c>
      <c r="F40" s="68">
        <f>F38+F39</f>
        <v>475748.75</v>
      </c>
      <c r="G40" s="68">
        <f>F40*0.3</f>
        <v>142724.625</v>
      </c>
      <c r="H40" s="68">
        <f>H38+H39</f>
        <v>224698.93</v>
      </c>
      <c r="I40" s="68">
        <f>I38+I39</f>
        <v>2522468</v>
      </c>
      <c r="J40" s="66" t="s">
        <v>84</v>
      </c>
      <c r="K40" s="211"/>
      <c r="L40" s="73"/>
      <c r="M40" s="73"/>
      <c r="N40" s="90"/>
    </row>
    <row r="41" spans="2:14" x14ac:dyDescent="0.25">
      <c r="C41" s="73"/>
      <c r="D41" s="73"/>
      <c r="E41" s="88"/>
      <c r="F41" s="69"/>
      <c r="I41" s="70"/>
      <c r="J41" s="73"/>
      <c r="K41" s="212"/>
    </row>
    <row r="42" spans="2:14" x14ac:dyDescent="0.25">
      <c r="F42" s="70"/>
      <c r="G42" s="71"/>
      <c r="H42" s="73"/>
      <c r="I42" s="72"/>
      <c r="J42" s="73"/>
      <c r="K42" s="212"/>
    </row>
    <row r="43" spans="2:14" x14ac:dyDescent="0.25">
      <c r="D43" s="73"/>
      <c r="F43" s="73"/>
    </row>
    <row r="44" spans="2:14" x14ac:dyDescent="0.25">
      <c r="I44" s="70"/>
    </row>
  </sheetData>
  <mergeCells count="4">
    <mergeCell ref="B8:J8"/>
    <mergeCell ref="B9:C9"/>
    <mergeCell ref="B23:J23"/>
    <mergeCell ref="B24:C24"/>
  </mergeCells>
  <phoneticPr fontId="2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CB960-E9D3-48EB-867D-FFFF9C13C8BF}">
  <dimension ref="A1:J24"/>
  <sheetViews>
    <sheetView zoomScale="82" zoomScaleNormal="82" workbookViewId="0">
      <selection activeCell="H15" sqref="H15"/>
    </sheetView>
  </sheetViews>
  <sheetFormatPr baseColWidth="10" defaultColWidth="9.140625" defaultRowHeight="15" x14ac:dyDescent="0.25"/>
  <cols>
    <col min="1" max="1" width="53.85546875" customWidth="1"/>
    <col min="2" max="5" width="14.42578125" customWidth="1"/>
    <col min="6" max="6" width="15" customWidth="1"/>
    <col min="7" max="7" width="12.42578125" customWidth="1"/>
    <col min="8" max="9" width="16.7109375" customWidth="1"/>
    <col min="10" max="10" width="33.28515625" customWidth="1"/>
  </cols>
  <sheetData>
    <row r="1" spans="1:10" x14ac:dyDescent="0.25">
      <c r="A1" s="74" t="s">
        <v>63</v>
      </c>
      <c r="B1" s="75"/>
      <c r="C1" s="75"/>
      <c r="D1" s="75"/>
      <c r="E1" s="75"/>
      <c r="F1" s="75"/>
      <c r="G1" s="76"/>
    </row>
    <row r="2" spans="1:10" x14ac:dyDescent="0.25">
      <c r="A2" s="77" t="s">
        <v>64</v>
      </c>
      <c r="G2" s="78"/>
    </row>
    <row r="3" spans="1:10" x14ac:dyDescent="0.25">
      <c r="A3" s="79"/>
      <c r="D3" s="235"/>
      <c r="E3" s="235"/>
      <c r="G3" s="78"/>
    </row>
    <row r="4" spans="1:10" ht="54" customHeight="1" x14ac:dyDescent="0.25">
      <c r="A4" s="238" t="s">
        <v>65</v>
      </c>
      <c r="B4" s="240" t="s">
        <v>85</v>
      </c>
      <c r="C4" s="241"/>
      <c r="D4" s="241"/>
      <c r="E4" s="241"/>
      <c r="F4" s="242"/>
      <c r="G4" s="236" t="s">
        <v>89</v>
      </c>
      <c r="H4" s="243" t="s">
        <v>90</v>
      </c>
      <c r="I4" s="231" t="s">
        <v>81</v>
      </c>
      <c r="J4" s="233" t="s">
        <v>82</v>
      </c>
    </row>
    <row r="5" spans="1:10" ht="54" customHeight="1" x14ac:dyDescent="0.25">
      <c r="A5" s="239"/>
      <c r="B5" s="82" t="s">
        <v>66</v>
      </c>
      <c r="C5" s="82" t="s">
        <v>67</v>
      </c>
      <c r="D5" s="82" t="s">
        <v>68</v>
      </c>
      <c r="E5" s="82" t="s">
        <v>69</v>
      </c>
      <c r="F5" s="214" t="s">
        <v>70</v>
      </c>
      <c r="G5" s="237"/>
      <c r="H5" s="243"/>
      <c r="I5" s="232"/>
      <c r="J5" s="234"/>
    </row>
    <row r="6" spans="1:10" x14ac:dyDescent="0.25">
      <c r="A6" s="81" t="s">
        <v>71</v>
      </c>
      <c r="B6" s="83">
        <v>567000</v>
      </c>
      <c r="C6" s="83">
        <v>63328</v>
      </c>
      <c r="D6" s="83">
        <v>479166.8</v>
      </c>
      <c r="E6" s="83">
        <v>205357.2</v>
      </c>
      <c r="F6" s="215">
        <v>245025</v>
      </c>
      <c r="G6" s="219">
        <f>+B6+C6+D6+E6+F6</f>
        <v>1559877</v>
      </c>
      <c r="H6" s="89">
        <v>1620679</v>
      </c>
      <c r="I6" s="218">
        <f>+H6/G6</f>
        <v>1.0389787143473492</v>
      </c>
      <c r="J6" s="1"/>
    </row>
    <row r="7" spans="1:10" x14ac:dyDescent="0.25">
      <c r="A7" s="81" t="s">
        <v>72</v>
      </c>
      <c r="B7" s="83">
        <v>9000</v>
      </c>
      <c r="C7" s="83">
        <v>1005.2</v>
      </c>
      <c r="D7" s="83">
        <v>5600</v>
      </c>
      <c r="E7" s="83">
        <v>2400</v>
      </c>
      <c r="F7" s="215">
        <v>8000</v>
      </c>
      <c r="G7" s="219">
        <f t="shared" ref="G7:G14" si="0">+B7+C7+D7+E7+F7</f>
        <v>26005.200000000001</v>
      </c>
      <c r="H7" s="213">
        <v>19152</v>
      </c>
      <c r="I7" s="218">
        <f>+H7/G7</f>
        <v>0.73646809099718513</v>
      </c>
      <c r="J7" s="1"/>
    </row>
    <row r="8" spans="1:10" ht="30" x14ac:dyDescent="0.25">
      <c r="A8" s="84" t="s">
        <v>73</v>
      </c>
      <c r="B8" s="83">
        <v>27000</v>
      </c>
      <c r="C8" s="83">
        <v>3015.6</v>
      </c>
      <c r="D8" s="83">
        <v>18725</v>
      </c>
      <c r="E8" s="83">
        <v>8025</v>
      </c>
      <c r="F8" s="215">
        <v>22671.3</v>
      </c>
      <c r="G8" s="219">
        <f t="shared" si="0"/>
        <v>79436.899999999994</v>
      </c>
      <c r="H8" s="213">
        <v>49253</v>
      </c>
      <c r="I8" s="218">
        <f>+H8/G8</f>
        <v>0.62002671302631396</v>
      </c>
      <c r="J8" s="1"/>
    </row>
    <row r="9" spans="1:10" x14ac:dyDescent="0.25">
      <c r="A9" s="81" t="s">
        <v>74</v>
      </c>
      <c r="B9" s="83">
        <v>135000</v>
      </c>
      <c r="C9" s="83">
        <v>15078</v>
      </c>
      <c r="D9" s="83">
        <v>108500</v>
      </c>
      <c r="E9" s="83">
        <v>46500</v>
      </c>
      <c r="F9" s="215">
        <f>5000+35000+40000+35000+3500</f>
        <v>118500</v>
      </c>
      <c r="G9" s="219">
        <f t="shared" si="0"/>
        <v>423578</v>
      </c>
      <c r="H9" s="213">
        <v>325279</v>
      </c>
      <c r="I9" s="218">
        <f>+H9/G9</f>
        <v>0.76793176227282811</v>
      </c>
      <c r="J9" s="1"/>
    </row>
    <row r="10" spans="1:10" x14ac:dyDescent="0.25">
      <c r="A10" s="81" t="s">
        <v>75</v>
      </c>
      <c r="B10" s="83">
        <v>54000</v>
      </c>
      <c r="C10" s="83">
        <v>6031.2</v>
      </c>
      <c r="D10" s="83">
        <v>46200</v>
      </c>
      <c r="E10" s="83">
        <v>19800</v>
      </c>
      <c r="F10" s="215">
        <v>30329</v>
      </c>
      <c r="G10" s="219">
        <f t="shared" si="0"/>
        <v>156360.20000000001</v>
      </c>
      <c r="H10" s="213">
        <v>84215</v>
      </c>
      <c r="I10" s="218">
        <f>+H10/G10</f>
        <v>0.53859613891514591</v>
      </c>
      <c r="J10" s="1"/>
    </row>
    <row r="11" spans="1:10" x14ac:dyDescent="0.25">
      <c r="A11" s="81" t="s">
        <v>76</v>
      </c>
      <c r="B11" s="83"/>
      <c r="C11" s="83"/>
      <c r="D11" s="83"/>
      <c r="E11" s="83"/>
      <c r="F11" s="215">
        <v>0</v>
      </c>
      <c r="G11" s="219">
        <f t="shared" si="0"/>
        <v>0</v>
      </c>
      <c r="H11" s="213"/>
      <c r="I11" s="218">
        <v>0</v>
      </c>
      <c r="J11" s="1"/>
    </row>
    <row r="12" spans="1:10" ht="90" customHeight="1" x14ac:dyDescent="0.25">
      <c r="A12" s="81" t="s">
        <v>77</v>
      </c>
      <c r="B12" s="83">
        <v>49121.5</v>
      </c>
      <c r="C12" s="83">
        <v>5486.3</v>
      </c>
      <c r="D12" s="83">
        <v>34716.5</v>
      </c>
      <c r="E12" s="83">
        <v>14878.5</v>
      </c>
      <c r="F12" s="215">
        <v>20100</v>
      </c>
      <c r="G12" s="219">
        <f t="shared" si="0"/>
        <v>124302.8</v>
      </c>
      <c r="H12" s="213">
        <v>391398</v>
      </c>
      <c r="I12" s="218">
        <f>+H12/G12</f>
        <v>3.1487464481894212</v>
      </c>
      <c r="J12" s="4" t="s">
        <v>83</v>
      </c>
    </row>
    <row r="13" spans="1:10" s="3" customFormat="1" x14ac:dyDescent="0.25">
      <c r="A13" s="80" t="s">
        <v>78</v>
      </c>
      <c r="B13" s="85">
        <f>SUM(B6:B12)</f>
        <v>841121.5</v>
      </c>
      <c r="C13" s="85">
        <f>SUM(C6:C12)</f>
        <v>93944.3</v>
      </c>
      <c r="D13" s="91">
        <f t="shared" ref="D13:E13" si="1">SUM(D6:D12)</f>
        <v>692908.3</v>
      </c>
      <c r="E13" s="91">
        <f t="shared" si="1"/>
        <v>296960.7</v>
      </c>
      <c r="F13" s="215">
        <f>SUM(F6:F12)</f>
        <v>444625.3</v>
      </c>
      <c r="G13" s="96">
        <f>SUM(G6:G12)</f>
        <v>2369560.0999999996</v>
      </c>
      <c r="H13" s="220"/>
      <c r="I13" s="218">
        <f>+H13/G13</f>
        <v>0</v>
      </c>
      <c r="J13" s="2"/>
    </row>
    <row r="14" spans="1:10" x14ac:dyDescent="0.25">
      <c r="A14" s="81" t="s">
        <v>79</v>
      </c>
      <c r="B14" s="83">
        <f>+B13*0.07</f>
        <v>58878.505000000005</v>
      </c>
      <c r="C14" s="83">
        <f>+C13*0.07</f>
        <v>6576.1010000000006</v>
      </c>
      <c r="D14" s="83">
        <f>D13*0.07</f>
        <v>48503.581000000006</v>
      </c>
      <c r="E14" s="83">
        <f>E13*0.07</f>
        <v>20787.249000000003</v>
      </c>
      <c r="F14" s="216">
        <f>F13*0.07</f>
        <v>31123.771000000001</v>
      </c>
      <c r="G14" s="219">
        <f t="shared" si="0"/>
        <v>165869.20700000002</v>
      </c>
      <c r="H14" s="213">
        <v>32492</v>
      </c>
      <c r="I14" s="218">
        <f>+H14/G14</f>
        <v>0.19588928281305398</v>
      </c>
      <c r="J14" s="1"/>
    </row>
    <row r="15" spans="1:10" s="3" customFormat="1" ht="15.75" thickBot="1" x14ac:dyDescent="0.3">
      <c r="A15" s="92" t="s">
        <v>80</v>
      </c>
      <c r="B15" s="93">
        <f>+B13+B14</f>
        <v>900000.005</v>
      </c>
      <c r="C15" s="93">
        <f>+C13+C14</f>
        <v>100520.401</v>
      </c>
      <c r="D15" s="93">
        <f>D13+D14</f>
        <v>741411.88100000005</v>
      </c>
      <c r="E15" s="93">
        <f>E13+E14</f>
        <v>317747.94900000002</v>
      </c>
      <c r="F15" s="217">
        <f>F13+F14</f>
        <v>475749.071</v>
      </c>
      <c r="G15" s="93">
        <f>SUM(G13:G14)</f>
        <v>2535429.3069999996</v>
      </c>
      <c r="H15" s="93">
        <f>SUM(H6:H14)</f>
        <v>2522468</v>
      </c>
      <c r="I15" s="218">
        <f>+H15/G15</f>
        <v>0.99488792412227189</v>
      </c>
      <c r="J15" s="2"/>
    </row>
    <row r="16" spans="1:10" x14ac:dyDescent="0.25">
      <c r="B16" s="94"/>
      <c r="C16" s="94"/>
      <c r="G16" s="95"/>
      <c r="H16" s="73"/>
    </row>
    <row r="17" spans="1:8" ht="18.75" x14ac:dyDescent="0.3">
      <c r="A17" s="86"/>
      <c r="B17" s="94"/>
      <c r="C17" s="94"/>
      <c r="D17" s="90"/>
      <c r="E17" s="90"/>
      <c r="F17" s="90"/>
      <c r="G17" s="87"/>
      <c r="H17" s="73"/>
    </row>
    <row r="18" spans="1:8" x14ac:dyDescent="0.25">
      <c r="B18" s="94"/>
      <c r="C18" s="94"/>
      <c r="D18" s="90"/>
      <c r="E18" s="90"/>
    </row>
    <row r="19" spans="1:8" x14ac:dyDescent="0.25">
      <c r="C19" s="94"/>
      <c r="D19" s="90"/>
      <c r="E19" s="90"/>
      <c r="H19" s="73"/>
    </row>
    <row r="20" spans="1:8" x14ac:dyDescent="0.25">
      <c r="C20" s="94"/>
      <c r="D20" s="90"/>
      <c r="E20" s="90"/>
    </row>
    <row r="21" spans="1:8" x14ac:dyDescent="0.25">
      <c r="C21" s="94"/>
      <c r="D21" s="90"/>
      <c r="E21" s="90"/>
    </row>
    <row r="23" spans="1:8" x14ac:dyDescent="0.25">
      <c r="C23" s="94"/>
      <c r="D23" s="90"/>
      <c r="E23" s="90"/>
    </row>
    <row r="24" spans="1:8" x14ac:dyDescent="0.25">
      <c r="C24" s="94"/>
      <c r="D24" s="90"/>
      <c r="E24" s="90"/>
    </row>
  </sheetData>
  <mergeCells count="7">
    <mergeCell ref="I4:I5"/>
    <mergeCell ref="J4:J5"/>
    <mergeCell ref="D3:E3"/>
    <mergeCell ref="G4:G5"/>
    <mergeCell ref="A4:A5"/>
    <mergeCell ref="B4:F4"/>
    <mergeCell ref="H4:H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MPTF_00006_00331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2AFB357-046B-4868-83D4-76AA1955078B}"/>
</file>

<file path=customXml/itemProps2.xml><?xml version="1.0" encoding="utf-8"?>
<ds:datastoreItem xmlns:ds="http://schemas.openxmlformats.org/officeDocument/2006/customXml" ds:itemID="{DDB27712-4FF8-4AA0-AD83-324ECB7BA71A}"/>
</file>

<file path=customXml/itemProps3.xml><?xml version="1.0" encoding="utf-8"?>
<ds:datastoreItem xmlns:ds="http://schemas.openxmlformats.org/officeDocument/2006/customXml" ds:itemID="{28694D79-8DC2-4A8A-BB74-E5C7889BAE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TOT</vt:lpstr>
      <vt:lpstr>B PAR CATEGORIE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Burundi_00092133_Financial Report_nov22.xlsx</dc:title>
  <dc:creator>Rosine</dc:creator>
  <cp:lastModifiedBy>Suzanne Kanyange</cp:lastModifiedBy>
  <cp:lastPrinted>2022-01-26T13:06:42Z</cp:lastPrinted>
  <dcterms:created xsi:type="dcterms:W3CDTF">2022-01-13T10:26:34Z</dcterms:created>
  <dcterms:modified xsi:type="dcterms:W3CDTF">2022-11-15T15:33:03Z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