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undp-my.sharepoint.com/personal/hiroko_konno_undp_org/Documents/PBF Crossborder Rwanda/Report/2022 Annual report/Financial report/"/>
    </mc:Choice>
  </mc:AlternateContent>
  <xr:revisionPtr revIDLastSave="78" documentId="8_{271B5C40-188B-445F-B174-1E339EB66888}" xr6:coauthVersionLast="47" xr6:coauthVersionMax="47" xr10:uidLastSave="{4498CC9D-937D-4396-A863-89B2C6EFB176}"/>
  <bookViews>
    <workbookView xWindow="-110" yWindow="-110" windowWidth="19420" windowHeight="10420" xr2:uid="{00000000-000D-0000-FFFF-FFFF00000000}"/>
  </bookViews>
  <sheets>
    <sheet name="Expenditure by Output" sheetId="1" r:id="rId1"/>
    <sheet name="Expenditure by Category" sheetId="2" r:id="rId2"/>
    <sheet name="Sheet1"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2" l="1"/>
  <c r="B21" i="2"/>
  <c r="B20" i="2"/>
  <c r="D23" i="2"/>
  <c r="D22" i="2"/>
  <c r="D21" i="2"/>
  <c r="S102" i="1" l="1"/>
  <c r="S101" i="1"/>
  <c r="L107" i="1"/>
  <c r="L108" i="1"/>
  <c r="L109" i="1"/>
  <c r="L110" i="1"/>
  <c r="L111" i="1"/>
  <c r="L112" i="1"/>
  <c r="L113" i="1"/>
  <c r="L114" i="1"/>
  <c r="L115" i="1"/>
  <c r="L106" i="1"/>
  <c r="L116" i="1" s="1"/>
  <c r="K110" i="1"/>
  <c r="K111" i="1"/>
  <c r="O100" i="1" l="1"/>
  <c r="O91" i="1"/>
  <c r="O90" i="1"/>
  <c r="F14" i="2" l="1"/>
  <c r="F13" i="2"/>
  <c r="F12" i="2"/>
  <c r="F8" i="2"/>
  <c r="E100" i="1" l="1"/>
  <c r="K107" i="1" l="1"/>
  <c r="K109" i="1"/>
  <c r="K113" i="1"/>
  <c r="P17" i="2"/>
  <c r="I23" i="1" l="1"/>
  <c r="K14" i="2"/>
  <c r="I22" i="1"/>
  <c r="O17" i="3"/>
  <c r="Q16" i="3"/>
  <c r="I16" i="3"/>
  <c r="R16" i="3" s="1"/>
  <c r="S16" i="3" s="1"/>
  <c r="D16" i="3"/>
  <c r="C16" i="3"/>
  <c r="O15" i="3"/>
  <c r="N15" i="3"/>
  <c r="M15" i="3"/>
  <c r="M17" i="3" s="1"/>
  <c r="L15" i="3"/>
  <c r="L16" i="3" s="1"/>
  <c r="L17" i="3" s="1"/>
  <c r="K15" i="3"/>
  <c r="K17" i="3" s="1"/>
  <c r="I15" i="3"/>
  <c r="I17" i="3" s="1"/>
  <c r="E20" i="3" s="1"/>
  <c r="H15" i="3"/>
  <c r="H16" i="3" s="1"/>
  <c r="H17" i="3" s="1"/>
  <c r="E15" i="3"/>
  <c r="E17" i="3" s="1"/>
  <c r="Q14" i="3"/>
  <c r="R14" i="3" s="1"/>
  <c r="S14" i="3" s="1"/>
  <c r="P14" i="3"/>
  <c r="J14" i="3"/>
  <c r="F14" i="3"/>
  <c r="D14" i="3"/>
  <c r="C14" i="3"/>
  <c r="R13" i="3"/>
  <c r="S13" i="3" s="1"/>
  <c r="P13" i="3"/>
  <c r="J13" i="3"/>
  <c r="F13" i="3"/>
  <c r="D13" i="3"/>
  <c r="C13" i="3"/>
  <c r="Q12" i="3"/>
  <c r="P12" i="3"/>
  <c r="J12" i="3"/>
  <c r="G12" i="3"/>
  <c r="R12" i="3" s="1"/>
  <c r="S12" i="3" s="1"/>
  <c r="F12" i="3"/>
  <c r="D12" i="3"/>
  <c r="C12" i="3"/>
  <c r="Q11" i="3"/>
  <c r="R11" i="3" s="1"/>
  <c r="S11" i="3" s="1"/>
  <c r="P11" i="3"/>
  <c r="J11" i="3"/>
  <c r="F11" i="3"/>
  <c r="D11" i="3"/>
  <c r="C11" i="3"/>
  <c r="R10" i="3"/>
  <c r="S10" i="3" s="1"/>
  <c r="P10" i="3"/>
  <c r="J10" i="3"/>
  <c r="F10" i="3"/>
  <c r="D10" i="3"/>
  <c r="C10" i="3"/>
  <c r="Q9" i="3"/>
  <c r="R9" i="3" s="1"/>
  <c r="S9" i="3" s="1"/>
  <c r="P9" i="3"/>
  <c r="J9" i="3"/>
  <c r="F9" i="3"/>
  <c r="D9" i="3"/>
  <c r="C9" i="3"/>
  <c r="Q8" i="3"/>
  <c r="R8" i="3" s="1"/>
  <c r="P8" i="3"/>
  <c r="P15" i="3" s="1"/>
  <c r="J8" i="3"/>
  <c r="J15" i="3" s="1"/>
  <c r="F8" i="3"/>
  <c r="F15" i="3" s="1"/>
  <c r="D8" i="3"/>
  <c r="D15" i="3" s="1"/>
  <c r="D17" i="3" s="1"/>
  <c r="C8" i="3"/>
  <c r="C15" i="3" s="1"/>
  <c r="C17" i="3" s="1"/>
  <c r="K90" i="1"/>
  <c r="K92" i="1"/>
  <c r="N17" i="3" l="1"/>
  <c r="E21" i="3"/>
  <c r="F17" i="3"/>
  <c r="F16" i="3"/>
  <c r="P16" i="3"/>
  <c r="P17" i="3"/>
  <c r="J16" i="3"/>
  <c r="J17" i="3"/>
  <c r="S8" i="3"/>
  <c r="R15" i="3"/>
  <c r="G15" i="3"/>
  <c r="G17" i="3" s="1"/>
  <c r="E19" i="3" s="1"/>
  <c r="E22" i="3" s="1"/>
  <c r="Q15" i="3"/>
  <c r="Q17" i="3" s="1"/>
  <c r="N16" i="3"/>
  <c r="K100" i="1"/>
  <c r="K17" i="1"/>
  <c r="K16" i="1" s="1"/>
  <c r="G15" i="2"/>
  <c r="E10" i="1"/>
  <c r="S15" i="3" l="1"/>
  <c r="R17" i="3"/>
  <c r="S17" i="3" s="1"/>
  <c r="S94" i="1" l="1"/>
  <c r="S19" i="1"/>
  <c r="S26" i="1"/>
  <c r="S23" i="1"/>
  <c r="S22" i="1"/>
  <c r="S21" i="1"/>
  <c r="S29" i="1" l="1"/>
  <c r="S99" i="1" s="1"/>
  <c r="J9" i="1"/>
  <c r="G29" i="1" l="1"/>
  <c r="P13" i="2" l="1"/>
  <c r="F11" i="2"/>
  <c r="F10" i="2"/>
  <c r="F9" i="2"/>
  <c r="D9" i="2" l="1"/>
  <c r="D10" i="2"/>
  <c r="D11" i="2"/>
  <c r="D12" i="2"/>
  <c r="D13" i="2"/>
  <c r="D14" i="2"/>
  <c r="C9" i="2"/>
  <c r="C10" i="2"/>
  <c r="C11" i="2"/>
  <c r="C12" i="2"/>
  <c r="C13" i="2"/>
  <c r="C14" i="2"/>
  <c r="G17" i="2" l="1"/>
  <c r="R14" i="2"/>
  <c r="R13" i="2"/>
  <c r="R12" i="2"/>
  <c r="R11" i="2"/>
  <c r="R10" i="2"/>
  <c r="R9" i="2"/>
  <c r="R8" i="2"/>
  <c r="Q91" i="1"/>
  <c r="Q92" i="1"/>
  <c r="Q93" i="1"/>
  <c r="Q90" i="1"/>
  <c r="P91" i="1"/>
  <c r="P92" i="1"/>
  <c r="P93" i="1"/>
  <c r="P90" i="1"/>
  <c r="Q22" i="1"/>
  <c r="Q23" i="1"/>
  <c r="Q24" i="1"/>
  <c r="Q25" i="1"/>
  <c r="Q26" i="1"/>
  <c r="Q27" i="1"/>
  <c r="Q28" i="1"/>
  <c r="Q21" i="1"/>
  <c r="P22" i="1"/>
  <c r="P23" i="1"/>
  <c r="P24" i="1"/>
  <c r="P25" i="1"/>
  <c r="P26" i="1"/>
  <c r="P27" i="1"/>
  <c r="P28" i="1"/>
  <c r="P21" i="1"/>
  <c r="Q10" i="1"/>
  <c r="Q11" i="1"/>
  <c r="Q12" i="1"/>
  <c r="Q13" i="1"/>
  <c r="Q14" i="1"/>
  <c r="Q15" i="1"/>
  <c r="Q16" i="1"/>
  <c r="Q17" i="1"/>
  <c r="Q18" i="1"/>
  <c r="Q9" i="1"/>
  <c r="P10" i="1"/>
  <c r="P11" i="1"/>
  <c r="P12" i="1"/>
  <c r="P13" i="1"/>
  <c r="P14" i="1"/>
  <c r="P15" i="1"/>
  <c r="P16" i="1"/>
  <c r="P17" i="1"/>
  <c r="P18" i="1"/>
  <c r="P9" i="1"/>
  <c r="K15" i="2"/>
  <c r="K17" i="2" s="1"/>
  <c r="J15" i="2"/>
  <c r="I15" i="2"/>
  <c r="H15" i="2"/>
  <c r="H16" i="2" s="1"/>
  <c r="H17" i="2" s="1"/>
  <c r="F15" i="2"/>
  <c r="F16" i="2" s="1"/>
  <c r="F17" i="2" s="1"/>
  <c r="H98" i="1"/>
  <c r="F98" i="1"/>
  <c r="D98" i="1"/>
  <c r="I94" i="1"/>
  <c r="H94" i="1"/>
  <c r="G94" i="1"/>
  <c r="F94" i="1"/>
  <c r="E94" i="1"/>
  <c r="D94" i="1"/>
  <c r="I29" i="1"/>
  <c r="H29" i="1"/>
  <c r="F29" i="1"/>
  <c r="E29" i="1"/>
  <c r="D29" i="1"/>
  <c r="I19" i="1"/>
  <c r="H19" i="1"/>
  <c r="G19" i="1"/>
  <c r="F19" i="1"/>
  <c r="E19" i="1"/>
  <c r="D19" i="1"/>
  <c r="P29" i="1" l="1"/>
  <c r="I99" i="1"/>
  <c r="I101" i="1" s="1"/>
  <c r="D99" i="1"/>
  <c r="D100" i="1" s="1"/>
  <c r="E99" i="1"/>
  <c r="E101" i="1" s="1"/>
  <c r="G99" i="1"/>
  <c r="G101" i="1" s="1"/>
  <c r="F99" i="1"/>
  <c r="Q19" i="1"/>
  <c r="Q94" i="1"/>
  <c r="Q29" i="1"/>
  <c r="R15" i="2"/>
  <c r="D8" i="2"/>
  <c r="D15" i="2" s="1"/>
  <c r="C8" i="2"/>
  <c r="C15" i="2" s="1"/>
  <c r="J17" i="2"/>
  <c r="E15" i="2"/>
  <c r="H99" i="1"/>
  <c r="Q15" i="2"/>
  <c r="Q17" i="2" s="1"/>
  <c r="E22" i="2" s="1"/>
  <c r="O15" i="2"/>
  <c r="O17" i="2" s="1"/>
  <c r="M15" i="2"/>
  <c r="S10" i="2"/>
  <c r="S11" i="2"/>
  <c r="S14" i="2"/>
  <c r="S8" i="2"/>
  <c r="P15" i="2"/>
  <c r="N15" i="2"/>
  <c r="L15" i="2"/>
  <c r="O94" i="1"/>
  <c r="N94" i="1"/>
  <c r="M94" i="1"/>
  <c r="L94" i="1"/>
  <c r="K94" i="1"/>
  <c r="J94" i="1"/>
  <c r="O29" i="1"/>
  <c r="M29" i="1"/>
  <c r="K29" i="1"/>
  <c r="N29" i="1"/>
  <c r="L29" i="1"/>
  <c r="J29" i="1"/>
  <c r="O19" i="1"/>
  <c r="M19" i="1"/>
  <c r="K19" i="1"/>
  <c r="N19" i="1"/>
  <c r="L19" i="1"/>
  <c r="J19" i="1"/>
  <c r="N98" i="1"/>
  <c r="L98" i="1"/>
  <c r="J98" i="1"/>
  <c r="M17" i="2" l="1"/>
  <c r="E20" i="2" s="1"/>
  <c r="R16" i="2"/>
  <c r="R17" i="2" s="1"/>
  <c r="J99" i="1"/>
  <c r="J100" i="1" s="1"/>
  <c r="J101" i="1" s="1"/>
  <c r="H100" i="1"/>
  <c r="H101" i="1" s="1"/>
  <c r="I102" i="1" s="1"/>
  <c r="F100" i="1"/>
  <c r="F101" i="1" s="1"/>
  <c r="G102" i="1" s="1"/>
  <c r="I17" i="2"/>
  <c r="E21" i="2" s="1"/>
  <c r="D16" i="2"/>
  <c r="D17" i="2" s="1"/>
  <c r="C16" i="2"/>
  <c r="C17" i="2" s="1"/>
  <c r="D101" i="1"/>
  <c r="E102" i="1" s="1"/>
  <c r="S13" i="2"/>
  <c r="S9" i="2"/>
  <c r="E17" i="2"/>
  <c r="N16" i="2"/>
  <c r="N17" i="2" s="1"/>
  <c r="P19" i="1"/>
  <c r="L99" i="1"/>
  <c r="L100" i="1" s="1"/>
  <c r="O99" i="1"/>
  <c r="O101" i="1" s="1"/>
  <c r="N99" i="1"/>
  <c r="N100" i="1" s="1"/>
  <c r="M99" i="1"/>
  <c r="M101" i="1" s="1"/>
  <c r="P94" i="1"/>
  <c r="L17" i="2"/>
  <c r="D20" i="2" s="1"/>
  <c r="S12" i="2"/>
  <c r="K99" i="1"/>
  <c r="E23" i="2" l="1"/>
  <c r="P99" i="1"/>
  <c r="Q100" i="1"/>
  <c r="N101" i="1"/>
  <c r="O102" i="1" s="1"/>
  <c r="L101" i="1"/>
  <c r="M102" i="1" s="1"/>
  <c r="P100" i="1"/>
  <c r="K101" i="1"/>
  <c r="Q99" i="1"/>
  <c r="S17" i="2"/>
  <c r="S15" i="2"/>
  <c r="S16" i="2"/>
  <c r="K102" i="1" l="1"/>
  <c r="P101" i="1"/>
  <c r="Q101" i="1"/>
  <c r="Q102" i="1" l="1"/>
</calcChain>
</file>

<file path=xl/sharedStrings.xml><?xml version="1.0" encoding="utf-8"?>
<sst xmlns="http://schemas.openxmlformats.org/spreadsheetml/2006/main" count="274" uniqueCount="170">
  <si>
    <t>Produit total</t>
  </si>
  <si>
    <t>Produit 1.3:</t>
  </si>
  <si>
    <t>Activite 1.3.1</t>
  </si>
  <si>
    <t>Activite 1.3.2</t>
  </si>
  <si>
    <t>Activite 1.3.3</t>
  </si>
  <si>
    <t>Produit 1.4:</t>
  </si>
  <si>
    <t>Activite 1.4.1</t>
  </si>
  <si>
    <t>Activite 1.4.2</t>
  </si>
  <si>
    <t>Activite 1.4.3</t>
  </si>
  <si>
    <t>Activite 1.4.4</t>
  </si>
  <si>
    <t xml:space="preserve">RESULTAT 2: </t>
  </si>
  <si>
    <t>Produit 2.1</t>
  </si>
  <si>
    <t>Activite 2.1.1</t>
  </si>
  <si>
    <t>Activite 2.1.2</t>
  </si>
  <si>
    <t>Produit 2.2</t>
  </si>
  <si>
    <t>Activite 2.2.1</t>
  </si>
  <si>
    <t>Activite' 2.2.2</t>
  </si>
  <si>
    <t>Activite 2.2.3</t>
  </si>
  <si>
    <t>Activite 2.2.4</t>
  </si>
  <si>
    <t>Produit 2.3</t>
  </si>
  <si>
    <t>Activite 2.3.1</t>
  </si>
  <si>
    <t>Activite 2.3.2</t>
  </si>
  <si>
    <t>Activite 2.3.3</t>
  </si>
  <si>
    <t>Total reçu</t>
  </si>
  <si>
    <t>Total dépensé</t>
  </si>
  <si>
    <t>Total</t>
  </si>
  <si>
    <t>Activite 1.3.4</t>
  </si>
  <si>
    <t>Activite 1.3.5</t>
  </si>
  <si>
    <t>Activite 1.3.6</t>
  </si>
  <si>
    <t>Activite 1.3.7</t>
  </si>
  <si>
    <t>Activite 2.2.5</t>
  </si>
  <si>
    <t>Activite 2.2.6</t>
  </si>
  <si>
    <t>Activite 2.4.1</t>
  </si>
  <si>
    <t>Activite 2.4.2</t>
  </si>
  <si>
    <t>Activite 2.4.3</t>
  </si>
  <si>
    <t>Activite 2.4.4</t>
  </si>
  <si>
    <t>Activite 2.4.5</t>
  </si>
  <si>
    <t>Activite 2.4.6</t>
  </si>
  <si>
    <t>Activite 2.4.7</t>
  </si>
  <si>
    <t>Produit 2.4</t>
  </si>
  <si>
    <t>Activite 1.4.5</t>
  </si>
  <si>
    <t>Activite 1.4.6</t>
  </si>
  <si>
    <t>Activite 1.4.7</t>
  </si>
  <si>
    <t>Activite 2.1.3</t>
  </si>
  <si>
    <t>Activite 2.1.4</t>
  </si>
  <si>
    <t>Activite 2.1.5</t>
  </si>
  <si>
    <t>Activite 2.1.6</t>
  </si>
  <si>
    <t>Activite 2.1.7</t>
  </si>
  <si>
    <t>Activite 2.2.7</t>
  </si>
  <si>
    <t>Activite 2.3.4</t>
  </si>
  <si>
    <t>Activite 2.3.5</t>
  </si>
  <si>
    <t>Activite 2.3.6</t>
  </si>
  <si>
    <t>Activite 2.3.7</t>
  </si>
  <si>
    <t>CATEGORIES</t>
  </si>
  <si>
    <t>TOTAL</t>
  </si>
  <si>
    <t>Budget PBF par catégorie de coûts</t>
  </si>
  <si>
    <t>Note: Inclure les révisions budgétaires s'il y en a eu</t>
  </si>
  <si>
    <t>FAO DRC</t>
  </si>
  <si>
    <t>UNDP DRC</t>
  </si>
  <si>
    <t>WFP DRC</t>
  </si>
  <si>
    <t>UNDP Rwanda</t>
  </si>
  <si>
    <t>FAO Rwanda</t>
  </si>
  <si>
    <t>WFP Rwanda</t>
  </si>
  <si>
    <t>PBF projet: DRC – Rwanda cross-border project: Creating peace dividends for women and youth through increased cross-border trade and strengthened food security</t>
  </si>
  <si>
    <t>Social cohesion and peace dividends in the Goma – Rubavu border area strengthened through increased cross-border trade, enhanced food security and increased livelihood and income opportunities, particularly for women and youth</t>
  </si>
  <si>
    <t xml:space="preserve">Outcome: </t>
  </si>
  <si>
    <t>Promote cross-border trade to enhance income generating activities, food security and dialogue between border communities with a focus on women and youth entrepreneurs</t>
  </si>
  <si>
    <t>Output 1:</t>
  </si>
  <si>
    <t>Activity 1.1:</t>
  </si>
  <si>
    <t>Activity 1.2:</t>
  </si>
  <si>
    <t>Activity 1.3:</t>
  </si>
  <si>
    <t>Activity 1.4</t>
  </si>
  <si>
    <t>Activity 1.5</t>
  </si>
  <si>
    <t>Activity 1.6</t>
  </si>
  <si>
    <t>Activity 1.7</t>
  </si>
  <si>
    <t>Activity 1.8</t>
  </si>
  <si>
    <t>Activity 1.9</t>
  </si>
  <si>
    <t>Activity 1.10</t>
  </si>
  <si>
    <t>Conduct a multi-stakeholder mapping and gender assessment of cross border trade in Rwanda and in DRC to identify critical issues that may lead to mistrust between communities and border officials and to identify key impediments to cross-border trade, including legal, institutional and harassment concerns. Conduct policy dialogue and advocacy on the outcome of the assessment.</t>
  </si>
  <si>
    <t>Train select cross-border traders, with a focus on young women, and local authorities, particularly police, customs and border officials on Human Rights, Sexual and Gender Based Violence and harassment.</t>
  </si>
  <si>
    <t>Conduct Human Rights and Anti-Harassment awareness campaigns and organize sensitization campaigns to increase awareness on rights and obligations as well as peaceful exchanges for cross-border traders, develop and disseminate behavior change communication materials with messages targeting men and women involved in legal and illegal cross-border trade.</t>
  </si>
  <si>
    <t>Train smallholder farmers, their organizations, and small-scale traders, in commercial negotiation, cross border trade administrative procedures, regulations, gender awareness, business management and access to finance with a focus on women traders and border officials.</t>
  </si>
  <si>
    <t>Conduct an awareness campaign in the border area around existing taxation and border laws and advocate particularly for COMESA rules to be more consistently applied</t>
  </si>
  <si>
    <t>Review and strengthen harassment and corruption reporting mechanisms at the Goma-Rubavu border with a focus on small-scale traders, particularly women, to aid with cases of HR violations, commercial law violations and administrative harassment – building on existing national complaint reporting mechanism. Establish a survey based “client satisfaction barometer” to monitor satisfaction with reporting mechanism.</t>
  </si>
  <si>
    <t xml:space="preserve">Connect small holder farmers and cross-border traders with each other and between DRC and Rwanda, including through joint trainings and workshops and by connecting trader and farmer associations, in association with chambers of commers in DRC and Rwanda. </t>
  </si>
  <si>
    <t>FProvide technical and financial support to the organization of two youth entrepreneurship bootcamps, one in Rwanda and one in DRC, aimed at supporting the development of businesses led by youth with a high potential of DRC - Rwanda cross border trade to create decent job opportunities, improve contextual understanding, and strengthen capacity on conflict resolution, gender, and cross-cultural skills. This activity is conducted in partnership with Youth Connect.</t>
  </si>
  <si>
    <t>Award two youth entrepreneurs per bootcamp with an award and seed funding to facilitate operationalizing their business plan for cross-border trade related ideas.</t>
  </si>
  <si>
    <t>Output total</t>
  </si>
  <si>
    <t>Output 2:</t>
  </si>
  <si>
    <t xml:space="preserve">Expanded agricultural production and productivity for smallholder farmers, particularly women and young people, to strengthen food security and livelihoods. </t>
  </si>
  <si>
    <t>Activity 2.1</t>
  </si>
  <si>
    <t>Activity 2.2</t>
  </si>
  <si>
    <t>Activity 2.3</t>
  </si>
  <si>
    <t>Activity 2.4</t>
  </si>
  <si>
    <t>Activity 2.5</t>
  </si>
  <si>
    <t>Activity 2.6</t>
  </si>
  <si>
    <t>Activity 2.7</t>
  </si>
  <si>
    <t>Activity 2.8</t>
  </si>
  <si>
    <t>Conduct technical assessment and studies on market dynamics for cross-border trade on both sides of the border which will inform the technical and material assistance to enhance profitable trade for small-holder farmers, with specific focus on youth and women</t>
  </si>
  <si>
    <t>Support farmer organizations and cooperatives on both sides of the border to strengthen organizational and governance structures for enhanced cross-border trade potential and profitability of agricultural commodities</t>
  </si>
  <si>
    <t>Facilitate financial linkages for smallholder farmers on both sides of the border to increase uptake of formal financial products (including savings, credit and insurance where applicable), with a special focus on cross-border trade and agriculture cooperation initiatives led by women and youth</t>
  </si>
  <si>
    <t>Facilitate negotiations between smallholder farmers and landlords in DRC to promote more equitable and affordable access to arable land. Several workshops will foster the dialogue between big landowner and small holder farmers with a final goal of signing a territorial pact that defines better conditions for access to land.</t>
  </si>
  <si>
    <t xml:space="preserve">Facilitate smallholder farmers’ access on both sides of the border to improved inputs, complemented with capacity building activities for farmers’ cooperatives aimed at intensifying sustainable production and more efficient use of water resources. </t>
  </si>
  <si>
    <t xml:space="preserve">Facilitate smallholder farmers’ access on both sides of the border to post-harvest handling and storage (PHHS) equipment, complemented with capacity building activities for farmer’s cooperatives aimed at enhancing post-harvest management and enhancing value addition. </t>
  </si>
  <si>
    <t xml:space="preserve">Support smallholder farmers and traders on both sides of the border, with specific focus on youth and women, to access market information </t>
  </si>
  <si>
    <t xml:space="preserve">Establish cross-border networks for young smallholder farmers engaged in horticulture, potatoes and beans value chains to improve quality and quantity of produce and strengthen cross-border trading links. </t>
  </si>
  <si>
    <t>Total Expenditure (date)</t>
  </si>
  <si>
    <t>Total Budget</t>
  </si>
  <si>
    <t>% of budget per activity  allocated to Gender Equality and Women's Empowerment (GEWE) (if any)</t>
  </si>
  <si>
    <t>GEWE expenditure (date)</t>
  </si>
  <si>
    <t>Any remarks (e.g. on types of inputs provided or budget justification)</t>
  </si>
  <si>
    <t>Additional personnel costs</t>
  </si>
  <si>
    <t>Additional Operational Costs</t>
  </si>
  <si>
    <t>Monitoring budget</t>
  </si>
  <si>
    <t>Budget for independent final evaluation</t>
  </si>
  <si>
    <t>Total Additional Costs</t>
  </si>
  <si>
    <t>Recipient Organization 1</t>
  </si>
  <si>
    <t>Recipient Organization 2</t>
  </si>
  <si>
    <t>Recipient Organization 3</t>
  </si>
  <si>
    <t>Recipient Organization 4</t>
  </si>
  <si>
    <t>Recipient Organization 5</t>
  </si>
  <si>
    <t>Recipient Organization 6</t>
  </si>
  <si>
    <t>Totals</t>
  </si>
  <si>
    <t>Sub-Total Project Budget</t>
  </si>
  <si>
    <t>Expendire rate (date)</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</si>
  <si>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</si>
  <si>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</si>
  <si>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</si>
  <si>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</si>
  <si>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</si>
  <si>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</si>
  <si>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</si>
  <si>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</si>
  <si>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Expenditure</t>
  </si>
  <si>
    <t>Budget and Expenditure par agence</t>
  </si>
  <si>
    <t xml:space="preserve">Total expenditure (date)
</t>
  </si>
  <si>
    <t>TOTAL BUDGET</t>
  </si>
  <si>
    <t>Amount par Recipient agency</t>
  </si>
  <si>
    <t>Planned budget</t>
  </si>
  <si>
    <t>Total expenditure (date)</t>
  </si>
  <si>
    <t>Outcome and Outputs</t>
  </si>
  <si>
    <t>Outcome, outputs and activity description</t>
  </si>
  <si>
    <t>Budget per contract</t>
  </si>
  <si>
    <t>Execution rate</t>
  </si>
  <si>
    <t>Instalment 1 (70%)</t>
  </si>
  <si>
    <t>Instalment 2 (30%)</t>
  </si>
  <si>
    <t>Received amount</t>
  </si>
  <si>
    <t>7% Indirect Costs (6.5% for WFP)</t>
  </si>
  <si>
    <t>Indirect support costs (7%. 6.5% for WFP)</t>
  </si>
  <si>
    <t>GEWE</t>
  </si>
  <si>
    <t>WFP-Rwanda</t>
  </si>
  <si>
    <t>FAO Rwanda (not by activity)</t>
  </si>
  <si>
    <t>UNDP</t>
  </si>
  <si>
    <t>FAO</t>
  </si>
  <si>
    <t>WFP</t>
  </si>
  <si>
    <t>Organize a cross-border Youth Trade Fair at Rubavu and Goma, where young entrepreneurs from both sides of the border can engage in dialogue on positive youth engagement in cross-border trade, strengthen cross-border trust and confidence.</t>
  </si>
  <si>
    <t>Updated</t>
  </si>
  <si>
    <t>Total expenditure (4 Nov 2022)</t>
  </si>
  <si>
    <t>Activity 1</t>
  </si>
  <si>
    <t>Activity 2</t>
  </si>
  <si>
    <t>Activity 3</t>
  </si>
  <si>
    <t>Activity 4</t>
  </si>
  <si>
    <t>Activity 5</t>
  </si>
  <si>
    <t>Activity 6</t>
  </si>
  <si>
    <t>Activity 7</t>
  </si>
  <si>
    <t>Activity 8</t>
  </si>
  <si>
    <t>Activiy 9</t>
  </si>
  <si>
    <t>Activity 10</t>
  </si>
  <si>
    <t>This is the amount informed by WFP DRC</t>
  </si>
  <si>
    <t>Total of three offices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</si>
</sst>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quot;$&quot;* #,##0.00_);_(&quot;$&quot;* \(#,##0.00\);_(&quot;$&quot;* &quot;-&quot;??_);_(@_)"/>
    <numFmt numFmtId="165" formatCode="_(* #,##0.00_);_(* \(#,##0.00\);_(* &quot;-&quot;??_);_(@_)"/>
    <numFmt numFmtId="166" formatCode="_-* #,##0.00\ &quot;FC&quot;_-;\-* #,##0.00\ &quot;FC&quot;_-;_-* &quot;-&quot;??\ &quot;FC&quot;_-;_-@_-"/>
    <numFmt numFmtId="167" formatCode="_-[$$-409]* #,##0.00_ ;_-[$$-409]* \-#,##0.00\ ;_-[$$-409]* &quot;-&quot;??_ ;_-@_ "/>
    <numFmt numFmtId="168" formatCode="0.0%"/>
    <numFmt numFmtId="169" formatCode="_(&quot;$&quot;* #,##0_);_(&quot;$&quot;* \(#,##0\);_(&quot;$&quot;* &quot;-&quot;??_);_(@_)"/>
    <numFmt numFmtId="170" formatCode="[$$-409]#,##0.0"/>
    <numFmt numFmtId="171" formatCode="_-* #,##0_-;\-* #,##0_-;_-* &quot;-&quot;??_-;_-@_-"/>
    <numFmt numFmtId="172" formatCode="[$$-409]#,##0.00"/>
    <numFmt numFmtId="173" formatCode="_([$$-409]* #,##0.00_);_([$$-409]* \(#,##0.00\);_([$$-409]* &quot;-&quot;??_);_(@_)"/>
  </numFmts>
  <fonts count="26" x14ac:knownFonts="1">
    <font>
      <sz val="11"/>
      <color theme="1"/>
      <name val="Calibri"/>
      <family val="2"/>
      <scheme val="minor"/>
    </font>
    <font>
      <sz val="11"/>
      <color theme="1"/>
      <name val="Calibri"/>
      <family val="2"/>
      <scheme val="minor"/>
    </font>
    <font>
      <sz val="11"/>
      <color theme="1"/>
      <name val="Times New Roman"/>
      <family val="1"/>
    </font>
    <font>
      <b/>
      <sz val="20"/>
      <color theme="1"/>
      <name val="Times New Roman"/>
      <family val="1"/>
    </font>
    <font>
      <b/>
      <sz val="12"/>
      <color theme="1"/>
      <name val="Times New Roman"/>
      <family val="1"/>
    </font>
    <font>
      <b/>
      <sz val="12"/>
      <color rgb="FFFF0000"/>
      <name val="Times New Roman"/>
      <family val="1"/>
    </font>
    <font>
      <sz val="12"/>
      <color theme="1"/>
      <name val="Times New Roman"/>
      <family val="1"/>
    </font>
    <font>
      <b/>
      <i/>
      <sz val="12"/>
      <color theme="1"/>
      <name val="Times New Roman"/>
      <family val="1"/>
    </font>
    <font>
      <sz val="12"/>
      <color rgb="FFFF0000"/>
      <name val="Times New Roman"/>
      <family val="1"/>
    </font>
    <font>
      <b/>
      <sz val="12"/>
      <color theme="1"/>
      <name val="Calibri"/>
      <family val="2"/>
      <scheme val="minor"/>
    </font>
    <font>
      <b/>
      <sz val="11"/>
      <color theme="1"/>
      <name val="Calibri"/>
      <family val="2"/>
      <scheme val="minor"/>
    </font>
    <font>
      <b/>
      <sz val="10"/>
      <color theme="1"/>
      <name val="Calibri"/>
      <family val="2"/>
    </font>
    <font>
      <sz val="10"/>
      <color theme="1"/>
      <name val="Calibri"/>
      <family val="2"/>
    </font>
    <font>
      <b/>
      <i/>
      <sz val="11"/>
      <color theme="1"/>
      <name val="Calibri"/>
      <family val="2"/>
      <scheme val="minor"/>
    </font>
    <font>
      <sz val="10"/>
      <color theme="1"/>
      <name val="Calibri"/>
      <family val="2"/>
      <scheme val="minor"/>
    </font>
    <font>
      <b/>
      <sz val="10"/>
      <color theme="0"/>
      <name val="Calibri"/>
      <family val="2"/>
      <scheme val="minor"/>
    </font>
    <font>
      <b/>
      <sz val="22"/>
      <name val="Times New Roman"/>
      <family val="1"/>
    </font>
    <font>
      <sz val="12"/>
      <name val="Times New Roman"/>
      <family val="1"/>
    </font>
    <font>
      <sz val="10"/>
      <name val="Calibri"/>
      <family val="2"/>
    </font>
    <font>
      <sz val="10"/>
      <color rgb="FFFF0000"/>
      <name val="Calibri"/>
      <family val="2"/>
    </font>
    <font>
      <b/>
      <sz val="12"/>
      <name val="Times New Roman"/>
      <family val="1"/>
    </font>
    <font>
      <sz val="11"/>
      <color rgb="FFFF0000"/>
      <name val="Calibri"/>
      <family val="2"/>
      <scheme val="minor"/>
    </font>
    <font>
      <sz val="8"/>
      <name val="Calibri"/>
      <family val="2"/>
      <scheme val="minor"/>
    </font>
    <font>
      <sz val="11"/>
      <color rgb="FFFF0000"/>
      <name val="Times New Roman"/>
      <family val="1"/>
    </font>
    <font>
      <sz val="10"/>
      <color rgb="FFFF0000"/>
      <name val="Calibri"/>
      <family val="2"/>
      <scheme val="minor"/>
    </font>
    <font>
      <b/>
      <sz val="11"/>
      <color theme="1"/>
      <name val="Times New Roman"/>
      <family val="1"/>
    </font>
  </fonts>
  <fills count="16">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
      <patternFill patternType="solid">
        <fgColor rgb="FFB3B3B3"/>
        <bgColor indexed="64"/>
      </patternFill>
    </fill>
    <fill>
      <patternFill patternType="solid">
        <fgColor rgb="FFD9D9D9"/>
        <bgColor indexed="64"/>
      </patternFill>
    </fill>
    <fill>
      <patternFill patternType="solid">
        <fgColor rgb="FFBFBFBF"/>
        <bgColor indexed="64"/>
      </patternFill>
    </fill>
    <fill>
      <patternFill patternType="solid">
        <fgColor theme="5" tint="0.59999389629810485"/>
        <bgColor indexed="64"/>
      </patternFill>
    </fill>
    <fill>
      <patternFill patternType="solid">
        <fgColor rgb="FFC0000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tint="-0.249977111117893"/>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right/>
      <top style="thin">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indexed="64"/>
      </right>
      <top/>
      <bottom style="medium">
        <color rgb="FF000000"/>
      </bottom>
      <diagonal/>
    </border>
    <border>
      <left/>
      <right/>
      <top style="medium">
        <color indexed="64"/>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4">
    <xf numFmtId="0" fontId="0" fillId="0" borderId="0"/>
    <xf numFmtId="166"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73">
    <xf numFmtId="0" fontId="0" fillId="0" borderId="0" xfId="0"/>
    <xf numFmtId="0" fontId="2" fillId="0" borderId="0" xfId="0" applyFont="1" applyAlignment="1">
      <alignment vertical="center" wrapText="1"/>
    </xf>
    <xf numFmtId="0" fontId="4" fillId="3" borderId="1" xfId="0" applyFont="1" applyFill="1" applyBorder="1" applyAlignment="1">
      <alignment horizontal="center" vertical="center" wrapText="1"/>
    </xf>
    <xf numFmtId="0" fontId="5" fillId="0" borderId="0" xfId="0" applyFont="1" applyAlignment="1">
      <alignment horizontal="center" vertical="center" wrapText="1"/>
    </xf>
    <xf numFmtId="0" fontId="6" fillId="3" borderId="1" xfId="0" applyFont="1" applyFill="1" applyBorder="1" applyAlignment="1">
      <alignment horizontal="center" vertical="center" wrapText="1"/>
    </xf>
    <xf numFmtId="0" fontId="4" fillId="6" borderId="1" xfId="0" applyFont="1" applyFill="1" applyBorder="1" applyAlignment="1">
      <alignment vertical="center" wrapText="1"/>
    </xf>
    <xf numFmtId="166" fontId="8" fillId="0" borderId="0" xfId="1" applyFont="1" applyAlignment="1">
      <alignment vertical="center" wrapText="1"/>
    </xf>
    <xf numFmtId="166" fontId="4" fillId="0" borderId="0" xfId="1" applyFont="1" applyAlignment="1">
      <alignment vertical="center" wrapText="1"/>
    </xf>
    <xf numFmtId="166" fontId="6" fillId="0" borderId="0" xfId="1" applyFont="1" applyAlignment="1">
      <alignment horizontal="center" vertical="center" wrapText="1"/>
    </xf>
    <xf numFmtId="0" fontId="2" fillId="5" borderId="0" xfId="0" applyFont="1" applyFill="1" applyAlignment="1">
      <alignment vertical="center" wrapText="1"/>
    </xf>
    <xf numFmtId="166" fontId="4" fillId="0" borderId="0" xfId="1" applyFont="1" applyAlignment="1">
      <alignment horizontal="center" vertical="center" wrapText="1"/>
    </xf>
    <xf numFmtId="0" fontId="6" fillId="5" borderId="0" xfId="0" applyFont="1" applyFill="1" applyAlignment="1" applyProtection="1">
      <alignment vertical="center" wrapText="1"/>
      <protection locked="0"/>
    </xf>
    <xf numFmtId="0" fontId="6" fillId="5" borderId="0" xfId="0" applyFont="1" applyFill="1" applyAlignment="1" applyProtection="1">
      <alignment horizontal="left" vertical="center" wrapText="1"/>
      <protection locked="0"/>
    </xf>
    <xf numFmtId="166" fontId="6" fillId="5" borderId="0" xfId="1" applyFont="1" applyFill="1" applyAlignment="1" applyProtection="1">
      <alignment horizontal="center" vertical="center" wrapText="1"/>
      <protection locked="0"/>
    </xf>
    <xf numFmtId="0" fontId="4" fillId="5" borderId="0" xfId="0" applyFont="1" applyFill="1" applyAlignment="1">
      <alignment vertical="center" wrapText="1"/>
    </xf>
    <xf numFmtId="166" fontId="6" fillId="5" borderId="0" xfId="1" applyFont="1" applyFill="1" applyAlignment="1" applyProtection="1">
      <alignment vertical="center" wrapText="1"/>
      <protection locked="0"/>
    </xf>
    <xf numFmtId="0" fontId="4" fillId="0" borderId="0" xfId="0" applyFont="1" applyAlignment="1" applyProtection="1">
      <alignment vertical="center" wrapText="1"/>
      <protection locked="0"/>
    </xf>
    <xf numFmtId="167" fontId="6" fillId="4" borderId="1" xfId="1" applyNumberFormat="1" applyFont="1" applyFill="1" applyBorder="1" applyAlignment="1" applyProtection="1">
      <alignment vertical="center" wrapText="1"/>
      <protection locked="0"/>
    </xf>
    <xf numFmtId="0" fontId="4" fillId="5" borderId="0" xfId="0" applyFont="1" applyFill="1" applyAlignment="1" applyProtection="1">
      <alignment vertical="center" wrapText="1"/>
      <protection locked="0"/>
    </xf>
    <xf numFmtId="0" fontId="6" fillId="5" borderId="0" xfId="0" applyFont="1" applyFill="1" applyAlignment="1">
      <alignment vertical="center" wrapText="1"/>
    </xf>
    <xf numFmtId="0" fontId="6" fillId="0" borderId="0" xfId="0" applyFont="1" applyAlignment="1" applyProtection="1">
      <alignment vertical="center" wrapText="1"/>
      <protection locked="0"/>
    </xf>
    <xf numFmtId="0" fontId="6" fillId="0" borderId="0" xfId="0" applyFont="1" applyAlignment="1">
      <alignment vertical="center" wrapText="1"/>
    </xf>
    <xf numFmtId="0" fontId="4" fillId="3" borderId="5" xfId="0" applyFont="1" applyFill="1" applyBorder="1" applyAlignment="1">
      <alignment vertical="center" wrapText="1"/>
    </xf>
    <xf numFmtId="164" fontId="4" fillId="3" borderId="16" xfId="0" applyNumberFormat="1" applyFont="1" applyFill="1" applyBorder="1" applyAlignment="1">
      <alignment vertical="center" wrapText="1"/>
    </xf>
    <xf numFmtId="167" fontId="6" fillId="4" borderId="1" xfId="1" applyNumberFormat="1" applyFont="1" applyFill="1" applyBorder="1" applyAlignment="1">
      <alignment horizontal="center" vertical="center" wrapText="1"/>
    </xf>
    <xf numFmtId="168" fontId="6" fillId="0" borderId="0" xfId="2" applyNumberFormat="1" applyFont="1" applyAlignment="1" applyProtection="1">
      <alignment vertical="center" wrapText="1"/>
      <protection locked="0"/>
    </xf>
    <xf numFmtId="9" fontId="4" fillId="3" borderId="16" xfId="2" applyFont="1" applyFill="1" applyBorder="1" applyAlignment="1">
      <alignment vertical="center" wrapText="1"/>
    </xf>
    <xf numFmtId="9" fontId="4" fillId="3" borderId="18" xfId="2" applyFont="1" applyFill="1" applyBorder="1" applyAlignment="1">
      <alignment vertical="center" wrapText="1"/>
    </xf>
    <xf numFmtId="0" fontId="4"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4" fillId="3" borderId="2" xfId="0" applyFont="1" applyFill="1" applyBorder="1" applyAlignment="1">
      <alignment vertical="center" wrapText="1"/>
    </xf>
    <xf numFmtId="167" fontId="6" fillId="0" borderId="3" xfId="1" applyNumberFormat="1" applyFont="1" applyBorder="1" applyAlignment="1" applyProtection="1">
      <alignment horizontal="center" vertical="center" wrapText="1"/>
      <protection locked="0"/>
    </xf>
    <xf numFmtId="167" fontId="6" fillId="0" borderId="19" xfId="1" applyNumberFormat="1" applyFont="1" applyBorder="1" applyAlignment="1" applyProtection="1">
      <alignment horizontal="center" vertical="center" wrapText="1"/>
      <protection locked="0"/>
    </xf>
    <xf numFmtId="167" fontId="6" fillId="4" borderId="20" xfId="1" applyNumberFormat="1" applyFont="1" applyFill="1" applyBorder="1" applyAlignment="1" applyProtection="1">
      <alignment horizontal="center" vertical="center" wrapText="1"/>
      <protection locked="0"/>
    </xf>
    <xf numFmtId="167" fontId="6" fillId="0" borderId="11" xfId="1" applyNumberFormat="1" applyFont="1" applyBorder="1" applyAlignment="1" applyProtection="1">
      <alignment horizontal="center" vertical="center" wrapText="1"/>
      <protection locked="0"/>
    </xf>
    <xf numFmtId="167" fontId="6" fillId="4" borderId="12" xfId="1" applyNumberFormat="1" applyFont="1" applyFill="1" applyBorder="1" applyAlignment="1" applyProtection="1">
      <alignment horizontal="center" vertical="center" wrapText="1"/>
      <protection locked="0"/>
    </xf>
    <xf numFmtId="49" fontId="6" fillId="0" borderId="3" xfId="1" applyNumberFormat="1" applyFont="1" applyBorder="1" applyAlignment="1" applyProtection="1">
      <alignment horizontal="left" vertical="center" wrapText="1"/>
      <protection locked="0"/>
    </xf>
    <xf numFmtId="49" fontId="6" fillId="5" borderId="3" xfId="1" applyNumberFormat="1" applyFont="1" applyFill="1" applyBorder="1" applyAlignment="1" applyProtection="1">
      <alignment horizontal="left" vertical="center" wrapText="1"/>
      <protection locked="0"/>
    </xf>
    <xf numFmtId="167" fontId="6" fillId="3" borderId="19" xfId="1" applyNumberFormat="1" applyFont="1" applyFill="1" applyBorder="1" applyAlignment="1">
      <alignment horizontal="center" vertical="center" wrapText="1"/>
    </xf>
    <xf numFmtId="167" fontId="6" fillId="4" borderId="23" xfId="1" applyNumberFormat="1" applyFont="1" applyFill="1" applyBorder="1" applyAlignment="1">
      <alignment horizontal="center" vertical="center" wrapText="1"/>
    </xf>
    <xf numFmtId="167" fontId="6" fillId="3" borderId="11" xfId="1" applyNumberFormat="1" applyFont="1" applyFill="1" applyBorder="1" applyAlignment="1">
      <alignment horizontal="center" vertical="center" wrapText="1"/>
    </xf>
    <xf numFmtId="0" fontId="4" fillId="3" borderId="19" xfId="0" applyFont="1" applyFill="1" applyBorder="1" applyAlignment="1">
      <alignment vertical="center" wrapText="1"/>
    </xf>
    <xf numFmtId="0" fontId="4" fillId="6" borderId="24" xfId="0" applyFont="1" applyFill="1" applyBorder="1" applyAlignment="1">
      <alignment vertical="center" wrapText="1"/>
    </xf>
    <xf numFmtId="49" fontId="6" fillId="0" borderId="30" xfId="1" applyNumberFormat="1" applyFont="1" applyBorder="1" applyAlignment="1" applyProtection="1">
      <alignment horizontal="left" vertical="center" wrapText="1"/>
      <protection locked="0"/>
    </xf>
    <xf numFmtId="167" fontId="6" fillId="4" borderId="2" xfId="1" applyNumberFormat="1" applyFont="1" applyFill="1" applyBorder="1" applyAlignment="1" applyProtection="1">
      <alignment horizontal="center" vertical="center" wrapText="1"/>
      <protection locked="0"/>
    </xf>
    <xf numFmtId="0" fontId="4" fillId="3" borderId="11" xfId="0" applyFont="1" applyFill="1" applyBorder="1" applyAlignment="1">
      <alignment vertical="center" wrapText="1"/>
    </xf>
    <xf numFmtId="0" fontId="4" fillId="3" borderId="31" xfId="0" applyFont="1" applyFill="1" applyBorder="1" applyAlignment="1">
      <alignment vertical="center" wrapText="1"/>
    </xf>
    <xf numFmtId="0" fontId="4" fillId="5" borderId="32" xfId="0" applyFont="1" applyFill="1" applyBorder="1" applyAlignment="1">
      <alignment vertical="center" wrapText="1"/>
    </xf>
    <xf numFmtId="0" fontId="6" fillId="5" borderId="33" xfId="0" applyFont="1" applyFill="1" applyBorder="1" applyAlignment="1" applyProtection="1">
      <alignment vertical="center" wrapText="1"/>
      <protection locked="0"/>
    </xf>
    <xf numFmtId="0" fontId="6" fillId="5" borderId="2" xfId="0" applyFont="1" applyFill="1" applyBorder="1" applyAlignment="1" applyProtection="1">
      <alignment vertical="center" wrapText="1"/>
      <protection locked="0"/>
    </xf>
    <xf numFmtId="0" fontId="4" fillId="7" borderId="34" xfId="0" applyFont="1" applyFill="1" applyBorder="1" applyAlignment="1" applyProtection="1">
      <alignment vertical="center" wrapText="1"/>
      <protection locked="0"/>
    </xf>
    <xf numFmtId="167" fontId="6" fillId="0" borderId="19" xfId="1" applyNumberFormat="1" applyFont="1" applyBorder="1" applyAlignment="1" applyProtection="1">
      <alignment vertical="center" wrapText="1"/>
      <protection locked="0"/>
    </xf>
    <xf numFmtId="167" fontId="6" fillId="4" borderId="20" xfId="1" applyNumberFormat="1" applyFont="1" applyFill="1" applyBorder="1" applyAlignment="1" applyProtection="1">
      <alignment vertical="center" wrapText="1"/>
      <protection locked="0"/>
    </xf>
    <xf numFmtId="167" fontId="6" fillId="0" borderId="11" xfId="1" applyNumberFormat="1" applyFont="1" applyBorder="1" applyAlignment="1" applyProtection="1">
      <alignment vertical="center" wrapText="1"/>
      <protection locked="0"/>
    </xf>
    <xf numFmtId="167" fontId="6" fillId="4" borderId="12" xfId="1" applyNumberFormat="1" applyFont="1" applyFill="1" applyBorder="1" applyAlignment="1" applyProtection="1">
      <alignment vertical="center" wrapText="1"/>
      <protection locked="0"/>
    </xf>
    <xf numFmtId="167" fontId="4" fillId="7" borderId="24" xfId="1" applyNumberFormat="1" applyFont="1" applyFill="1" applyBorder="1" applyAlignment="1">
      <alignment vertical="center" wrapText="1"/>
    </xf>
    <xf numFmtId="49" fontId="6" fillId="0" borderId="35" xfId="0" applyNumberFormat="1" applyFont="1" applyBorder="1" applyAlignment="1" applyProtection="1">
      <alignment horizontal="left" vertical="center" wrapText="1"/>
      <protection locked="0"/>
    </xf>
    <xf numFmtId="49" fontId="6" fillId="0" borderId="10" xfId="0" applyNumberFormat="1" applyFont="1" applyBorder="1" applyAlignment="1" applyProtection="1">
      <alignment horizontal="left" vertical="center" wrapText="1"/>
      <protection locked="0"/>
    </xf>
    <xf numFmtId="0" fontId="6" fillId="5" borderId="22" xfId="0" applyFont="1" applyFill="1" applyBorder="1" applyAlignment="1" applyProtection="1">
      <alignment vertical="center" wrapText="1"/>
      <protection locked="0"/>
    </xf>
    <xf numFmtId="167" fontId="6" fillId="3" borderId="11" xfId="1" applyNumberFormat="1" applyFont="1" applyFill="1" applyBorder="1" applyAlignment="1">
      <alignment vertical="center" wrapText="1"/>
    </xf>
    <xf numFmtId="167" fontId="6" fillId="0" borderId="14" xfId="1" applyNumberFormat="1" applyFont="1" applyBorder="1" applyAlignment="1" applyProtection="1">
      <alignment horizontal="center" vertical="center" wrapText="1"/>
      <protection locked="0"/>
    </xf>
    <xf numFmtId="167" fontId="6" fillId="4" borderId="15" xfId="1" applyNumberFormat="1" applyFont="1" applyFill="1" applyBorder="1" applyAlignment="1" applyProtection="1">
      <alignment horizontal="center" vertical="center" wrapText="1"/>
      <protection locked="0"/>
    </xf>
    <xf numFmtId="167" fontId="6" fillId="4" borderId="27" xfId="1" applyNumberFormat="1" applyFont="1" applyFill="1" applyBorder="1" applyAlignment="1">
      <alignment horizontal="center" vertical="center" wrapText="1"/>
    </xf>
    <xf numFmtId="0" fontId="4" fillId="0" borderId="2" xfId="0" applyFont="1" applyBorder="1" applyAlignment="1">
      <alignment vertical="center" wrapText="1"/>
    </xf>
    <xf numFmtId="49" fontId="6" fillId="0" borderId="3" xfId="1" applyNumberFormat="1" applyFont="1" applyFill="1" applyBorder="1" applyAlignment="1" applyProtection="1">
      <alignment horizontal="left" vertical="center" wrapText="1"/>
      <protection locked="0"/>
    </xf>
    <xf numFmtId="166" fontId="4" fillId="0" borderId="0" xfId="1" applyFont="1" applyFill="1" applyAlignment="1">
      <alignment horizontal="center" vertical="center" wrapText="1"/>
    </xf>
    <xf numFmtId="0" fontId="4" fillId="6" borderId="4" xfId="0" applyFont="1" applyFill="1" applyBorder="1" applyAlignment="1">
      <alignment vertical="center" wrapText="1"/>
    </xf>
    <xf numFmtId="0" fontId="4" fillId="0" borderId="0" xfId="0" applyFont="1" applyAlignment="1">
      <alignment vertical="center" wrapText="1"/>
    </xf>
    <xf numFmtId="167" fontId="4" fillId="0" borderId="0" xfId="1" applyNumberFormat="1" applyFont="1" applyFill="1" applyBorder="1" applyAlignment="1">
      <alignment horizontal="center" vertical="center" wrapText="1"/>
    </xf>
    <xf numFmtId="49" fontId="6" fillId="0" borderId="0" xfId="1" applyNumberFormat="1" applyFont="1" applyFill="1" applyBorder="1" applyAlignment="1" applyProtection="1">
      <alignment horizontal="left" vertical="center" wrapText="1"/>
      <protection locked="0"/>
    </xf>
    <xf numFmtId="166" fontId="4" fillId="0" borderId="0" xfId="1" applyFont="1" applyFill="1" applyBorder="1" applyAlignment="1">
      <alignment horizontal="center" vertical="center" wrapText="1"/>
    </xf>
    <xf numFmtId="167" fontId="6" fillId="4" borderId="36" xfId="1" applyNumberFormat="1" applyFont="1" applyFill="1" applyBorder="1" applyAlignment="1" applyProtection="1">
      <alignment horizontal="center" vertical="center" wrapText="1"/>
      <protection locked="0"/>
    </xf>
    <xf numFmtId="167" fontId="6" fillId="0" borderId="30" xfId="1" applyNumberFormat="1" applyFont="1" applyBorder="1" applyAlignment="1" applyProtection="1">
      <alignment horizontal="center" vertical="center" wrapText="1"/>
      <protection locked="0"/>
    </xf>
    <xf numFmtId="167" fontId="6" fillId="4" borderId="29" xfId="1" applyNumberFormat="1" applyFont="1" applyFill="1" applyBorder="1" applyAlignment="1" applyProtection="1">
      <alignment horizontal="center" vertical="center" wrapText="1"/>
      <protection locked="0"/>
    </xf>
    <xf numFmtId="167" fontId="6" fillId="0" borderId="31" xfId="1" applyNumberFormat="1" applyFont="1" applyBorder="1" applyAlignment="1" applyProtection="1">
      <alignment horizontal="center" vertical="center" wrapText="1"/>
      <protection locked="0"/>
    </xf>
    <xf numFmtId="167" fontId="6" fillId="3" borderId="31" xfId="1" applyNumberFormat="1" applyFont="1" applyFill="1" applyBorder="1" applyAlignment="1">
      <alignment horizontal="center" vertical="center" wrapText="1"/>
    </xf>
    <xf numFmtId="167" fontId="6" fillId="4" borderId="4" xfId="1" applyNumberFormat="1" applyFont="1" applyFill="1" applyBorder="1" applyAlignment="1">
      <alignment horizontal="center" vertical="center" wrapText="1"/>
    </xf>
    <xf numFmtId="0" fontId="4" fillId="3" borderId="1" xfId="0" applyFont="1" applyFill="1" applyBorder="1" applyAlignment="1">
      <alignment vertical="center" wrapText="1"/>
    </xf>
    <xf numFmtId="49" fontId="6" fillId="5" borderId="1" xfId="1" applyNumberFormat="1" applyFont="1" applyFill="1" applyBorder="1" applyAlignment="1" applyProtection="1">
      <alignment horizontal="left" vertical="center" wrapText="1"/>
      <protection locked="0"/>
    </xf>
    <xf numFmtId="0" fontId="2" fillId="0" borderId="37" xfId="0" applyFont="1" applyBorder="1" applyAlignment="1">
      <alignment vertical="center" wrapText="1"/>
    </xf>
    <xf numFmtId="167" fontId="4" fillId="0" borderId="30" xfId="1" applyNumberFormat="1" applyFont="1" applyFill="1" applyBorder="1" applyAlignment="1">
      <alignment horizontal="center" vertical="center" wrapText="1"/>
    </xf>
    <xf numFmtId="167" fontId="4" fillId="0" borderId="29" xfId="1" applyNumberFormat="1" applyFont="1" applyFill="1" applyBorder="1" applyAlignment="1">
      <alignment horizontal="center" vertical="center" wrapText="1"/>
    </xf>
    <xf numFmtId="167" fontId="4" fillId="0" borderId="3" xfId="1" applyNumberFormat="1" applyFont="1" applyFill="1" applyBorder="1" applyAlignment="1">
      <alignment horizontal="center" vertical="center" wrapText="1"/>
    </xf>
    <xf numFmtId="167" fontId="4" fillId="0" borderId="2" xfId="1" applyNumberFormat="1" applyFont="1" applyFill="1" applyBorder="1" applyAlignment="1">
      <alignment horizontal="center" vertical="center" wrapText="1"/>
    </xf>
    <xf numFmtId="167" fontId="4" fillId="0" borderId="4" xfId="1" applyNumberFormat="1" applyFont="1" applyFill="1" applyBorder="1" applyAlignment="1">
      <alignment horizontal="center" vertical="center" wrapText="1"/>
    </xf>
    <xf numFmtId="166" fontId="4" fillId="0" borderId="37" xfId="1" applyFont="1" applyFill="1" applyBorder="1" applyAlignment="1">
      <alignment horizontal="center" vertical="center" wrapText="1"/>
    </xf>
    <xf numFmtId="168" fontId="4" fillId="4" borderId="17" xfId="2" applyNumberFormat="1" applyFont="1" applyFill="1" applyBorder="1" applyAlignment="1">
      <alignment horizontal="center" vertical="center" wrapText="1"/>
    </xf>
    <xf numFmtId="0" fontId="4" fillId="3" borderId="32" xfId="0" applyFont="1" applyFill="1" applyBorder="1" applyAlignment="1">
      <alignment vertical="center" wrapText="1"/>
    </xf>
    <xf numFmtId="164" fontId="4" fillId="3" borderId="38" xfId="0" applyNumberFormat="1" applyFont="1" applyFill="1" applyBorder="1" applyAlignment="1">
      <alignment vertical="center" wrapText="1"/>
    </xf>
    <xf numFmtId="170" fontId="4" fillId="4" borderId="39" xfId="2" applyNumberFormat="1" applyFont="1" applyFill="1" applyBorder="1" applyAlignment="1">
      <alignment horizontal="center" vertical="center" wrapText="1"/>
    </xf>
    <xf numFmtId="164" fontId="6" fillId="3" borderId="31" xfId="0" applyNumberFormat="1" applyFont="1" applyFill="1" applyBorder="1" applyAlignment="1">
      <alignment vertical="center" wrapText="1"/>
    </xf>
    <xf numFmtId="170" fontId="4" fillId="4" borderId="20" xfId="2" applyNumberFormat="1" applyFont="1" applyFill="1" applyBorder="1" applyAlignment="1">
      <alignment horizontal="center" vertical="center" wrapText="1"/>
    </xf>
    <xf numFmtId="170" fontId="4" fillId="4" borderId="26" xfId="2" applyNumberFormat="1" applyFont="1" applyFill="1" applyBorder="1" applyAlignment="1">
      <alignment horizontal="center" vertical="center" wrapText="1"/>
    </xf>
    <xf numFmtId="0" fontId="6" fillId="3" borderId="41" xfId="0" applyFont="1" applyFill="1" applyBorder="1" applyAlignment="1">
      <alignment vertical="center" wrapText="1"/>
    </xf>
    <xf numFmtId="0" fontId="6" fillId="3" borderId="21" xfId="0" applyFont="1" applyFill="1" applyBorder="1" applyAlignment="1">
      <alignment vertical="center" wrapText="1"/>
    </xf>
    <xf numFmtId="164" fontId="6" fillId="3" borderId="19" xfId="0" applyNumberFormat="1" applyFont="1" applyFill="1" applyBorder="1" applyAlignment="1">
      <alignment vertical="center" wrapText="1"/>
    </xf>
    <xf numFmtId="164" fontId="6" fillId="3" borderId="24" xfId="0" applyNumberFormat="1" applyFont="1" applyFill="1" applyBorder="1" applyAlignment="1">
      <alignment vertical="center" wrapText="1"/>
    </xf>
    <xf numFmtId="167" fontId="4" fillId="5" borderId="0" xfId="1" applyNumberFormat="1" applyFont="1" applyFill="1" applyBorder="1" applyAlignment="1">
      <alignment horizontal="center" vertical="center" wrapText="1"/>
    </xf>
    <xf numFmtId="167" fontId="4" fillId="5" borderId="29" xfId="1" applyNumberFormat="1" applyFont="1" applyFill="1" applyBorder="1" applyAlignment="1">
      <alignment horizontal="center" vertical="center" wrapText="1"/>
    </xf>
    <xf numFmtId="167" fontId="6" fillId="3" borderId="14" xfId="1" applyNumberFormat="1" applyFont="1" applyFill="1" applyBorder="1" applyAlignment="1">
      <alignment horizontal="center" vertical="center" wrapText="1"/>
    </xf>
    <xf numFmtId="167" fontId="6" fillId="4" borderId="46" xfId="1" applyNumberFormat="1" applyFont="1" applyFill="1" applyBorder="1" applyAlignment="1" applyProtection="1">
      <alignment horizontal="center" vertical="center" wrapText="1"/>
      <protection locked="0"/>
    </xf>
    <xf numFmtId="167" fontId="6" fillId="4" borderId="45" xfId="1" applyNumberFormat="1" applyFont="1" applyFill="1" applyBorder="1" applyAlignment="1">
      <alignment horizontal="center" vertical="center" wrapText="1"/>
    </xf>
    <xf numFmtId="167" fontId="6" fillId="3" borderId="3" xfId="1" applyNumberFormat="1" applyFont="1" applyFill="1" applyBorder="1" applyAlignment="1">
      <alignment horizontal="center" vertical="center" wrapText="1"/>
    </xf>
    <xf numFmtId="167" fontId="6" fillId="0" borderId="45" xfId="1" applyNumberFormat="1" applyFont="1" applyBorder="1" applyAlignment="1" applyProtection="1">
      <alignment horizontal="center" vertical="center" wrapText="1"/>
      <protection locked="0"/>
    </xf>
    <xf numFmtId="167" fontId="4" fillId="4" borderId="15" xfId="1" applyNumberFormat="1" applyFont="1" applyFill="1" applyBorder="1" applyAlignment="1">
      <alignment horizontal="center" vertical="center" wrapText="1"/>
    </xf>
    <xf numFmtId="167" fontId="4" fillId="3" borderId="16" xfId="1" applyNumberFormat="1" applyFont="1" applyFill="1" applyBorder="1" applyAlignment="1">
      <alignment horizontal="center" vertical="center" wrapText="1"/>
    </xf>
    <xf numFmtId="167" fontId="4" fillId="3" borderId="18" xfId="1" applyNumberFormat="1" applyFont="1" applyFill="1" applyBorder="1" applyAlignment="1">
      <alignment horizontal="center" vertical="center" wrapText="1"/>
    </xf>
    <xf numFmtId="0" fontId="10" fillId="0" borderId="0" xfId="0" applyFont="1"/>
    <xf numFmtId="0" fontId="9" fillId="0" borderId="0" xfId="0" applyFont="1"/>
    <xf numFmtId="0" fontId="12" fillId="0" borderId="48" xfId="0" applyFont="1" applyBorder="1" applyAlignment="1">
      <alignment vertical="center" wrapText="1"/>
    </xf>
    <xf numFmtId="0" fontId="11" fillId="9" borderId="48" xfId="0" applyFont="1" applyFill="1" applyBorder="1" applyAlignment="1">
      <alignment vertical="center" wrapText="1"/>
    </xf>
    <xf numFmtId="0" fontId="11" fillId="10" borderId="50" xfId="0" applyFont="1" applyFill="1" applyBorder="1" applyAlignment="1">
      <alignment horizontal="center" vertical="center" wrapText="1"/>
    </xf>
    <xf numFmtId="171" fontId="12" fillId="0" borderId="50" xfId="3" applyNumberFormat="1" applyFont="1" applyFill="1" applyBorder="1" applyAlignment="1">
      <alignment horizontal="right" vertical="center" wrapText="1"/>
    </xf>
    <xf numFmtId="171" fontId="12" fillId="0" borderId="50" xfId="3" applyNumberFormat="1" applyFont="1" applyBorder="1" applyAlignment="1">
      <alignment horizontal="right" vertical="center" wrapText="1"/>
    </xf>
    <xf numFmtId="171" fontId="11" fillId="9" borderId="50" xfId="3" applyNumberFormat="1" applyFont="1" applyFill="1" applyBorder="1" applyAlignment="1">
      <alignment horizontal="right" vertical="center" wrapText="1"/>
    </xf>
    <xf numFmtId="43" fontId="0" fillId="0" borderId="0" xfId="3" applyFont="1"/>
    <xf numFmtId="0" fontId="14" fillId="0" borderId="0" xfId="0" applyFont="1"/>
    <xf numFmtId="171" fontId="11" fillId="9" borderId="51" xfId="3" applyNumberFormat="1" applyFont="1" applyFill="1" applyBorder="1" applyAlignment="1">
      <alignment horizontal="right" vertical="center" wrapText="1"/>
    </xf>
    <xf numFmtId="9" fontId="0" fillId="0" borderId="0" xfId="2" applyFont="1"/>
    <xf numFmtId="0" fontId="11" fillId="11" borderId="50" xfId="0" applyFont="1" applyFill="1" applyBorder="1" applyAlignment="1">
      <alignment horizontal="center" vertical="center" wrapText="1"/>
    </xf>
    <xf numFmtId="171" fontId="12" fillId="11" borderId="50" xfId="3" applyNumberFormat="1" applyFont="1" applyFill="1" applyBorder="1" applyAlignment="1">
      <alignment horizontal="right" vertical="center" wrapText="1"/>
    </xf>
    <xf numFmtId="171" fontId="12" fillId="0" borderId="51" xfId="3" applyNumberFormat="1" applyFont="1" applyFill="1" applyBorder="1" applyAlignment="1">
      <alignment horizontal="right" vertical="center" wrapText="1"/>
    </xf>
    <xf numFmtId="9" fontId="0" fillId="14" borderId="55" xfId="2" applyFont="1" applyFill="1" applyBorder="1" applyAlignment="1">
      <alignment horizontal="right"/>
    </xf>
    <xf numFmtId="9" fontId="0" fillId="14" borderId="56" xfId="2" applyFont="1" applyFill="1" applyBorder="1" applyAlignment="1">
      <alignment horizontal="right"/>
    </xf>
    <xf numFmtId="0" fontId="6" fillId="0" borderId="1" xfId="0" applyFont="1" applyBorder="1" applyAlignment="1" applyProtection="1">
      <alignment horizontal="left" vertical="center" wrapText="1"/>
      <protection locked="0"/>
    </xf>
    <xf numFmtId="169" fontId="6" fillId="0" borderId="1" xfId="1" applyNumberFormat="1" applyFont="1" applyFill="1" applyBorder="1" applyAlignment="1" applyProtection="1">
      <alignment horizontal="center" vertical="center" wrapText="1"/>
      <protection locked="0"/>
    </xf>
    <xf numFmtId="164" fontId="6" fillId="3" borderId="1" xfId="1" applyNumberFormat="1" applyFont="1" applyFill="1" applyBorder="1" applyAlignment="1" applyProtection="1">
      <alignment horizontal="center" vertical="center" wrapText="1"/>
    </xf>
    <xf numFmtId="9" fontId="6" fillId="0" borderId="1" xfId="2" applyFont="1" applyBorder="1" applyAlignment="1" applyProtection="1">
      <alignment horizontal="center" vertical="center" wrapText="1"/>
      <protection locked="0"/>
    </xf>
    <xf numFmtId="0" fontId="6" fillId="0" borderId="27" xfId="0" applyFont="1" applyBorder="1" applyAlignment="1" applyProtection="1">
      <alignment horizontal="left" vertical="center" wrapText="1"/>
      <protection locked="0"/>
    </xf>
    <xf numFmtId="169" fontId="6" fillId="0" borderId="27" xfId="1" applyNumberFormat="1" applyFont="1" applyFill="1" applyBorder="1" applyAlignment="1" applyProtection="1">
      <alignment horizontal="center" vertical="center" wrapText="1"/>
      <protection locked="0"/>
    </xf>
    <xf numFmtId="9" fontId="6" fillId="0" borderId="27" xfId="2" applyFont="1" applyBorder="1" applyAlignment="1" applyProtection="1">
      <alignment horizontal="center" vertical="center" wrapText="1"/>
      <protection locked="0"/>
    </xf>
    <xf numFmtId="9" fontId="6" fillId="5" borderId="27" xfId="2" applyFont="1" applyFill="1" applyBorder="1" applyAlignment="1" applyProtection="1">
      <alignment horizontal="center" vertical="center" wrapText="1"/>
      <protection locked="0"/>
    </xf>
    <xf numFmtId="0" fontId="4" fillId="5" borderId="2" xfId="0" applyFont="1" applyFill="1" applyBorder="1" applyAlignment="1">
      <alignment vertical="center" wrapText="1"/>
    </xf>
    <xf numFmtId="0" fontId="6" fillId="0" borderId="2" xfId="0" applyFont="1" applyBorder="1" applyAlignment="1" applyProtection="1">
      <alignment horizontal="left" vertical="center" wrapText="1"/>
      <protection locked="0"/>
    </xf>
    <xf numFmtId="169" fontId="6" fillId="0" borderId="45" xfId="1" applyNumberFormat="1" applyFont="1" applyFill="1" applyBorder="1" applyAlignment="1" applyProtection="1">
      <alignment horizontal="center" vertical="center" wrapText="1"/>
      <protection locked="0"/>
    </xf>
    <xf numFmtId="9" fontId="6" fillId="5" borderId="1" xfId="2" applyFont="1" applyFill="1" applyBorder="1" applyAlignment="1" applyProtection="1">
      <alignment horizontal="center" vertical="center" wrapText="1"/>
      <protection locked="0"/>
    </xf>
    <xf numFmtId="0" fontId="6" fillId="0" borderId="4" xfId="0" applyFont="1" applyBorder="1" applyAlignment="1" applyProtection="1">
      <alignment horizontal="left" vertical="center" wrapText="1"/>
      <protection locked="0"/>
    </xf>
    <xf numFmtId="169" fontId="6" fillId="0" borderId="4" xfId="1" applyNumberFormat="1" applyFont="1" applyFill="1" applyBorder="1" applyAlignment="1" applyProtection="1">
      <alignment horizontal="center" vertical="center" wrapText="1"/>
      <protection locked="0"/>
    </xf>
    <xf numFmtId="9" fontId="6" fillId="0" borderId="4" xfId="2" applyFont="1" applyBorder="1" applyAlignment="1" applyProtection="1">
      <alignment horizontal="center" vertical="center" wrapText="1"/>
      <protection locked="0"/>
    </xf>
    <xf numFmtId="9" fontId="6" fillId="0" borderId="23" xfId="2" applyFont="1" applyBorder="1" applyAlignment="1" applyProtection="1">
      <alignment vertical="center" wrapText="1"/>
      <protection locked="0"/>
    </xf>
    <xf numFmtId="9" fontId="6" fillId="0" borderId="1" xfId="2" applyFont="1" applyBorder="1" applyAlignment="1" applyProtection="1">
      <alignment vertical="center" wrapText="1"/>
      <protection locked="0"/>
    </xf>
    <xf numFmtId="43" fontId="11" fillId="9" borderId="50" xfId="3" applyFont="1" applyFill="1" applyBorder="1" applyAlignment="1">
      <alignment horizontal="right" vertical="center" wrapText="1"/>
    </xf>
    <xf numFmtId="172" fontId="4" fillId="4" borderId="20" xfId="2" applyNumberFormat="1" applyFont="1" applyFill="1" applyBorder="1" applyAlignment="1">
      <alignment horizontal="center" vertical="center" wrapText="1"/>
    </xf>
    <xf numFmtId="172" fontId="4" fillId="4" borderId="26" xfId="2" applyNumberFormat="1" applyFont="1" applyFill="1" applyBorder="1" applyAlignment="1">
      <alignment horizontal="center" vertical="center" wrapText="1"/>
    </xf>
    <xf numFmtId="172" fontId="4" fillId="4" borderId="39" xfId="2" applyNumberFormat="1" applyFont="1" applyFill="1" applyBorder="1" applyAlignment="1">
      <alignment horizontal="center" vertical="center" wrapText="1"/>
    </xf>
    <xf numFmtId="167" fontId="6" fillId="3" borderId="58" xfId="1" applyNumberFormat="1" applyFont="1" applyFill="1" applyBorder="1" applyAlignment="1">
      <alignment vertical="center" wrapText="1"/>
    </xf>
    <xf numFmtId="167" fontId="6" fillId="4" borderId="59" xfId="1" applyNumberFormat="1" applyFont="1" applyFill="1" applyBorder="1" applyAlignment="1" applyProtection="1">
      <alignment vertical="center" wrapText="1"/>
      <protection locked="0"/>
    </xf>
    <xf numFmtId="167" fontId="6" fillId="3" borderId="31" xfId="1" applyNumberFormat="1" applyFont="1" applyFill="1" applyBorder="1" applyAlignment="1">
      <alignment vertical="center" wrapText="1"/>
    </xf>
    <xf numFmtId="167" fontId="6" fillId="4" borderId="4" xfId="1" applyNumberFormat="1" applyFont="1" applyFill="1" applyBorder="1" applyAlignment="1" applyProtection="1">
      <alignment vertical="center" wrapText="1"/>
      <protection locked="0"/>
    </xf>
    <xf numFmtId="9" fontId="11" fillId="9" borderId="52" xfId="2" applyFont="1" applyFill="1" applyBorder="1" applyAlignment="1">
      <alignment horizontal="right" vertical="center" wrapText="1"/>
    </xf>
    <xf numFmtId="167" fontId="17" fillId="4" borderId="12" xfId="1" applyNumberFormat="1" applyFont="1" applyFill="1" applyBorder="1" applyAlignment="1" applyProtection="1">
      <alignment vertical="center" wrapText="1"/>
      <protection locked="0"/>
    </xf>
    <xf numFmtId="167" fontId="8" fillId="0" borderId="11" xfId="1" applyNumberFormat="1" applyFont="1" applyBorder="1" applyAlignment="1" applyProtection="1">
      <alignment vertical="center" wrapText="1"/>
      <protection locked="0"/>
    </xf>
    <xf numFmtId="0" fontId="11" fillId="15" borderId="50" xfId="0" applyFont="1" applyFill="1" applyBorder="1" applyAlignment="1">
      <alignment horizontal="center" vertical="center" wrapText="1"/>
    </xf>
    <xf numFmtId="43" fontId="12" fillId="11" borderId="1" xfId="3" applyFont="1" applyFill="1" applyBorder="1" applyAlignment="1">
      <alignment horizontal="right" vertical="center" wrapText="1"/>
    </xf>
    <xf numFmtId="43" fontId="12" fillId="11" borderId="1" xfId="3" applyFont="1" applyFill="1" applyBorder="1" applyAlignment="1">
      <alignment horizontal="center" vertical="center" wrapText="1"/>
    </xf>
    <xf numFmtId="171" fontId="12" fillId="11" borderId="18" xfId="3" applyNumberFormat="1" applyFont="1" applyFill="1" applyBorder="1" applyAlignment="1">
      <alignment horizontal="right" vertical="center" wrapText="1"/>
    </xf>
    <xf numFmtId="171" fontId="12" fillId="11" borderId="52" xfId="3" applyNumberFormat="1" applyFont="1" applyFill="1" applyBorder="1" applyAlignment="1">
      <alignment horizontal="right" vertical="center" wrapText="1"/>
    </xf>
    <xf numFmtId="171" fontId="12" fillId="11" borderId="9" xfId="3" applyNumberFormat="1" applyFont="1" applyFill="1" applyBorder="1" applyAlignment="1">
      <alignment horizontal="right" vertical="center" wrapText="1"/>
    </xf>
    <xf numFmtId="43" fontId="12" fillId="11" borderId="27" xfId="3" applyFont="1" applyFill="1" applyBorder="1" applyAlignment="1">
      <alignment horizontal="right" vertical="center" wrapText="1"/>
    </xf>
    <xf numFmtId="171" fontId="12" fillId="0" borderId="60" xfId="3" applyNumberFormat="1" applyFont="1" applyFill="1" applyBorder="1" applyAlignment="1">
      <alignment horizontal="right" vertical="center" wrapText="1"/>
    </xf>
    <xf numFmtId="171" fontId="12" fillId="11" borderId="1" xfId="3" applyNumberFormat="1" applyFont="1" applyFill="1" applyBorder="1" applyAlignment="1">
      <alignment horizontal="right" vertical="center" wrapText="1"/>
    </xf>
    <xf numFmtId="171" fontId="18" fillId="11" borderId="50" xfId="3" applyNumberFormat="1" applyFont="1" applyFill="1" applyBorder="1" applyAlignment="1">
      <alignment horizontal="right" vertical="center" wrapText="1"/>
    </xf>
    <xf numFmtId="171" fontId="19" fillId="11" borderId="50" xfId="3" applyNumberFormat="1" applyFont="1" applyFill="1" applyBorder="1" applyAlignment="1">
      <alignment horizontal="right" vertical="center" wrapText="1"/>
    </xf>
    <xf numFmtId="171" fontId="18" fillId="11" borderId="60" xfId="3" applyNumberFormat="1" applyFont="1" applyFill="1" applyBorder="1" applyAlignment="1">
      <alignment horizontal="right" vertical="center" wrapText="1"/>
    </xf>
    <xf numFmtId="171" fontId="11" fillId="9" borderId="61" xfId="3" applyNumberFormat="1" applyFont="1" applyFill="1" applyBorder="1" applyAlignment="1">
      <alignment horizontal="right" vertical="center" wrapText="1"/>
    </xf>
    <xf numFmtId="171" fontId="11" fillId="9" borderId="62" xfId="3" applyNumberFormat="1" applyFont="1" applyFill="1" applyBorder="1" applyAlignment="1">
      <alignment horizontal="right" vertical="center" wrapText="1"/>
    </xf>
    <xf numFmtId="9" fontId="11" fillId="9" borderId="53" xfId="2" applyFont="1" applyFill="1" applyBorder="1" applyAlignment="1">
      <alignment horizontal="right" vertical="center" wrapText="1"/>
    </xf>
    <xf numFmtId="43" fontId="11" fillId="9" borderId="61" xfId="3" applyFont="1" applyFill="1" applyBorder="1" applyAlignment="1">
      <alignment horizontal="right" vertical="center" wrapText="1"/>
    </xf>
    <xf numFmtId="167" fontId="17" fillId="4" borderId="12" xfId="1" applyNumberFormat="1" applyFont="1" applyFill="1" applyBorder="1" applyAlignment="1" applyProtection="1">
      <alignment horizontal="center" vertical="center" wrapText="1"/>
      <protection locked="0"/>
    </xf>
    <xf numFmtId="167" fontId="17" fillId="4" borderId="15" xfId="1" applyNumberFormat="1" applyFont="1" applyFill="1" applyBorder="1" applyAlignment="1" applyProtection="1">
      <alignment horizontal="center" vertical="center" wrapText="1"/>
      <protection locked="0"/>
    </xf>
    <xf numFmtId="170" fontId="20" fillId="4" borderId="20" xfId="2" applyNumberFormat="1" applyFont="1" applyFill="1" applyBorder="1" applyAlignment="1">
      <alignment horizontal="center" vertical="center" wrapText="1"/>
    </xf>
    <xf numFmtId="170" fontId="20" fillId="4" borderId="26" xfId="2" applyNumberFormat="1" applyFont="1" applyFill="1" applyBorder="1" applyAlignment="1">
      <alignment horizontal="center" vertical="center" wrapText="1"/>
    </xf>
    <xf numFmtId="170" fontId="20" fillId="4" borderId="39" xfId="2" applyNumberFormat="1" applyFont="1" applyFill="1" applyBorder="1" applyAlignment="1">
      <alignment horizontal="center" vertical="center" wrapText="1"/>
    </xf>
    <xf numFmtId="171" fontId="18" fillId="11" borderId="18" xfId="3" applyNumberFormat="1" applyFont="1" applyFill="1" applyBorder="1" applyAlignment="1">
      <alignment horizontal="right" vertical="center" wrapText="1"/>
    </xf>
    <xf numFmtId="0" fontId="21" fillId="0" borderId="0" xfId="0" applyFont="1"/>
    <xf numFmtId="167" fontId="17" fillId="0" borderId="19" xfId="1" applyNumberFormat="1" applyFont="1" applyBorder="1" applyAlignment="1" applyProtection="1">
      <alignment vertical="center" wrapText="1"/>
      <protection locked="0"/>
    </xf>
    <xf numFmtId="167" fontId="17" fillId="0" borderId="11" xfId="1" applyNumberFormat="1" applyFont="1" applyBorder="1" applyAlignment="1" applyProtection="1">
      <alignment vertical="center" wrapText="1"/>
      <protection locked="0"/>
    </xf>
    <xf numFmtId="167" fontId="6" fillId="4" borderId="15" xfId="1" applyNumberFormat="1" applyFont="1" applyFill="1" applyBorder="1" applyAlignment="1">
      <alignment horizontal="center" vertical="center" wrapText="1"/>
    </xf>
    <xf numFmtId="43" fontId="14" fillId="0" borderId="0" xfId="3" applyFont="1"/>
    <xf numFmtId="43" fontId="14" fillId="0" borderId="0" xfId="3" applyFont="1" applyBorder="1"/>
    <xf numFmtId="0" fontId="2" fillId="0" borderId="0" xfId="0" applyFont="1" applyAlignment="1">
      <alignment vertical="center"/>
    </xf>
    <xf numFmtId="0" fontId="23" fillId="0" borderId="0" xfId="0" applyFont="1" applyAlignment="1">
      <alignment vertical="center" wrapText="1"/>
    </xf>
    <xf numFmtId="0" fontId="24" fillId="0" borderId="0" xfId="0" applyFont="1"/>
    <xf numFmtId="173" fontId="6" fillId="5" borderId="0" xfId="0" applyNumberFormat="1" applyFont="1" applyFill="1" applyAlignment="1" applyProtection="1">
      <alignment vertical="center" wrapText="1"/>
      <protection locked="0"/>
    </xf>
    <xf numFmtId="165" fontId="14" fillId="0" borderId="0" xfId="0" applyNumberFormat="1" applyFont="1"/>
    <xf numFmtId="0" fontId="0" fillId="0" borderId="37" xfId="0" applyBorder="1"/>
    <xf numFmtId="43" fontId="14" fillId="0" borderId="0" xfId="0" applyNumberFormat="1" applyFont="1"/>
    <xf numFmtId="43" fontId="14" fillId="0" borderId="37" xfId="0" applyNumberFormat="1" applyFont="1" applyBorder="1"/>
    <xf numFmtId="172" fontId="20" fillId="4" borderId="20" xfId="2" applyNumberFormat="1" applyFont="1" applyFill="1" applyBorder="1" applyAlignment="1">
      <alignment horizontal="center" vertical="center" wrapText="1"/>
    </xf>
    <xf numFmtId="172" fontId="20" fillId="4" borderId="26" xfId="2" applyNumberFormat="1" applyFont="1" applyFill="1" applyBorder="1" applyAlignment="1">
      <alignment horizontal="center" vertical="center" wrapText="1"/>
    </xf>
    <xf numFmtId="172" fontId="20" fillId="4" borderId="39" xfId="2" applyNumberFormat="1" applyFont="1" applyFill="1" applyBorder="1" applyAlignment="1">
      <alignment horizontal="center" vertical="center" wrapText="1"/>
    </xf>
    <xf numFmtId="167" fontId="17" fillId="4" borderId="20" xfId="1" applyNumberFormat="1" applyFont="1" applyFill="1" applyBorder="1" applyAlignment="1" applyProtection="1">
      <alignment vertical="center" wrapText="1"/>
      <protection locked="0"/>
    </xf>
    <xf numFmtId="43" fontId="2" fillId="0" borderId="0" xfId="3" applyFont="1" applyBorder="1" applyAlignment="1">
      <alignment vertical="center" wrapText="1"/>
    </xf>
    <xf numFmtId="168" fontId="2" fillId="0" borderId="0" xfId="2" applyNumberFormat="1" applyFont="1" applyBorder="1" applyAlignment="1">
      <alignment vertical="center" wrapText="1"/>
    </xf>
    <xf numFmtId="0" fontId="14" fillId="0" borderId="0" xfId="0" applyFont="1" applyAlignment="1">
      <alignment horizontal="right"/>
    </xf>
    <xf numFmtId="0" fontId="23" fillId="0" borderId="0" xfId="0" applyFont="1" applyAlignment="1">
      <alignment vertical="center"/>
    </xf>
    <xf numFmtId="167" fontId="4" fillId="3" borderId="24" xfId="1" applyNumberFormat="1" applyFont="1" applyFill="1" applyBorder="1" applyAlignment="1">
      <alignment vertical="center" wrapText="1"/>
    </xf>
    <xf numFmtId="167" fontId="6" fillId="0" borderId="11" xfId="1" applyNumberFormat="1" applyFont="1" applyFill="1" applyBorder="1" applyAlignment="1" applyProtection="1">
      <alignment horizontal="center" vertical="center" wrapText="1"/>
      <protection locked="0"/>
    </xf>
    <xf numFmtId="167" fontId="6" fillId="0" borderId="14" xfId="1" applyNumberFormat="1" applyFont="1" applyFill="1" applyBorder="1" applyAlignment="1" applyProtection="1">
      <alignment horizontal="center" vertical="center" wrapText="1"/>
      <protection locked="0"/>
    </xf>
    <xf numFmtId="167" fontId="6" fillId="0" borderId="19" xfId="1" applyNumberFormat="1" applyFont="1" applyFill="1" applyBorder="1" applyAlignment="1" applyProtection="1">
      <alignment vertical="center" wrapText="1"/>
      <protection locked="0"/>
    </xf>
    <xf numFmtId="167" fontId="6" fillId="0" borderId="11" xfId="1" applyNumberFormat="1" applyFont="1" applyFill="1" applyBorder="1" applyAlignment="1" applyProtection="1">
      <alignment vertical="center" wrapText="1"/>
      <protection locked="0"/>
    </xf>
    <xf numFmtId="171" fontId="11" fillId="3" borderId="50" xfId="3" applyNumberFormat="1" applyFont="1" applyFill="1" applyBorder="1" applyAlignment="1">
      <alignment horizontal="right" vertical="center" wrapText="1"/>
    </xf>
    <xf numFmtId="0" fontId="11" fillId="3" borderId="50" xfId="0" applyFont="1" applyFill="1" applyBorder="1" applyAlignment="1">
      <alignment horizontal="center" vertical="center" wrapText="1"/>
    </xf>
    <xf numFmtId="171" fontId="14" fillId="0" borderId="0" xfId="0" applyNumberFormat="1" applyFont="1"/>
    <xf numFmtId="0" fontId="6" fillId="5" borderId="12" xfId="0" applyFont="1" applyFill="1" applyBorder="1" applyAlignment="1" applyProtection="1">
      <alignment vertical="center" wrapText="1"/>
      <protection locked="0"/>
    </xf>
    <xf numFmtId="9" fontId="2" fillId="0" borderId="0" xfId="2" applyFont="1" applyBorder="1" applyAlignment="1">
      <alignment vertical="center" wrapText="1"/>
    </xf>
    <xf numFmtId="9" fontId="2" fillId="0" borderId="0" xfId="2" applyFont="1" applyAlignment="1">
      <alignment vertical="center" wrapText="1"/>
    </xf>
    <xf numFmtId="9" fontId="2" fillId="0" borderId="0" xfId="0" applyNumberFormat="1" applyFont="1" applyAlignment="1">
      <alignment vertical="center" wrapText="1"/>
    </xf>
    <xf numFmtId="9" fontId="2" fillId="0" borderId="0" xfId="3" applyNumberFormat="1" applyFont="1" applyBorder="1" applyAlignment="1">
      <alignment vertical="center" wrapText="1"/>
    </xf>
    <xf numFmtId="43" fontId="2" fillId="0" borderId="0" xfId="3" applyFont="1" applyAlignment="1">
      <alignment vertical="center" wrapText="1"/>
    </xf>
    <xf numFmtId="43" fontId="2" fillId="0" borderId="37" xfId="3" applyFont="1" applyBorder="1" applyAlignment="1">
      <alignment vertical="center" wrapText="1"/>
    </xf>
    <xf numFmtId="43" fontId="25" fillId="0" borderId="0" xfId="0" applyNumberFormat="1" applyFont="1" applyAlignment="1">
      <alignment vertical="center" wrapText="1"/>
    </xf>
    <xf numFmtId="173" fontId="4" fillId="0" borderId="0" xfId="0" applyNumberFormat="1" applyFont="1" applyAlignment="1" applyProtection="1">
      <alignment vertical="center" wrapText="1"/>
      <protection locked="0"/>
    </xf>
    <xf numFmtId="43" fontId="2" fillId="0" borderId="37" xfId="0" applyNumberFormat="1" applyFont="1" applyBorder="1" applyAlignment="1">
      <alignment vertical="center" wrapText="1"/>
    </xf>
    <xf numFmtId="2" fontId="0" fillId="0" borderId="0" xfId="0" applyNumberFormat="1"/>
    <xf numFmtId="10" fontId="4" fillId="4" borderId="18" xfId="2"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4" fillId="5" borderId="21" xfId="0" applyFont="1" applyFill="1" applyBorder="1" applyAlignment="1" applyProtection="1">
      <alignment horizontal="center" vertical="center" wrapText="1"/>
      <protection locked="0"/>
    </xf>
    <xf numFmtId="0" fontId="4" fillId="5" borderId="22"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7" borderId="5"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7" borderId="7" xfId="0" applyFont="1" applyFill="1" applyBorder="1" applyAlignment="1">
      <alignment horizontal="center" vertical="center" wrapText="1"/>
    </xf>
    <xf numFmtId="166" fontId="4" fillId="3" borderId="44" xfId="1" applyFont="1" applyFill="1" applyBorder="1" applyAlignment="1">
      <alignment horizontal="center" vertical="center" wrapText="1"/>
    </xf>
    <xf numFmtId="166" fontId="4" fillId="3" borderId="9" xfId="1" applyFont="1" applyFill="1" applyBorder="1" applyAlignment="1">
      <alignment horizontal="center" vertical="center" wrapText="1"/>
    </xf>
    <xf numFmtId="0" fontId="4" fillId="3" borderId="13" xfId="1" applyNumberFormat="1" applyFont="1" applyFill="1" applyBorder="1" applyAlignment="1">
      <alignment horizontal="center" vertical="center" wrapText="1"/>
    </xf>
    <xf numFmtId="0" fontId="4" fillId="3" borderId="40" xfId="1" applyNumberFormat="1" applyFont="1" applyFill="1" applyBorder="1" applyAlignment="1">
      <alignment horizontal="center" vertical="center" wrapText="1"/>
    </xf>
    <xf numFmtId="166" fontId="4" fillId="3" borderId="42" xfId="1" applyFont="1" applyFill="1" applyBorder="1" applyAlignment="1">
      <alignment horizontal="center" vertical="center" wrapText="1"/>
    </xf>
    <xf numFmtId="166" fontId="4" fillId="3" borderId="43" xfId="1" applyFont="1" applyFill="1" applyBorder="1" applyAlignment="1">
      <alignment horizontal="center" vertical="center" wrapText="1"/>
    </xf>
    <xf numFmtId="0" fontId="6" fillId="3" borderId="8" xfId="0" applyFont="1" applyFill="1" applyBorder="1" applyAlignment="1">
      <alignment horizontal="center" vertical="center" wrapText="1"/>
    </xf>
    <xf numFmtId="166" fontId="4" fillId="3" borderId="41" xfId="1" applyFont="1" applyFill="1" applyBorder="1" applyAlignment="1">
      <alignment horizontal="center" vertical="center" wrapText="1"/>
    </xf>
    <xf numFmtId="166" fontId="4" fillId="3" borderId="35" xfId="1" applyFont="1" applyFill="1" applyBorder="1" applyAlignment="1">
      <alignment horizontal="center" vertical="center" wrapText="1"/>
    </xf>
    <xf numFmtId="49" fontId="7" fillId="5" borderId="1" xfId="0" applyNumberFormat="1" applyFont="1" applyFill="1" applyBorder="1" applyAlignment="1" applyProtection="1">
      <alignment horizontal="left" vertical="center" wrapText="1"/>
      <protection locked="0"/>
    </xf>
    <xf numFmtId="49" fontId="7" fillId="5" borderId="4" xfId="0" applyNumberFormat="1" applyFont="1" applyFill="1" applyBorder="1" applyAlignment="1" applyProtection="1">
      <alignment horizontal="left" vertical="center" wrapText="1"/>
      <protection locked="0"/>
    </xf>
    <xf numFmtId="49" fontId="4" fillId="5" borderId="1" xfId="0" applyNumberFormat="1" applyFont="1" applyFill="1" applyBorder="1" applyAlignment="1" applyProtection="1">
      <alignment horizontal="left" vertical="center" wrapText="1"/>
      <protection locked="0"/>
    </xf>
    <xf numFmtId="49" fontId="4" fillId="5" borderId="27" xfId="0" applyNumberFormat="1"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0" xfId="0" applyFont="1" applyFill="1" applyAlignment="1" applyProtection="1">
      <alignment horizontal="left" vertical="center" wrapText="1"/>
      <protection locked="0"/>
    </xf>
    <xf numFmtId="0" fontId="4" fillId="5" borderId="3" xfId="0" applyFont="1" applyFill="1" applyBorder="1" applyAlignment="1" applyProtection="1">
      <alignment horizontal="left" vertical="center" wrapText="1"/>
      <protection locked="0"/>
    </xf>
    <xf numFmtId="0" fontId="7" fillId="5" borderId="23" xfId="0" applyFont="1" applyFill="1" applyBorder="1" applyAlignment="1" applyProtection="1">
      <alignment horizontal="left" vertical="center" wrapText="1"/>
      <protection locked="0"/>
    </xf>
    <xf numFmtId="0" fontId="7" fillId="5" borderId="20"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25" xfId="0" applyFont="1" applyFill="1" applyBorder="1" applyAlignment="1" applyProtection="1">
      <alignment horizontal="left" vertical="center" wrapText="1"/>
      <protection locked="0"/>
    </xf>
    <xf numFmtId="0" fontId="4" fillId="5" borderId="26" xfId="0" applyFont="1" applyFill="1" applyBorder="1" applyAlignment="1" applyProtection="1">
      <alignment horizontal="left" vertical="center" wrapText="1"/>
      <protection locked="0"/>
    </xf>
    <xf numFmtId="0" fontId="4" fillId="5" borderId="27" xfId="0" applyFont="1" applyFill="1" applyBorder="1" applyAlignment="1" applyProtection="1">
      <alignment horizontal="left" vertical="center" wrapText="1"/>
      <protection locked="0"/>
    </xf>
    <xf numFmtId="0" fontId="13" fillId="11" borderId="5" xfId="0" applyFont="1" applyFill="1" applyBorder="1" applyAlignment="1">
      <alignment horizontal="center"/>
    </xf>
    <xf numFmtId="0" fontId="13" fillId="11" borderId="6" xfId="0" applyFont="1" applyFill="1" applyBorder="1" applyAlignment="1">
      <alignment horizontal="center"/>
    </xf>
    <xf numFmtId="0" fontId="13" fillId="11" borderId="7" xfId="0" applyFont="1" applyFill="1" applyBorder="1" applyAlignment="1">
      <alignment horizontal="center"/>
    </xf>
    <xf numFmtId="0" fontId="11" fillId="8" borderId="5"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11" fillId="8" borderId="7" xfId="0" applyFont="1" applyFill="1" applyBorder="1" applyAlignment="1">
      <alignment horizontal="center" vertical="center" wrapText="1"/>
    </xf>
    <xf numFmtId="9" fontId="10" fillId="13" borderId="44" xfId="2" applyFont="1" applyFill="1" applyBorder="1" applyAlignment="1">
      <alignment horizontal="center" vertical="center" wrapText="1"/>
    </xf>
    <xf numFmtId="9" fontId="10" fillId="13" borderId="52" xfId="2" applyFont="1" applyFill="1" applyBorder="1" applyAlignment="1">
      <alignment horizontal="center" vertical="center" wrapText="1"/>
    </xf>
    <xf numFmtId="0" fontId="11" fillId="8" borderId="54" xfId="0" applyFont="1" applyFill="1" applyBorder="1" applyAlignment="1">
      <alignment horizontal="center" vertical="center" wrapText="1"/>
    </xf>
    <xf numFmtId="0" fontId="11" fillId="8" borderId="47" xfId="0" applyFont="1" applyFill="1" applyBorder="1" applyAlignment="1">
      <alignment horizontal="center" vertical="center" wrapText="1"/>
    </xf>
    <xf numFmtId="0" fontId="11" fillId="8" borderId="48" xfId="0" applyFont="1" applyFill="1" applyBorder="1" applyAlignment="1">
      <alignment horizontal="center" vertical="center" wrapText="1"/>
    </xf>
    <xf numFmtId="0" fontId="11" fillId="8" borderId="49" xfId="0" applyFont="1" applyFill="1" applyBorder="1" applyAlignment="1">
      <alignment horizontal="center" vertical="center" wrapText="1"/>
    </xf>
    <xf numFmtId="0" fontId="11" fillId="8" borderId="51" xfId="0" applyFont="1" applyFill="1" applyBorder="1" applyAlignment="1">
      <alignment horizontal="center" vertical="center" wrapText="1"/>
    </xf>
    <xf numFmtId="43" fontId="11" fillId="8" borderId="9" xfId="3" applyFont="1" applyFill="1" applyBorder="1" applyAlignment="1">
      <alignment horizontal="center" vertical="center" wrapText="1"/>
    </xf>
    <xf numFmtId="43" fontId="11" fillId="8" borderId="52" xfId="3" applyFont="1" applyFill="1" applyBorder="1" applyAlignment="1">
      <alignment horizontal="center" vertical="center" wrapText="1"/>
    </xf>
    <xf numFmtId="0" fontId="15" fillId="12" borderId="43" xfId="0" applyFont="1" applyFill="1" applyBorder="1" applyAlignment="1">
      <alignment horizontal="center" wrapText="1"/>
    </xf>
    <xf numFmtId="0" fontId="15" fillId="12" borderId="57" xfId="0" applyFont="1" applyFill="1" applyBorder="1" applyAlignment="1">
      <alignment horizontal="center" wrapText="1"/>
    </xf>
  </cellXfs>
  <cellStyles count="4">
    <cellStyle name="Milliers" xfId="3" builtinId="3"/>
    <cellStyle name="Monétaire" xfId="1" builtinId="4"/>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2:U321"/>
  <sheetViews>
    <sheetView tabSelected="1" topLeftCell="A93" zoomScale="60" zoomScaleNormal="60" workbookViewId="0">
      <pane xSplit="3" topLeftCell="P1" activePane="topRight" state="frozen"/>
      <selection activeCell="A4" sqref="A4"/>
      <selection pane="topRight" activeCell="S102" sqref="S102"/>
    </sheetView>
  </sheetViews>
  <sheetFormatPr baseColWidth="10" defaultColWidth="9.1796875" defaultRowHeight="14" x14ac:dyDescent="0.35"/>
  <cols>
    <col min="1" max="1" width="2.26953125" style="1" customWidth="1"/>
    <col min="2" max="2" width="30.7265625" style="1" customWidth="1"/>
    <col min="3" max="3" width="58.7265625" style="1" customWidth="1"/>
    <col min="4" max="4" width="20.26953125" style="1" customWidth="1"/>
    <col min="5" max="5" width="19.26953125" style="1" customWidth="1"/>
    <col min="6" max="6" width="20.7265625" style="1" customWidth="1"/>
    <col min="7" max="7" width="19.26953125" style="1" customWidth="1"/>
    <col min="8" max="8" width="21.26953125" style="1" customWidth="1"/>
    <col min="9" max="9" width="20.26953125" style="9" customWidth="1"/>
    <col min="10" max="14" width="20.26953125" style="1" customWidth="1"/>
    <col min="15" max="15" width="20.26953125" style="9" customWidth="1"/>
    <col min="16" max="16" width="24.1796875" style="1" customWidth="1"/>
    <col min="17" max="19" width="20.26953125" style="1" customWidth="1"/>
    <col min="20" max="20" width="45.26953125" style="1" customWidth="1"/>
    <col min="21" max="21" width="18.81640625" style="1" customWidth="1"/>
    <col min="22" max="22" width="9.1796875" style="1"/>
    <col min="23" max="23" width="17.7265625" style="1" customWidth="1"/>
    <col min="24" max="24" width="26.54296875" style="1" customWidth="1"/>
    <col min="25" max="25" width="22.54296875" style="1" customWidth="1"/>
    <col min="26" max="26" width="29.7265625" style="1" customWidth="1"/>
    <col min="27" max="27" width="23.453125" style="1" customWidth="1"/>
    <col min="28" max="28" width="18.54296875" style="1" customWidth="1"/>
    <col min="29" max="29" width="17.453125" style="1" customWidth="1"/>
    <col min="30" max="30" width="25.1796875" style="1" customWidth="1"/>
    <col min="31" max="16384" width="9.1796875" style="1"/>
  </cols>
  <sheetData>
    <row r="2" spans="2:21" ht="47.25" customHeight="1" x14ac:dyDescent="0.35">
      <c r="B2" s="225" t="s">
        <v>63</v>
      </c>
      <c r="C2" s="225"/>
      <c r="D2" s="225"/>
      <c r="E2" s="225"/>
      <c r="F2" s="225"/>
      <c r="G2" s="225"/>
      <c r="H2" s="225"/>
      <c r="I2" s="225"/>
      <c r="J2" s="225"/>
      <c r="K2" s="225"/>
      <c r="L2" s="225"/>
      <c r="M2" s="225"/>
      <c r="N2" s="225"/>
      <c r="O2" s="225"/>
      <c r="P2" s="225"/>
      <c r="Q2" s="225"/>
      <c r="R2" s="225"/>
      <c r="S2" s="225"/>
      <c r="T2" s="225"/>
    </row>
    <row r="3" spans="2:21" ht="27" customHeight="1" x14ac:dyDescent="0.35">
      <c r="B3" s="226"/>
      <c r="C3" s="226"/>
      <c r="D3" s="226"/>
      <c r="E3" s="226"/>
      <c r="F3" s="226"/>
      <c r="G3" s="226"/>
      <c r="H3" s="226"/>
      <c r="I3" s="226"/>
      <c r="J3" s="226"/>
      <c r="K3" s="226"/>
      <c r="L3" s="226"/>
      <c r="M3" s="226"/>
      <c r="N3" s="226"/>
      <c r="O3" s="226"/>
      <c r="P3" s="226"/>
      <c r="Q3" s="226"/>
      <c r="R3" s="226"/>
      <c r="S3" s="226"/>
      <c r="T3" s="226"/>
    </row>
    <row r="4" spans="2:21" ht="14.5" thickBot="1" x14ac:dyDescent="0.4"/>
    <row r="5" spans="2:21" ht="142.15" customHeight="1" x14ac:dyDescent="0.35">
      <c r="B5" s="2" t="s">
        <v>140</v>
      </c>
      <c r="C5" s="28" t="s">
        <v>141</v>
      </c>
      <c r="D5" s="31" t="s">
        <v>138</v>
      </c>
      <c r="E5" s="32" t="s">
        <v>139</v>
      </c>
      <c r="F5" s="31" t="s">
        <v>138</v>
      </c>
      <c r="G5" s="32" t="s">
        <v>139</v>
      </c>
      <c r="H5" s="31" t="s">
        <v>138</v>
      </c>
      <c r="I5" s="32" t="s">
        <v>139</v>
      </c>
      <c r="J5" s="31" t="s">
        <v>138</v>
      </c>
      <c r="K5" s="32" t="s">
        <v>157</v>
      </c>
      <c r="L5" s="31" t="s">
        <v>138</v>
      </c>
      <c r="M5" s="32" t="s">
        <v>139</v>
      </c>
      <c r="N5" s="31" t="s">
        <v>138</v>
      </c>
      <c r="O5" s="32" t="s">
        <v>139</v>
      </c>
      <c r="P5" s="31" t="s">
        <v>107</v>
      </c>
      <c r="Q5" s="32" t="s">
        <v>106</v>
      </c>
      <c r="R5" s="34" t="s">
        <v>108</v>
      </c>
      <c r="S5" s="32" t="s">
        <v>109</v>
      </c>
      <c r="T5" s="30" t="s">
        <v>110</v>
      </c>
      <c r="U5" s="3"/>
    </row>
    <row r="6" spans="2:21" ht="18.75" customHeight="1" thickBot="1" x14ac:dyDescent="0.4">
      <c r="B6" s="4"/>
      <c r="C6" s="29"/>
      <c r="D6" s="227" t="s">
        <v>60</v>
      </c>
      <c r="E6" s="228"/>
      <c r="F6" s="227" t="s">
        <v>61</v>
      </c>
      <c r="G6" s="228"/>
      <c r="H6" s="227" t="s">
        <v>62</v>
      </c>
      <c r="I6" s="228"/>
      <c r="J6" s="227" t="s">
        <v>58</v>
      </c>
      <c r="K6" s="228"/>
      <c r="L6" s="227" t="s">
        <v>57</v>
      </c>
      <c r="M6" s="228"/>
      <c r="N6" s="227" t="s">
        <v>59</v>
      </c>
      <c r="O6" s="228"/>
      <c r="P6" s="35"/>
      <c r="Q6" s="36"/>
      <c r="R6" s="37"/>
      <c r="S6" s="38"/>
      <c r="T6" s="33"/>
      <c r="U6" s="3"/>
    </row>
    <row r="7" spans="2:21" ht="36.65" customHeight="1" x14ac:dyDescent="0.35">
      <c r="B7" s="5" t="s">
        <v>65</v>
      </c>
      <c r="C7" s="243" t="s">
        <v>64</v>
      </c>
      <c r="D7" s="244"/>
      <c r="E7" s="244"/>
      <c r="F7" s="244"/>
      <c r="G7" s="244"/>
      <c r="H7" s="244"/>
      <c r="I7" s="244"/>
      <c r="J7" s="244"/>
      <c r="K7" s="244"/>
      <c r="L7" s="244"/>
      <c r="M7" s="244"/>
      <c r="N7" s="244"/>
      <c r="O7" s="244"/>
      <c r="P7" s="244"/>
      <c r="Q7" s="244"/>
      <c r="R7" s="244"/>
      <c r="S7" s="244"/>
      <c r="T7" s="243"/>
      <c r="U7" s="6"/>
    </row>
    <row r="8" spans="2:21" ht="30" customHeight="1" x14ac:dyDescent="0.35">
      <c r="B8" s="5" t="s">
        <v>67</v>
      </c>
      <c r="C8" s="245" t="s">
        <v>66</v>
      </c>
      <c r="D8" s="246"/>
      <c r="E8" s="246"/>
      <c r="F8" s="246"/>
      <c r="G8" s="246"/>
      <c r="H8" s="246"/>
      <c r="I8" s="246"/>
      <c r="J8" s="246"/>
      <c r="K8" s="246"/>
      <c r="L8" s="246"/>
      <c r="M8" s="246"/>
      <c r="N8" s="246"/>
      <c r="O8" s="246"/>
      <c r="P8" s="246"/>
      <c r="Q8" s="246"/>
      <c r="R8" s="246"/>
      <c r="S8" s="246"/>
      <c r="T8" s="245"/>
      <c r="U8" s="7"/>
    </row>
    <row r="9" spans="2:21" ht="30" customHeight="1" x14ac:dyDescent="0.35">
      <c r="B9" s="5" t="s">
        <v>68</v>
      </c>
      <c r="C9" s="133" t="s">
        <v>78</v>
      </c>
      <c r="D9" s="134">
        <v>30000</v>
      </c>
      <c r="E9" s="177">
        <v>33340.910000000003</v>
      </c>
      <c r="F9" s="134"/>
      <c r="G9" s="44"/>
      <c r="H9" s="134"/>
      <c r="I9" s="44"/>
      <c r="J9" s="134">
        <f>54339.95+6000</f>
        <v>60339.95</v>
      </c>
      <c r="K9" s="44">
        <v>52883.95</v>
      </c>
      <c r="L9" s="134"/>
      <c r="M9" s="44"/>
      <c r="N9" s="134"/>
      <c r="O9" s="44"/>
      <c r="P9" s="135">
        <f>SUM(D9,F9,H9,J9,L9,N9)</f>
        <v>90339.95</v>
      </c>
      <c r="Q9" s="24">
        <f>SUM(E9,G9,I9,K9,M9,O9)</f>
        <v>86224.86</v>
      </c>
      <c r="R9" s="136">
        <v>0.5</v>
      </c>
      <c r="S9" s="44"/>
      <c r="T9" s="45"/>
      <c r="U9" s="8"/>
    </row>
    <row r="10" spans="2:21" ht="61.5" customHeight="1" x14ac:dyDescent="0.35">
      <c r="B10" s="5" t="s">
        <v>69</v>
      </c>
      <c r="C10" s="133" t="s">
        <v>79</v>
      </c>
      <c r="D10" s="134">
        <v>50000</v>
      </c>
      <c r="E10" s="177">
        <f>31159.73+4818.86</f>
        <v>35978.589999999997</v>
      </c>
      <c r="F10" s="43"/>
      <c r="G10" s="44"/>
      <c r="H10" s="134"/>
      <c r="I10" s="44"/>
      <c r="J10" s="134">
        <v>36330</v>
      </c>
      <c r="K10" s="44">
        <v>43332.83</v>
      </c>
      <c r="L10" s="206"/>
      <c r="M10" s="44"/>
      <c r="N10" s="134"/>
      <c r="O10" s="44"/>
      <c r="P10" s="135">
        <f t="shared" ref="P10:P18" si="0">SUM(D10,F10,H10,J10,L10,N10)</f>
        <v>86330</v>
      </c>
      <c r="Q10" s="24">
        <f t="shared" ref="Q10:Q18" si="1">SUM(E10,G10,I10,K10,M10,O10)</f>
        <v>79311.42</v>
      </c>
      <c r="R10" s="136">
        <v>0.65</v>
      </c>
      <c r="S10" s="44"/>
      <c r="T10" s="45"/>
      <c r="U10" s="8"/>
    </row>
    <row r="11" spans="2:21" ht="30" customHeight="1" x14ac:dyDescent="0.35">
      <c r="B11" s="5" t="s">
        <v>70</v>
      </c>
      <c r="C11" s="133" t="s">
        <v>80</v>
      </c>
      <c r="D11" s="134">
        <v>20000</v>
      </c>
      <c r="E11" s="177">
        <v>36887.199999999997</v>
      </c>
      <c r="F11" s="43"/>
      <c r="G11" s="44"/>
      <c r="H11" s="134"/>
      <c r="I11" s="44"/>
      <c r="J11" s="134">
        <v>25561</v>
      </c>
      <c r="K11" s="44">
        <v>37835.15</v>
      </c>
      <c r="L11" s="206"/>
      <c r="M11" s="44"/>
      <c r="N11" s="134"/>
      <c r="O11" s="44"/>
      <c r="P11" s="135">
        <f t="shared" si="0"/>
        <v>45561</v>
      </c>
      <c r="Q11" s="24">
        <f t="shared" si="1"/>
        <v>74722.350000000006</v>
      </c>
      <c r="R11" s="136">
        <v>0.65</v>
      </c>
      <c r="S11" s="44"/>
      <c r="T11" s="45"/>
      <c r="U11" s="8"/>
    </row>
    <row r="12" spans="2:21" ht="30" customHeight="1" x14ac:dyDescent="0.35">
      <c r="B12" s="5" t="s">
        <v>71</v>
      </c>
      <c r="C12" s="133" t="s">
        <v>81</v>
      </c>
      <c r="D12" s="134">
        <v>40000</v>
      </c>
      <c r="E12" s="177">
        <v>34204.25</v>
      </c>
      <c r="F12" s="43"/>
      <c r="G12" s="44"/>
      <c r="H12" s="134"/>
      <c r="I12" s="44"/>
      <c r="J12" s="134">
        <v>31702</v>
      </c>
      <c r="K12" s="44">
        <v>27414.42</v>
      </c>
      <c r="L12" s="206"/>
      <c r="M12" s="44"/>
      <c r="N12" s="134"/>
      <c r="O12" s="44"/>
      <c r="P12" s="135">
        <f t="shared" si="0"/>
        <v>71702</v>
      </c>
      <c r="Q12" s="24">
        <f t="shared" si="1"/>
        <v>61618.67</v>
      </c>
      <c r="R12" s="136">
        <v>0.6</v>
      </c>
      <c r="S12" s="44"/>
      <c r="T12" s="45"/>
      <c r="U12" s="8"/>
    </row>
    <row r="13" spans="2:21" ht="30" customHeight="1" x14ac:dyDescent="0.35">
      <c r="B13" s="5" t="s">
        <v>72</v>
      </c>
      <c r="C13" s="133" t="s">
        <v>82</v>
      </c>
      <c r="D13" s="134">
        <v>10000</v>
      </c>
      <c r="E13" s="177">
        <v>11990.45</v>
      </c>
      <c r="F13" s="43"/>
      <c r="G13" s="44"/>
      <c r="H13" s="134"/>
      <c r="I13" s="44"/>
      <c r="J13" s="134">
        <v>13850</v>
      </c>
      <c r="K13" s="44">
        <v>7165.99</v>
      </c>
      <c r="L13" s="206"/>
      <c r="M13" s="44"/>
      <c r="N13" s="134"/>
      <c r="O13" s="44"/>
      <c r="P13" s="135">
        <f t="shared" si="0"/>
        <v>23850</v>
      </c>
      <c r="Q13" s="24">
        <f t="shared" si="1"/>
        <v>19156.440000000002</v>
      </c>
      <c r="R13" s="136">
        <v>0.3</v>
      </c>
      <c r="S13" s="44"/>
      <c r="T13" s="45"/>
      <c r="U13" s="8"/>
    </row>
    <row r="14" spans="2:21" ht="30" customHeight="1" x14ac:dyDescent="0.35">
      <c r="B14" s="5" t="s">
        <v>73</v>
      </c>
      <c r="C14" s="133" t="s">
        <v>83</v>
      </c>
      <c r="D14" s="134">
        <v>53000</v>
      </c>
      <c r="E14" s="177">
        <v>27280.07</v>
      </c>
      <c r="F14" s="43"/>
      <c r="G14" s="44"/>
      <c r="H14" s="134"/>
      <c r="I14" s="44"/>
      <c r="J14" s="134">
        <v>42697</v>
      </c>
      <c r="K14" s="44">
        <v>5930.45</v>
      </c>
      <c r="L14" s="206"/>
      <c r="M14" s="44"/>
      <c r="N14" s="134"/>
      <c r="O14" s="44"/>
      <c r="P14" s="135">
        <f t="shared" si="0"/>
        <v>95697</v>
      </c>
      <c r="Q14" s="24">
        <f t="shared" si="1"/>
        <v>33210.519999999997</v>
      </c>
      <c r="R14" s="136">
        <v>0.6</v>
      </c>
      <c r="S14" s="44"/>
      <c r="T14" s="45"/>
      <c r="U14" s="8"/>
    </row>
    <row r="15" spans="2:21" ht="30" customHeight="1" x14ac:dyDescent="0.35">
      <c r="B15" s="5" t="s">
        <v>74</v>
      </c>
      <c r="C15" s="137" t="s">
        <v>84</v>
      </c>
      <c r="D15" s="138">
        <v>19471</v>
      </c>
      <c r="E15" s="178">
        <v>0</v>
      </c>
      <c r="F15" s="138">
        <v>19471</v>
      </c>
      <c r="G15" s="70">
        <v>35000</v>
      </c>
      <c r="H15" s="138">
        <v>19471</v>
      </c>
      <c r="I15" s="70"/>
      <c r="J15" s="138">
        <v>25131</v>
      </c>
      <c r="K15" s="70">
        <v>966</v>
      </c>
      <c r="L15" s="138">
        <v>19471</v>
      </c>
      <c r="M15" s="70">
        <v>7885</v>
      </c>
      <c r="N15" s="138">
        <v>19471</v>
      </c>
      <c r="O15" s="70">
        <v>21723</v>
      </c>
      <c r="P15" s="135">
        <f t="shared" si="0"/>
        <v>122486</v>
      </c>
      <c r="Q15" s="24">
        <f t="shared" si="1"/>
        <v>65574</v>
      </c>
      <c r="R15" s="139">
        <v>0.3</v>
      </c>
      <c r="S15" s="70"/>
      <c r="T15" s="45"/>
      <c r="U15" s="8"/>
    </row>
    <row r="16" spans="2:21" ht="30" customHeight="1" x14ac:dyDescent="0.35">
      <c r="B16" s="5" t="s">
        <v>75</v>
      </c>
      <c r="C16" s="137" t="s">
        <v>85</v>
      </c>
      <c r="D16" s="138">
        <v>70000</v>
      </c>
      <c r="E16" s="178">
        <v>70000</v>
      </c>
      <c r="F16" s="69"/>
      <c r="G16" s="70"/>
      <c r="H16" s="138"/>
      <c r="I16" s="70"/>
      <c r="J16" s="138">
        <v>16250</v>
      </c>
      <c r="K16" s="70">
        <f>60000-K17</f>
        <v>26000</v>
      </c>
      <c r="L16" s="207"/>
      <c r="M16" s="70"/>
      <c r="N16" s="138"/>
      <c r="O16" s="70"/>
      <c r="P16" s="135">
        <f t="shared" si="0"/>
        <v>86250</v>
      </c>
      <c r="Q16" s="24">
        <f t="shared" si="1"/>
        <v>96000</v>
      </c>
      <c r="R16" s="139">
        <v>0.5</v>
      </c>
      <c r="S16" s="70"/>
      <c r="T16" s="45"/>
      <c r="U16" s="8"/>
    </row>
    <row r="17" spans="1:21" ht="30" customHeight="1" x14ac:dyDescent="0.35">
      <c r="B17" s="5" t="s">
        <v>76</v>
      </c>
      <c r="C17" s="137" t="s">
        <v>86</v>
      </c>
      <c r="D17" s="138">
        <v>5000</v>
      </c>
      <c r="E17" s="178">
        <v>5000</v>
      </c>
      <c r="F17" s="69"/>
      <c r="G17" s="70"/>
      <c r="H17" s="138"/>
      <c r="I17" s="70"/>
      <c r="J17" s="138">
        <v>43750</v>
      </c>
      <c r="K17" s="70">
        <f>10000+6000+4000+(2000*7)</f>
        <v>34000</v>
      </c>
      <c r="L17" s="207"/>
      <c r="M17" s="70"/>
      <c r="N17" s="138"/>
      <c r="O17" s="70"/>
      <c r="P17" s="135">
        <f t="shared" si="0"/>
        <v>48750</v>
      </c>
      <c r="Q17" s="24">
        <f t="shared" si="1"/>
        <v>39000</v>
      </c>
      <c r="R17" s="139">
        <v>0.5</v>
      </c>
      <c r="S17" s="70"/>
      <c r="T17" s="45"/>
      <c r="U17" s="8"/>
    </row>
    <row r="18" spans="1:21" ht="30" customHeight="1" thickBot="1" x14ac:dyDescent="0.4">
      <c r="A18" s="9"/>
      <c r="B18" s="5" t="s">
        <v>77</v>
      </c>
      <c r="C18" s="137" t="s">
        <v>155</v>
      </c>
      <c r="D18" s="138">
        <v>35000</v>
      </c>
      <c r="E18" s="178">
        <v>3780.58</v>
      </c>
      <c r="F18" s="69"/>
      <c r="G18" s="113"/>
      <c r="H18" s="138"/>
      <c r="I18" s="70"/>
      <c r="J18" s="138">
        <v>26860</v>
      </c>
      <c r="K18" s="186">
        <v>5241.16</v>
      </c>
      <c r="L18" s="207"/>
      <c r="M18" s="113"/>
      <c r="N18" s="138"/>
      <c r="O18" s="70"/>
      <c r="P18" s="135">
        <f t="shared" si="0"/>
        <v>61860</v>
      </c>
      <c r="Q18" s="24">
        <f t="shared" si="1"/>
        <v>9021.74</v>
      </c>
      <c r="R18" s="140">
        <v>0.6</v>
      </c>
      <c r="S18" s="113"/>
      <c r="T18" s="46"/>
      <c r="U18" s="10"/>
    </row>
    <row r="19" spans="1:21" ht="16" thickBot="1" x14ac:dyDescent="0.4">
      <c r="A19" s="9"/>
      <c r="B19" s="141"/>
      <c r="C19" s="22" t="s">
        <v>87</v>
      </c>
      <c r="D19" s="114">
        <f t="shared" ref="D19:I19" si="2">SUM(D9:D18)</f>
        <v>332471</v>
      </c>
      <c r="E19" s="114">
        <f t="shared" si="2"/>
        <v>258462.05000000002</v>
      </c>
      <c r="F19" s="114">
        <f t="shared" si="2"/>
        <v>19471</v>
      </c>
      <c r="G19" s="114">
        <f t="shared" si="2"/>
        <v>35000</v>
      </c>
      <c r="H19" s="114">
        <f t="shared" si="2"/>
        <v>19471</v>
      </c>
      <c r="I19" s="114">
        <f t="shared" si="2"/>
        <v>0</v>
      </c>
      <c r="J19" s="114">
        <f t="shared" ref="J19:P19" si="3">SUM(J9:J18)</f>
        <v>322470.95</v>
      </c>
      <c r="K19" s="114">
        <f t="shared" si="3"/>
        <v>240769.94999999998</v>
      </c>
      <c r="L19" s="114">
        <f t="shared" si="3"/>
        <v>19471</v>
      </c>
      <c r="M19" s="114">
        <f t="shared" si="3"/>
        <v>7885</v>
      </c>
      <c r="N19" s="114">
        <f t="shared" si="3"/>
        <v>19471</v>
      </c>
      <c r="O19" s="114">
        <f t="shared" si="3"/>
        <v>21723</v>
      </c>
      <c r="P19" s="114">
        <f t="shared" si="3"/>
        <v>732825.95</v>
      </c>
      <c r="Q19" s="114">
        <f>SUM(Q9:Q18)</f>
        <v>563840</v>
      </c>
      <c r="R19" s="114"/>
      <c r="S19" s="115">
        <f>SUM(S9:S18)</f>
        <v>0</v>
      </c>
      <c r="T19" s="46"/>
      <c r="U19" s="10"/>
    </row>
    <row r="20" spans="1:21" ht="37.5" customHeight="1" thickBot="1" x14ac:dyDescent="0.4">
      <c r="A20" s="9"/>
      <c r="B20" s="5" t="s">
        <v>88</v>
      </c>
      <c r="C20" s="229" t="s">
        <v>89</v>
      </c>
      <c r="D20" s="230"/>
      <c r="E20" s="230"/>
      <c r="F20" s="230"/>
      <c r="G20" s="230"/>
      <c r="H20" s="230"/>
      <c r="I20" s="230"/>
      <c r="J20" s="230"/>
      <c r="K20" s="230"/>
      <c r="L20" s="230"/>
      <c r="M20" s="230"/>
      <c r="N20" s="230"/>
      <c r="O20" s="230"/>
      <c r="P20" s="230"/>
      <c r="Q20" s="230"/>
      <c r="R20" s="230"/>
      <c r="S20" s="230"/>
      <c r="T20" s="252"/>
      <c r="U20" s="7"/>
    </row>
    <row r="21" spans="1:21" ht="30" customHeight="1" x14ac:dyDescent="0.35">
      <c r="A21" s="9"/>
      <c r="B21" s="5" t="s">
        <v>90</v>
      </c>
      <c r="C21" s="133" t="s">
        <v>98</v>
      </c>
      <c r="D21" s="43"/>
      <c r="E21" s="44"/>
      <c r="F21" s="134">
        <v>74240</v>
      </c>
      <c r="G21" s="44">
        <v>35584</v>
      </c>
      <c r="H21" s="134">
        <v>30000</v>
      </c>
      <c r="I21" s="177">
        <v>30000</v>
      </c>
      <c r="J21" s="43"/>
      <c r="K21" s="44"/>
      <c r="L21" s="134"/>
      <c r="M21" s="44"/>
      <c r="N21" s="134">
        <v>12257</v>
      </c>
      <c r="O21" s="44">
        <v>19358</v>
      </c>
      <c r="P21" s="49">
        <f>SUM(D21,F21,H21,J21,L21,N21)</f>
        <v>116497</v>
      </c>
      <c r="Q21" s="24">
        <f>SUM(E21,G21,I21,K21,M21,O21)</f>
        <v>84942</v>
      </c>
      <c r="R21" s="136">
        <v>0.4</v>
      </c>
      <c r="S21" s="42">
        <f>I21*37/100</f>
        <v>11100</v>
      </c>
      <c r="T21" s="45"/>
      <c r="U21" s="8"/>
    </row>
    <row r="22" spans="1:21" ht="30" customHeight="1" x14ac:dyDescent="0.35">
      <c r="A22" s="9"/>
      <c r="B22" s="5" t="s">
        <v>91</v>
      </c>
      <c r="C22" s="133" t="s">
        <v>99</v>
      </c>
      <c r="D22" s="43"/>
      <c r="E22" s="44"/>
      <c r="F22" s="134">
        <v>16283</v>
      </c>
      <c r="G22" s="44">
        <v>20411</v>
      </c>
      <c r="H22" s="134">
        <v>56000</v>
      </c>
      <c r="I22" s="177">
        <f>19898.3+9342.2</f>
        <v>29240.5</v>
      </c>
      <c r="J22" s="43"/>
      <c r="K22" s="44"/>
      <c r="L22" s="134">
        <v>101052</v>
      </c>
      <c r="M22" s="44">
        <v>65591</v>
      </c>
      <c r="N22" s="134">
        <v>113000</v>
      </c>
      <c r="O22" s="177">
        <v>96711</v>
      </c>
      <c r="P22" s="49">
        <f t="shared" ref="P22:P28" si="4">SUM(D22,F22,H22,J22,L22,N22)</f>
        <v>286335</v>
      </c>
      <c r="Q22" s="24">
        <f t="shared" ref="Q22:Q26" si="5">SUM(E22,G22,I22,K22,M22,O22)</f>
        <v>211953.5</v>
      </c>
      <c r="R22" s="136">
        <v>0.4</v>
      </c>
      <c r="S22" s="44">
        <f>I22*37/100</f>
        <v>10818.985000000001</v>
      </c>
      <c r="T22" s="45"/>
      <c r="U22" s="8"/>
    </row>
    <row r="23" spans="1:21" ht="30" customHeight="1" x14ac:dyDescent="0.35">
      <c r="A23" s="9"/>
      <c r="B23" s="5" t="s">
        <v>92</v>
      </c>
      <c r="C23" s="133" t="s">
        <v>100</v>
      </c>
      <c r="D23" s="43"/>
      <c r="E23" s="44"/>
      <c r="F23" s="134"/>
      <c r="G23" s="44"/>
      <c r="H23" s="134">
        <v>80000</v>
      </c>
      <c r="I23" s="177">
        <f>80000-10188</f>
        <v>69812</v>
      </c>
      <c r="J23" s="43"/>
      <c r="K23" s="44"/>
      <c r="L23" s="134">
        <v>69300</v>
      </c>
      <c r="M23" s="44">
        <v>50454</v>
      </c>
      <c r="N23" s="134"/>
      <c r="O23" s="44"/>
      <c r="P23" s="49">
        <f t="shared" si="4"/>
        <v>149300</v>
      </c>
      <c r="Q23" s="24">
        <f t="shared" si="5"/>
        <v>120266</v>
      </c>
      <c r="R23" s="136">
        <v>0.6</v>
      </c>
      <c r="S23" s="44">
        <f>I23*37/100</f>
        <v>25830.44</v>
      </c>
      <c r="T23" s="45"/>
      <c r="U23" s="8"/>
    </row>
    <row r="24" spans="1:21" ht="30" customHeight="1" x14ac:dyDescent="0.35">
      <c r="A24" s="9"/>
      <c r="B24" s="5" t="s">
        <v>93</v>
      </c>
      <c r="C24" s="142" t="s">
        <v>101</v>
      </c>
      <c r="D24" s="69"/>
      <c r="E24" s="70"/>
      <c r="F24" s="143"/>
      <c r="G24" s="70"/>
      <c r="H24" s="143"/>
      <c r="I24" s="178"/>
      <c r="J24" s="69"/>
      <c r="K24" s="70"/>
      <c r="L24" s="143">
        <v>18260</v>
      </c>
      <c r="M24" s="70">
        <v>12780</v>
      </c>
      <c r="N24" s="143"/>
      <c r="O24" s="70"/>
      <c r="P24" s="49">
        <f t="shared" si="4"/>
        <v>18260</v>
      </c>
      <c r="Q24" s="24">
        <f t="shared" si="5"/>
        <v>12780</v>
      </c>
      <c r="R24" s="139">
        <v>0.3</v>
      </c>
      <c r="S24" s="70"/>
      <c r="T24" s="45"/>
      <c r="U24" s="8"/>
    </row>
    <row r="25" spans="1:21" ht="30" customHeight="1" x14ac:dyDescent="0.35">
      <c r="A25" s="9"/>
      <c r="B25" s="5" t="s">
        <v>94</v>
      </c>
      <c r="C25" s="142" t="s">
        <v>102</v>
      </c>
      <c r="D25" s="69"/>
      <c r="E25" s="70"/>
      <c r="F25" s="143">
        <v>92048</v>
      </c>
      <c r="G25" s="70">
        <v>86033</v>
      </c>
      <c r="H25" s="143"/>
      <c r="I25" s="178"/>
      <c r="J25" s="69"/>
      <c r="K25" s="70"/>
      <c r="L25" s="143">
        <v>105057</v>
      </c>
      <c r="M25" s="70">
        <v>75374</v>
      </c>
      <c r="N25" s="143"/>
      <c r="O25" s="70"/>
      <c r="P25" s="49">
        <f t="shared" si="4"/>
        <v>197105</v>
      </c>
      <c r="Q25" s="24">
        <f t="shared" si="5"/>
        <v>161407</v>
      </c>
      <c r="R25" s="139">
        <v>0.3</v>
      </c>
      <c r="S25" s="70"/>
      <c r="T25" s="45"/>
      <c r="U25" s="8"/>
    </row>
    <row r="26" spans="1:21" ht="30" customHeight="1" x14ac:dyDescent="0.35">
      <c r="A26" s="9"/>
      <c r="B26" s="5" t="s">
        <v>95</v>
      </c>
      <c r="C26" s="142" t="s">
        <v>103</v>
      </c>
      <c r="D26" s="69"/>
      <c r="E26" s="70"/>
      <c r="F26" s="143"/>
      <c r="G26" s="70"/>
      <c r="H26" s="143">
        <v>105000</v>
      </c>
      <c r="I26" s="178">
        <v>33944.699999999997</v>
      </c>
      <c r="J26" s="69"/>
      <c r="K26" s="70"/>
      <c r="L26" s="143"/>
      <c r="M26" s="70"/>
      <c r="N26" s="143">
        <v>98629</v>
      </c>
      <c r="O26" s="70"/>
      <c r="P26" s="49">
        <f t="shared" si="4"/>
        <v>203629</v>
      </c>
      <c r="Q26" s="24">
        <f t="shared" si="5"/>
        <v>33944.699999999997</v>
      </c>
      <c r="R26" s="139">
        <v>0.3</v>
      </c>
      <c r="S26" s="70">
        <f>I26*37/100</f>
        <v>12559.538999999999</v>
      </c>
      <c r="T26" s="45"/>
      <c r="U26" s="8"/>
    </row>
    <row r="27" spans="1:21" ht="30" customHeight="1" x14ac:dyDescent="0.35">
      <c r="A27" s="9"/>
      <c r="B27" s="5" t="s">
        <v>96</v>
      </c>
      <c r="C27" s="142" t="s">
        <v>104</v>
      </c>
      <c r="D27" s="69"/>
      <c r="E27" s="70"/>
      <c r="F27" s="143">
        <v>53576</v>
      </c>
      <c r="G27" s="70">
        <v>11309</v>
      </c>
      <c r="H27" s="143"/>
      <c r="I27" s="178"/>
      <c r="J27" s="69"/>
      <c r="K27" s="70"/>
      <c r="L27" s="143"/>
      <c r="M27" s="70"/>
      <c r="N27" s="143">
        <v>58829</v>
      </c>
      <c r="O27" s="70"/>
      <c r="P27" s="49">
        <f t="shared" si="4"/>
        <v>112405</v>
      </c>
      <c r="Q27" s="24">
        <f>SUM(E27,G27,I27,K27,M27,O27)</f>
        <v>11309</v>
      </c>
      <c r="R27" s="139">
        <v>0.3</v>
      </c>
      <c r="S27" s="70"/>
      <c r="T27" s="45"/>
      <c r="U27" s="8"/>
    </row>
    <row r="28" spans="1:21" ht="30" customHeight="1" thickBot="1" x14ac:dyDescent="0.4">
      <c r="A28" s="9"/>
      <c r="B28" s="5" t="s">
        <v>97</v>
      </c>
      <c r="C28" s="142" t="s">
        <v>105</v>
      </c>
      <c r="D28" s="69"/>
      <c r="E28" s="70"/>
      <c r="F28" s="143">
        <v>50354</v>
      </c>
      <c r="G28" s="70">
        <v>14310</v>
      </c>
      <c r="H28" s="143">
        <v>32000</v>
      </c>
      <c r="I28" s="178"/>
      <c r="J28" s="69"/>
      <c r="K28" s="70"/>
      <c r="L28" s="143">
        <v>30000</v>
      </c>
      <c r="M28" s="70">
        <v>11188</v>
      </c>
      <c r="N28" s="143">
        <v>20285</v>
      </c>
      <c r="O28" s="70">
        <v>20300</v>
      </c>
      <c r="P28" s="49">
        <f t="shared" si="4"/>
        <v>132639</v>
      </c>
      <c r="Q28" s="24">
        <f>SUM(E28,G28,I28,K28,M28,O28)</f>
        <v>45798</v>
      </c>
      <c r="R28" s="139">
        <v>0.3</v>
      </c>
      <c r="S28" s="70"/>
      <c r="T28" s="45"/>
      <c r="U28" s="8"/>
    </row>
    <row r="29" spans="1:21" ht="16" thickBot="1" x14ac:dyDescent="0.4">
      <c r="A29" s="9"/>
      <c r="C29" s="39" t="s">
        <v>87</v>
      </c>
      <c r="D29" s="114">
        <f t="shared" ref="D29:I29" si="6">SUM(D21:D28)</f>
        <v>0</v>
      </c>
      <c r="E29" s="114">
        <f t="shared" si="6"/>
        <v>0</v>
      </c>
      <c r="F29" s="114">
        <f t="shared" si="6"/>
        <v>286501</v>
      </c>
      <c r="G29" s="114">
        <f>SUM(G21:G28)</f>
        <v>167647</v>
      </c>
      <c r="H29" s="114">
        <f t="shared" si="6"/>
        <v>303000</v>
      </c>
      <c r="I29" s="114">
        <f t="shared" si="6"/>
        <v>162997.20000000001</v>
      </c>
      <c r="J29" s="114">
        <f t="shared" ref="J29:O29" si="7">SUM(J21:J28)</f>
        <v>0</v>
      </c>
      <c r="K29" s="114">
        <f t="shared" si="7"/>
        <v>0</v>
      </c>
      <c r="L29" s="114">
        <f t="shared" si="7"/>
        <v>323669</v>
      </c>
      <c r="M29" s="114">
        <f t="shared" si="7"/>
        <v>215387</v>
      </c>
      <c r="N29" s="114">
        <f t="shared" si="7"/>
        <v>303000</v>
      </c>
      <c r="O29" s="114">
        <f t="shared" si="7"/>
        <v>136369</v>
      </c>
      <c r="P29" s="114">
        <f>SUM(P21:P28)</f>
        <v>1216170</v>
      </c>
      <c r="Q29" s="114">
        <f>SUM(Q21:Q28)</f>
        <v>682400.2</v>
      </c>
      <c r="R29" s="114"/>
      <c r="S29" s="115">
        <f>SUM(S21:S28)</f>
        <v>60308.964</v>
      </c>
      <c r="T29" s="46"/>
      <c r="U29" s="10"/>
    </row>
    <row r="30" spans="1:21" ht="32.25" hidden="1" customHeight="1" thickBot="1" x14ac:dyDescent="0.4">
      <c r="A30" s="9"/>
      <c r="B30" s="5" t="s">
        <v>1</v>
      </c>
      <c r="C30" s="252"/>
      <c r="D30" s="230"/>
      <c r="E30" s="230"/>
      <c r="F30" s="230"/>
      <c r="G30" s="230"/>
      <c r="H30" s="230"/>
      <c r="I30" s="230"/>
      <c r="J30" s="230"/>
      <c r="K30" s="230"/>
      <c r="L30" s="230"/>
      <c r="M30" s="230"/>
      <c r="N30" s="230"/>
      <c r="O30" s="230"/>
      <c r="P30" s="230"/>
      <c r="Q30" s="230"/>
      <c r="R30" s="230"/>
      <c r="S30" s="230"/>
      <c r="T30" s="252"/>
      <c r="U30" s="7"/>
    </row>
    <row r="31" spans="1:21" ht="30" hidden="1" customHeight="1" x14ac:dyDescent="0.35">
      <c r="A31" s="9"/>
      <c r="B31" s="5" t="s">
        <v>2</v>
      </c>
      <c r="C31" s="133"/>
      <c r="D31" s="134"/>
      <c r="E31" s="42"/>
      <c r="F31" s="134"/>
      <c r="G31" s="42"/>
      <c r="H31" s="134"/>
      <c r="I31" s="42"/>
      <c r="J31" s="134"/>
      <c r="K31" s="42"/>
      <c r="L31" s="134"/>
      <c r="M31" s="42"/>
      <c r="N31" s="134"/>
      <c r="O31" s="42"/>
      <c r="P31" s="47"/>
      <c r="Q31" s="48"/>
      <c r="R31" s="136"/>
      <c r="S31" s="42"/>
      <c r="T31" s="45"/>
      <c r="U31" s="8"/>
    </row>
    <row r="32" spans="1:21" ht="30" hidden="1" customHeight="1" x14ac:dyDescent="0.35">
      <c r="A32" s="9"/>
      <c r="B32" s="5" t="s">
        <v>3</v>
      </c>
      <c r="C32" s="133"/>
      <c r="D32" s="134"/>
      <c r="E32" s="44"/>
      <c r="F32" s="134"/>
      <c r="G32" s="44"/>
      <c r="H32" s="134"/>
      <c r="I32" s="44"/>
      <c r="J32" s="134"/>
      <c r="K32" s="44"/>
      <c r="L32" s="134"/>
      <c r="M32" s="44"/>
      <c r="N32" s="134"/>
      <c r="O32" s="44"/>
      <c r="P32" s="49"/>
      <c r="Q32" s="24"/>
      <c r="R32" s="136"/>
      <c r="S32" s="44"/>
      <c r="T32" s="45"/>
      <c r="U32" s="8"/>
    </row>
    <row r="33" spans="1:21" ht="30" hidden="1" customHeight="1" x14ac:dyDescent="0.35">
      <c r="A33" s="9"/>
      <c r="B33" s="5" t="s">
        <v>4</v>
      </c>
      <c r="C33" s="133"/>
      <c r="D33" s="134"/>
      <c r="E33" s="44"/>
      <c r="F33" s="134"/>
      <c r="G33" s="44"/>
      <c r="H33" s="134"/>
      <c r="I33" s="44"/>
      <c r="J33" s="134"/>
      <c r="K33" s="44"/>
      <c r="L33" s="134"/>
      <c r="M33" s="44"/>
      <c r="N33" s="134"/>
      <c r="O33" s="44"/>
      <c r="P33" s="49"/>
      <c r="Q33" s="24"/>
      <c r="R33" s="136"/>
      <c r="S33" s="44"/>
      <c r="T33" s="45"/>
      <c r="U33" s="8"/>
    </row>
    <row r="34" spans="1:21" ht="30" hidden="1" customHeight="1" x14ac:dyDescent="0.35">
      <c r="A34" s="9"/>
      <c r="B34" s="5" t="s">
        <v>26</v>
      </c>
      <c r="C34" s="133"/>
      <c r="D34" s="134"/>
      <c r="E34" s="70"/>
      <c r="F34" s="134"/>
      <c r="G34" s="70"/>
      <c r="H34" s="134"/>
      <c r="I34" s="70"/>
      <c r="J34" s="134"/>
      <c r="K34" s="70"/>
      <c r="L34" s="134"/>
      <c r="M34" s="70"/>
      <c r="N34" s="134"/>
      <c r="O34" s="70"/>
      <c r="P34" s="49"/>
      <c r="Q34" s="71"/>
      <c r="R34" s="136"/>
      <c r="S34" s="70"/>
      <c r="T34" s="45"/>
      <c r="U34" s="8"/>
    </row>
    <row r="35" spans="1:21" ht="30" hidden="1" customHeight="1" x14ac:dyDescent="0.35">
      <c r="A35" s="9"/>
      <c r="B35" s="5" t="s">
        <v>27</v>
      </c>
      <c r="C35" s="133"/>
      <c r="D35" s="134"/>
      <c r="E35" s="70"/>
      <c r="F35" s="134"/>
      <c r="G35" s="70"/>
      <c r="H35" s="134"/>
      <c r="I35" s="70"/>
      <c r="J35" s="134"/>
      <c r="K35" s="70"/>
      <c r="L35" s="134"/>
      <c r="M35" s="70"/>
      <c r="N35" s="134"/>
      <c r="O35" s="70"/>
      <c r="P35" s="49"/>
      <c r="Q35" s="71"/>
      <c r="R35" s="136"/>
      <c r="S35" s="70"/>
      <c r="T35" s="45"/>
      <c r="U35" s="8"/>
    </row>
    <row r="36" spans="1:21" ht="30" hidden="1" customHeight="1" x14ac:dyDescent="0.35">
      <c r="A36" s="9"/>
      <c r="B36" s="5" t="s">
        <v>28</v>
      </c>
      <c r="C36" s="133"/>
      <c r="D36" s="134"/>
      <c r="E36" s="70"/>
      <c r="F36" s="134"/>
      <c r="G36" s="70"/>
      <c r="H36" s="134"/>
      <c r="I36" s="70"/>
      <c r="J36" s="134"/>
      <c r="K36" s="70"/>
      <c r="L36" s="134"/>
      <c r="M36" s="70"/>
      <c r="N36" s="134"/>
      <c r="O36" s="70"/>
      <c r="P36" s="49"/>
      <c r="Q36" s="71"/>
      <c r="R36" s="136"/>
      <c r="S36" s="70"/>
      <c r="T36" s="45"/>
      <c r="U36" s="8"/>
    </row>
    <row r="37" spans="1:21" ht="30" hidden="1" customHeight="1" thickBot="1" x14ac:dyDescent="0.4">
      <c r="A37" s="9"/>
      <c r="B37" s="5" t="s">
        <v>29</v>
      </c>
      <c r="C37" s="133"/>
      <c r="D37" s="134"/>
      <c r="E37" s="70"/>
      <c r="F37" s="134"/>
      <c r="G37" s="70"/>
      <c r="H37" s="134"/>
      <c r="I37" s="70"/>
      <c r="J37" s="134"/>
      <c r="K37" s="70"/>
      <c r="L37" s="134"/>
      <c r="M37" s="70"/>
      <c r="N37" s="134"/>
      <c r="O37" s="70"/>
      <c r="P37" s="49"/>
      <c r="Q37" s="71"/>
      <c r="R37" s="144"/>
      <c r="S37" s="70"/>
      <c r="T37" s="45"/>
      <c r="U37" s="8"/>
    </row>
    <row r="38" spans="1:21" ht="16" hidden="1" thickBot="1" x14ac:dyDescent="0.4">
      <c r="C38" s="39" t="s">
        <v>0</v>
      </c>
      <c r="D38" s="114"/>
      <c r="E38" s="114"/>
      <c r="F38" s="114"/>
      <c r="G38" s="114"/>
      <c r="H38" s="114"/>
      <c r="I38" s="114"/>
      <c r="J38" s="114"/>
      <c r="K38" s="114"/>
      <c r="L38" s="114"/>
      <c r="M38" s="114"/>
      <c r="N38" s="114"/>
      <c r="O38" s="114"/>
      <c r="P38" s="114"/>
      <c r="Q38" s="114"/>
      <c r="R38" s="114"/>
      <c r="S38" s="115"/>
      <c r="T38" s="46"/>
      <c r="U38" s="10"/>
    </row>
    <row r="39" spans="1:21" ht="30" hidden="1" customHeight="1" thickBot="1" x14ac:dyDescent="0.4">
      <c r="B39" s="5" t="s">
        <v>5</v>
      </c>
      <c r="C39" s="247"/>
      <c r="D39" s="248"/>
      <c r="E39" s="248"/>
      <c r="F39" s="248"/>
      <c r="G39" s="248"/>
      <c r="H39" s="248"/>
      <c r="I39" s="248"/>
      <c r="J39" s="248"/>
      <c r="K39" s="248"/>
      <c r="L39" s="248"/>
      <c r="M39" s="248"/>
      <c r="N39" s="248"/>
      <c r="O39" s="248"/>
      <c r="P39" s="248"/>
      <c r="Q39" s="248"/>
      <c r="R39" s="248"/>
      <c r="S39" s="248"/>
      <c r="T39" s="249"/>
      <c r="U39" s="7"/>
    </row>
    <row r="40" spans="1:21" ht="30" hidden="1" customHeight="1" x14ac:dyDescent="0.35">
      <c r="B40" s="5" t="s">
        <v>6</v>
      </c>
      <c r="C40" s="133"/>
      <c r="D40" s="134"/>
      <c r="E40" s="42"/>
      <c r="F40" s="134"/>
      <c r="G40" s="42"/>
      <c r="H40" s="134"/>
      <c r="I40" s="42"/>
      <c r="J40" s="134"/>
      <c r="K40" s="42"/>
      <c r="L40" s="134"/>
      <c r="M40" s="42"/>
      <c r="N40" s="134"/>
      <c r="O40" s="42"/>
      <c r="P40" s="47"/>
      <c r="Q40" s="48"/>
      <c r="R40" s="136"/>
      <c r="S40" s="42"/>
      <c r="T40" s="45"/>
      <c r="U40" s="8"/>
    </row>
    <row r="41" spans="1:21" ht="30" hidden="1" customHeight="1" x14ac:dyDescent="0.35">
      <c r="B41" s="5" t="s">
        <v>7</v>
      </c>
      <c r="C41" s="133"/>
      <c r="D41" s="134"/>
      <c r="E41" s="44"/>
      <c r="F41" s="134"/>
      <c r="G41" s="44"/>
      <c r="H41" s="134"/>
      <c r="I41" s="44"/>
      <c r="J41" s="134"/>
      <c r="K41" s="44"/>
      <c r="L41" s="134"/>
      <c r="M41" s="44"/>
      <c r="N41" s="134"/>
      <c r="O41" s="44"/>
      <c r="P41" s="49"/>
      <c r="Q41" s="24"/>
      <c r="R41" s="136"/>
      <c r="S41" s="44"/>
      <c r="T41" s="45"/>
      <c r="U41" s="8"/>
    </row>
    <row r="42" spans="1:21" ht="30" hidden="1" customHeight="1" x14ac:dyDescent="0.35">
      <c r="B42" s="5" t="s">
        <v>8</v>
      </c>
      <c r="C42" s="133"/>
      <c r="D42" s="134"/>
      <c r="E42" s="44"/>
      <c r="F42" s="134"/>
      <c r="G42" s="44"/>
      <c r="H42" s="134"/>
      <c r="I42" s="44"/>
      <c r="J42" s="134"/>
      <c r="K42" s="44"/>
      <c r="L42" s="134"/>
      <c r="M42" s="44"/>
      <c r="N42" s="134"/>
      <c r="O42" s="44"/>
      <c r="P42" s="49"/>
      <c r="Q42" s="24"/>
      <c r="R42" s="136"/>
      <c r="S42" s="44"/>
      <c r="T42" s="45"/>
      <c r="U42" s="8"/>
    </row>
    <row r="43" spans="1:21" ht="30" hidden="1" customHeight="1" thickBot="1" x14ac:dyDescent="0.4">
      <c r="B43" s="5" t="s">
        <v>9</v>
      </c>
      <c r="C43" s="133"/>
      <c r="D43" s="134"/>
      <c r="E43" s="44"/>
      <c r="F43" s="134"/>
      <c r="G43" s="44"/>
      <c r="H43" s="134"/>
      <c r="I43" s="44"/>
      <c r="J43" s="134"/>
      <c r="K43" s="44"/>
      <c r="L43" s="134"/>
      <c r="M43" s="44"/>
      <c r="N43" s="134"/>
      <c r="O43" s="44"/>
      <c r="P43" s="49"/>
      <c r="Q43" s="24"/>
      <c r="R43" s="136"/>
      <c r="S43" s="44"/>
      <c r="T43" s="45"/>
      <c r="U43" s="8"/>
    </row>
    <row r="44" spans="1:21" ht="30" hidden="1" customHeight="1" x14ac:dyDescent="0.35">
      <c r="B44" s="5" t="s">
        <v>40</v>
      </c>
      <c r="C44" s="142"/>
      <c r="D44" s="134"/>
      <c r="E44" s="42"/>
      <c r="F44" s="143"/>
      <c r="G44" s="44"/>
      <c r="H44" s="143"/>
      <c r="I44" s="44"/>
      <c r="J44" s="134"/>
      <c r="K44" s="42"/>
      <c r="L44" s="143"/>
      <c r="M44" s="44"/>
      <c r="N44" s="143"/>
      <c r="O44" s="44"/>
      <c r="P44" s="108"/>
      <c r="Q44" s="110"/>
      <c r="R44" s="139"/>
      <c r="S44" s="70"/>
      <c r="T44" s="45"/>
      <c r="U44" s="8"/>
    </row>
    <row r="45" spans="1:21" ht="30" hidden="1" customHeight="1" x14ac:dyDescent="0.35">
      <c r="B45" s="5" t="s">
        <v>41</v>
      </c>
      <c r="C45" s="142"/>
      <c r="D45" s="134"/>
      <c r="E45" s="44"/>
      <c r="F45" s="143"/>
      <c r="G45" s="44"/>
      <c r="H45" s="143"/>
      <c r="I45" s="44"/>
      <c r="J45" s="134"/>
      <c r="K45" s="44"/>
      <c r="L45" s="143"/>
      <c r="M45" s="44"/>
      <c r="N45" s="143"/>
      <c r="O45" s="44"/>
      <c r="P45" s="108"/>
      <c r="Q45" s="110"/>
      <c r="R45" s="139"/>
      <c r="S45" s="70"/>
      <c r="T45" s="45"/>
      <c r="U45" s="8"/>
    </row>
    <row r="46" spans="1:21" ht="30" hidden="1" customHeight="1" thickBot="1" x14ac:dyDescent="0.4">
      <c r="B46" s="5" t="s">
        <v>42</v>
      </c>
      <c r="C46" s="142"/>
      <c r="D46" s="134"/>
      <c r="E46" s="44"/>
      <c r="F46" s="143"/>
      <c r="G46" s="44"/>
      <c r="H46" s="143"/>
      <c r="I46" s="44"/>
      <c r="J46" s="134"/>
      <c r="K46" s="44"/>
      <c r="L46" s="143"/>
      <c r="M46" s="44"/>
      <c r="N46" s="143"/>
      <c r="O46" s="44"/>
      <c r="P46" s="108"/>
      <c r="Q46" s="110"/>
      <c r="R46" s="139"/>
      <c r="S46" s="70"/>
      <c r="T46" s="45"/>
      <c r="U46" s="8"/>
    </row>
    <row r="47" spans="1:21" ht="16" hidden="1" thickBot="1" x14ac:dyDescent="0.4">
      <c r="C47" s="39" t="s">
        <v>0</v>
      </c>
      <c r="D47" s="114"/>
      <c r="E47" s="114"/>
      <c r="F47" s="114"/>
      <c r="G47" s="114"/>
      <c r="H47" s="114"/>
      <c r="I47" s="114"/>
      <c r="J47" s="114"/>
      <c r="K47" s="114"/>
      <c r="L47" s="114"/>
      <c r="M47" s="114"/>
      <c r="N47" s="114"/>
      <c r="O47" s="114"/>
      <c r="P47" s="114"/>
      <c r="Q47" s="114"/>
      <c r="R47" s="114"/>
      <c r="S47" s="115"/>
      <c r="T47" s="46"/>
      <c r="U47" s="10"/>
    </row>
    <row r="48" spans="1:21" ht="15.5" hidden="1" x14ac:dyDescent="0.35">
      <c r="B48" s="11"/>
      <c r="C48" s="12"/>
      <c r="D48" s="13"/>
      <c r="E48" s="13"/>
      <c r="F48" s="13"/>
      <c r="G48" s="13"/>
      <c r="H48" s="13"/>
      <c r="I48" s="13"/>
      <c r="J48" s="13"/>
      <c r="K48" s="13"/>
      <c r="L48" s="13"/>
      <c r="M48" s="13"/>
      <c r="N48" s="13"/>
      <c r="O48" s="13"/>
      <c r="P48" s="13"/>
      <c r="Q48" s="13"/>
      <c r="R48" s="13"/>
      <c r="S48" s="13"/>
      <c r="T48" s="13"/>
      <c r="U48" s="8"/>
    </row>
    <row r="49" spans="1:21" ht="30" hidden="1" customHeight="1" x14ac:dyDescent="0.35">
      <c r="B49" s="50" t="s">
        <v>10</v>
      </c>
      <c r="C49" s="250"/>
      <c r="D49" s="250"/>
      <c r="E49" s="250"/>
      <c r="F49" s="250"/>
      <c r="G49" s="250"/>
      <c r="H49" s="250"/>
      <c r="I49" s="250"/>
      <c r="J49" s="250"/>
      <c r="K49" s="250"/>
      <c r="L49" s="250"/>
      <c r="M49" s="250"/>
      <c r="N49" s="250"/>
      <c r="O49" s="250"/>
      <c r="P49" s="250"/>
      <c r="Q49" s="250"/>
      <c r="R49" s="250"/>
      <c r="S49" s="250"/>
      <c r="T49" s="251"/>
      <c r="U49" s="6"/>
    </row>
    <row r="50" spans="1:21" ht="30" hidden="1" customHeight="1" thickBot="1" x14ac:dyDescent="0.4">
      <c r="B50" s="51" t="s">
        <v>11</v>
      </c>
      <c r="C50" s="253"/>
      <c r="D50" s="253"/>
      <c r="E50" s="253"/>
      <c r="F50" s="253"/>
      <c r="G50" s="253"/>
      <c r="H50" s="253"/>
      <c r="I50" s="253"/>
      <c r="J50" s="253"/>
      <c r="K50" s="253"/>
      <c r="L50" s="253"/>
      <c r="M50" s="253"/>
      <c r="N50" s="253"/>
      <c r="O50" s="253"/>
      <c r="P50" s="253"/>
      <c r="Q50" s="253"/>
      <c r="R50" s="253"/>
      <c r="S50" s="253"/>
      <c r="T50" s="254"/>
      <c r="U50" s="7"/>
    </row>
    <row r="51" spans="1:21" ht="30" hidden="1" customHeight="1" x14ac:dyDescent="0.35">
      <c r="B51" s="5" t="s">
        <v>12</v>
      </c>
      <c r="C51" s="133"/>
      <c r="D51" s="134"/>
      <c r="E51" s="42"/>
      <c r="F51" s="134"/>
      <c r="G51" s="42"/>
      <c r="H51" s="41"/>
      <c r="I51" s="42"/>
      <c r="J51" s="134"/>
      <c r="K51" s="42"/>
      <c r="L51" s="134"/>
      <c r="M51" s="42"/>
      <c r="N51" s="41"/>
      <c r="O51" s="42"/>
      <c r="P51" s="47"/>
      <c r="Q51" s="48"/>
      <c r="R51" s="136"/>
      <c r="S51" s="42"/>
      <c r="T51" s="52"/>
      <c r="U51" s="8"/>
    </row>
    <row r="52" spans="1:21" ht="30" hidden="1" customHeight="1" x14ac:dyDescent="0.35">
      <c r="B52" s="5" t="s">
        <v>13</v>
      </c>
      <c r="C52" s="133"/>
      <c r="D52" s="134"/>
      <c r="E52" s="44"/>
      <c r="F52" s="134"/>
      <c r="G52" s="44"/>
      <c r="H52" s="43"/>
      <c r="I52" s="44"/>
      <c r="J52" s="134"/>
      <c r="K52" s="44"/>
      <c r="L52" s="134"/>
      <c r="M52" s="44"/>
      <c r="N52" s="43"/>
      <c r="O52" s="44"/>
      <c r="P52" s="49"/>
      <c r="Q52" s="24"/>
      <c r="R52" s="136"/>
      <c r="S52" s="44"/>
      <c r="T52" s="45"/>
      <c r="U52" s="8"/>
    </row>
    <row r="53" spans="1:21" ht="30" hidden="1" customHeight="1" x14ac:dyDescent="0.35">
      <c r="B53" s="5" t="s">
        <v>43</v>
      </c>
      <c r="C53" s="133"/>
      <c r="D53" s="134"/>
      <c r="E53" s="44"/>
      <c r="F53" s="134"/>
      <c r="G53" s="44"/>
      <c r="H53" s="40"/>
      <c r="I53" s="44"/>
      <c r="J53" s="134"/>
      <c r="K53" s="44"/>
      <c r="L53" s="134"/>
      <c r="M53" s="44"/>
      <c r="N53" s="40"/>
      <c r="O53" s="44"/>
      <c r="P53" s="111"/>
      <c r="Q53" s="24"/>
      <c r="R53" s="136"/>
      <c r="S53" s="44"/>
      <c r="T53" s="45"/>
      <c r="U53" s="8"/>
    </row>
    <row r="54" spans="1:21" ht="30" hidden="1" customHeight="1" x14ac:dyDescent="0.35">
      <c r="B54" s="5" t="s">
        <v>44</v>
      </c>
      <c r="C54" s="133"/>
      <c r="D54" s="134"/>
      <c r="E54" s="44"/>
      <c r="F54" s="134"/>
      <c r="G54" s="44"/>
      <c r="H54" s="40"/>
      <c r="I54" s="44"/>
      <c r="J54" s="134"/>
      <c r="K54" s="44"/>
      <c r="L54" s="134"/>
      <c r="M54" s="44"/>
      <c r="N54" s="40"/>
      <c r="O54" s="44"/>
      <c r="P54" s="111"/>
      <c r="Q54" s="24"/>
      <c r="R54" s="136"/>
      <c r="S54" s="44"/>
      <c r="T54" s="45"/>
      <c r="U54" s="8"/>
    </row>
    <row r="55" spans="1:21" ht="30" hidden="1" customHeight="1" x14ac:dyDescent="0.35">
      <c r="B55" s="5" t="s">
        <v>45</v>
      </c>
      <c r="C55" s="133"/>
      <c r="D55" s="134"/>
      <c r="E55" s="44"/>
      <c r="F55" s="134"/>
      <c r="G55" s="44"/>
      <c r="H55" s="40"/>
      <c r="I55" s="44"/>
      <c r="J55" s="134"/>
      <c r="K55" s="44"/>
      <c r="L55" s="134"/>
      <c r="M55" s="44"/>
      <c r="N55" s="40"/>
      <c r="O55" s="44"/>
      <c r="P55" s="111"/>
      <c r="Q55" s="24"/>
      <c r="R55" s="136"/>
      <c r="S55" s="44"/>
      <c r="T55" s="45"/>
      <c r="U55" s="8"/>
    </row>
    <row r="56" spans="1:21" ht="30" hidden="1" customHeight="1" x14ac:dyDescent="0.35">
      <c r="B56" s="5" t="s">
        <v>46</v>
      </c>
      <c r="C56" s="133"/>
      <c r="D56" s="134"/>
      <c r="E56" s="44"/>
      <c r="F56" s="134"/>
      <c r="G56" s="44"/>
      <c r="H56" s="40"/>
      <c r="I56" s="44"/>
      <c r="J56" s="134"/>
      <c r="K56" s="44"/>
      <c r="L56" s="134"/>
      <c r="M56" s="44"/>
      <c r="N56" s="40"/>
      <c r="O56" s="44"/>
      <c r="P56" s="111"/>
      <c r="Q56" s="24"/>
      <c r="R56" s="136"/>
      <c r="S56" s="44"/>
      <c r="T56" s="45"/>
      <c r="U56" s="8"/>
    </row>
    <row r="57" spans="1:21" ht="30" hidden="1" customHeight="1" thickBot="1" x14ac:dyDescent="0.4">
      <c r="B57" s="5" t="s">
        <v>47</v>
      </c>
      <c r="C57" s="133"/>
      <c r="D57" s="134"/>
      <c r="E57" s="44"/>
      <c r="F57" s="134"/>
      <c r="G57" s="44"/>
      <c r="H57" s="40"/>
      <c r="I57" s="44"/>
      <c r="J57" s="134"/>
      <c r="K57" s="44"/>
      <c r="L57" s="134"/>
      <c r="M57" s="44"/>
      <c r="N57" s="40"/>
      <c r="O57" s="44"/>
      <c r="P57" s="111"/>
      <c r="Q57" s="24"/>
      <c r="R57" s="136"/>
      <c r="S57" s="44"/>
      <c r="T57" s="45"/>
      <c r="U57" s="8"/>
    </row>
    <row r="58" spans="1:21" s="9" customFormat="1" ht="16" hidden="1" thickBot="1" x14ac:dyDescent="0.4">
      <c r="A58" s="1"/>
      <c r="B58" s="1"/>
      <c r="C58" s="86" t="s">
        <v>0</v>
      </c>
      <c r="D58" s="114"/>
      <c r="E58" s="114"/>
      <c r="F58" s="114"/>
      <c r="G58" s="114"/>
      <c r="H58" s="114"/>
      <c r="I58" s="114"/>
      <c r="J58" s="114"/>
      <c r="K58" s="114"/>
      <c r="L58" s="114"/>
      <c r="M58" s="114"/>
      <c r="N58" s="114"/>
      <c r="O58" s="114"/>
      <c r="P58" s="114"/>
      <c r="Q58" s="114"/>
      <c r="R58" s="114"/>
      <c r="S58" s="115"/>
      <c r="T58" s="87"/>
      <c r="U58" s="10"/>
    </row>
    <row r="59" spans="1:21" ht="15.5" hidden="1" x14ac:dyDescent="0.35">
      <c r="C59" s="76"/>
      <c r="D59" s="77"/>
      <c r="E59" s="77"/>
      <c r="F59" s="77"/>
      <c r="G59" s="77"/>
      <c r="H59" s="77"/>
      <c r="I59" s="106"/>
      <c r="J59" s="77"/>
      <c r="K59" s="77"/>
      <c r="L59" s="77"/>
      <c r="M59" s="77"/>
      <c r="N59" s="77"/>
      <c r="O59" s="106"/>
      <c r="P59" s="77"/>
      <c r="Q59" s="77"/>
      <c r="R59" s="77"/>
      <c r="S59" s="77"/>
      <c r="T59" s="78"/>
      <c r="U59" s="79"/>
    </row>
    <row r="60" spans="1:21" ht="30" hidden="1" customHeight="1" thickBot="1" x14ac:dyDescent="0.4">
      <c r="B60" s="5" t="s">
        <v>14</v>
      </c>
      <c r="C60" s="252"/>
      <c r="D60" s="252"/>
      <c r="E60" s="252"/>
      <c r="F60" s="252"/>
      <c r="G60" s="252"/>
      <c r="H60" s="252"/>
      <c r="I60" s="252"/>
      <c r="J60" s="252"/>
      <c r="K60" s="252"/>
      <c r="L60" s="252"/>
      <c r="M60" s="252"/>
      <c r="N60" s="252"/>
      <c r="O60" s="252"/>
      <c r="P60" s="252"/>
      <c r="Q60" s="252"/>
      <c r="R60" s="252"/>
      <c r="S60" s="252"/>
      <c r="T60" s="252"/>
      <c r="U60" s="7"/>
    </row>
    <row r="61" spans="1:21" ht="30" hidden="1" customHeight="1" x14ac:dyDescent="0.35">
      <c r="B61" s="75" t="s">
        <v>15</v>
      </c>
      <c r="C61" s="145"/>
      <c r="D61" s="146"/>
      <c r="E61" s="42"/>
      <c r="F61" s="81"/>
      <c r="G61" s="82"/>
      <c r="H61" s="83"/>
      <c r="I61" s="82"/>
      <c r="J61" s="146"/>
      <c r="K61" s="42"/>
      <c r="L61" s="81"/>
      <c r="M61" s="82"/>
      <c r="N61" s="83"/>
      <c r="O61" s="82"/>
      <c r="P61" s="84"/>
      <c r="Q61" s="85"/>
      <c r="R61" s="147"/>
      <c r="S61" s="80"/>
      <c r="T61" s="52"/>
      <c r="U61" s="8"/>
    </row>
    <row r="62" spans="1:21" ht="30" hidden="1" customHeight="1" x14ac:dyDescent="0.35">
      <c r="B62" s="5" t="s">
        <v>16</v>
      </c>
      <c r="C62" s="133"/>
      <c r="D62" s="134"/>
      <c r="E62" s="44"/>
      <c r="F62" s="40"/>
      <c r="G62" s="53"/>
      <c r="H62" s="43"/>
      <c r="I62" s="53"/>
      <c r="J62" s="134"/>
      <c r="K62" s="44"/>
      <c r="L62" s="40"/>
      <c r="M62" s="53"/>
      <c r="N62" s="43"/>
      <c r="O62" s="53"/>
      <c r="P62" s="49"/>
      <c r="Q62" s="24"/>
      <c r="R62" s="136"/>
      <c r="S62" s="44"/>
      <c r="T62" s="45"/>
      <c r="U62" s="8"/>
    </row>
    <row r="63" spans="1:21" ht="30" hidden="1" customHeight="1" x14ac:dyDescent="0.35">
      <c r="B63" s="5" t="s">
        <v>17</v>
      </c>
      <c r="C63" s="133"/>
      <c r="D63" s="134"/>
      <c r="E63" s="44"/>
      <c r="F63" s="40"/>
      <c r="G63" s="53"/>
      <c r="H63" s="43"/>
      <c r="I63" s="53"/>
      <c r="J63" s="134"/>
      <c r="K63" s="44"/>
      <c r="L63" s="40"/>
      <c r="M63" s="53"/>
      <c r="N63" s="43"/>
      <c r="O63" s="53"/>
      <c r="P63" s="49"/>
      <c r="Q63" s="24"/>
      <c r="R63" s="136"/>
      <c r="S63" s="44"/>
      <c r="T63" s="45"/>
      <c r="U63" s="8"/>
    </row>
    <row r="64" spans="1:21" ht="30" hidden="1" customHeight="1" x14ac:dyDescent="0.35">
      <c r="B64" s="5" t="s">
        <v>18</v>
      </c>
      <c r="C64" s="133"/>
      <c r="D64" s="134"/>
      <c r="E64" s="44"/>
      <c r="F64" s="40"/>
      <c r="G64" s="53"/>
      <c r="H64" s="43"/>
      <c r="I64" s="53"/>
      <c r="J64" s="134"/>
      <c r="K64" s="44"/>
      <c r="L64" s="40"/>
      <c r="M64" s="53"/>
      <c r="N64" s="43"/>
      <c r="O64" s="53"/>
      <c r="P64" s="49"/>
      <c r="Q64" s="24"/>
      <c r="R64" s="136"/>
      <c r="S64" s="44"/>
      <c r="T64" s="45"/>
      <c r="U64" s="8"/>
    </row>
    <row r="65" spans="2:21" ht="30" hidden="1" customHeight="1" x14ac:dyDescent="0.35">
      <c r="B65" s="5" t="s">
        <v>30</v>
      </c>
      <c r="C65" s="133"/>
      <c r="D65" s="134"/>
      <c r="E65" s="44"/>
      <c r="F65" s="40"/>
      <c r="G65" s="53"/>
      <c r="H65" s="69"/>
      <c r="I65" s="53"/>
      <c r="J65" s="134"/>
      <c r="K65" s="44"/>
      <c r="L65" s="40"/>
      <c r="M65" s="53"/>
      <c r="N65" s="69"/>
      <c r="O65" s="53"/>
      <c r="P65" s="49"/>
      <c r="Q65" s="71"/>
      <c r="R65" s="136"/>
      <c r="S65" s="70"/>
      <c r="T65" s="45"/>
      <c r="U65" s="8"/>
    </row>
    <row r="66" spans="2:21" ht="30" hidden="1" customHeight="1" x14ac:dyDescent="0.35">
      <c r="B66" s="5" t="s">
        <v>31</v>
      </c>
      <c r="C66" s="133"/>
      <c r="D66" s="134"/>
      <c r="E66" s="44"/>
      <c r="F66" s="40"/>
      <c r="G66" s="53"/>
      <c r="H66" s="69"/>
      <c r="I66" s="53"/>
      <c r="J66" s="134"/>
      <c r="K66" s="44"/>
      <c r="L66" s="40"/>
      <c r="M66" s="53"/>
      <c r="N66" s="69"/>
      <c r="O66" s="53"/>
      <c r="P66" s="49"/>
      <c r="Q66" s="71"/>
      <c r="R66" s="136"/>
      <c r="S66" s="70"/>
      <c r="T66" s="45"/>
      <c r="U66" s="8"/>
    </row>
    <row r="67" spans="2:21" ht="30" hidden="1" customHeight="1" thickBot="1" x14ac:dyDescent="0.4">
      <c r="B67" s="5" t="s">
        <v>48</v>
      </c>
      <c r="C67" s="142"/>
      <c r="D67" s="143"/>
      <c r="E67" s="44"/>
      <c r="F67" s="112"/>
      <c r="G67" s="109"/>
      <c r="H67" s="69"/>
      <c r="I67" s="109"/>
      <c r="J67" s="143"/>
      <c r="K67" s="44"/>
      <c r="L67" s="112"/>
      <c r="M67" s="109"/>
      <c r="N67" s="69"/>
      <c r="O67" s="109"/>
      <c r="P67" s="108"/>
      <c r="Q67" s="110"/>
      <c r="R67" s="139"/>
      <c r="S67" s="70"/>
      <c r="T67" s="45"/>
      <c r="U67" s="8"/>
    </row>
    <row r="68" spans="2:21" ht="16" hidden="1" thickBot="1" x14ac:dyDescent="0.4">
      <c r="C68" s="39" t="s">
        <v>0</v>
      </c>
      <c r="D68" s="114"/>
      <c r="E68" s="114"/>
      <c r="F68" s="114"/>
      <c r="G68" s="114"/>
      <c r="H68" s="114"/>
      <c r="I68" s="114"/>
      <c r="J68" s="114"/>
      <c r="K68" s="114"/>
      <c r="L68" s="114"/>
      <c r="M68" s="114"/>
      <c r="N68" s="114"/>
      <c r="O68" s="114"/>
      <c r="P68" s="114"/>
      <c r="Q68" s="114"/>
      <c r="R68" s="114"/>
      <c r="S68" s="115"/>
      <c r="T68" s="46"/>
      <c r="U68" s="10"/>
    </row>
    <row r="69" spans="2:21" s="88" customFormat="1" ht="15.5" hidden="1" x14ac:dyDescent="0.35">
      <c r="C69" s="72"/>
      <c r="D69" s="89"/>
      <c r="E69" s="90"/>
      <c r="F69" s="91"/>
      <c r="G69" s="92"/>
      <c r="H69" s="89"/>
      <c r="I69" s="107"/>
      <c r="J69" s="89"/>
      <c r="K69" s="90"/>
      <c r="L69" s="91"/>
      <c r="M69" s="92"/>
      <c r="N69" s="89"/>
      <c r="O69" s="107"/>
      <c r="P69" s="89"/>
      <c r="Q69" s="93"/>
      <c r="R69" s="93"/>
      <c r="S69" s="90"/>
      <c r="T69" s="73"/>
      <c r="U69" s="94"/>
    </row>
    <row r="70" spans="2:21" ht="30" hidden="1" customHeight="1" thickBot="1" x14ac:dyDescent="0.4">
      <c r="B70" s="75" t="s">
        <v>19</v>
      </c>
      <c r="C70" s="229"/>
      <c r="D70" s="230"/>
      <c r="E70" s="230"/>
      <c r="F70" s="230"/>
      <c r="G70" s="230"/>
      <c r="H70" s="230"/>
      <c r="I70" s="230"/>
      <c r="J70" s="230"/>
      <c r="K70" s="230"/>
      <c r="L70" s="230"/>
      <c r="M70" s="230"/>
      <c r="N70" s="230"/>
      <c r="O70" s="230"/>
      <c r="P70" s="230"/>
      <c r="Q70" s="230"/>
      <c r="R70" s="230"/>
      <c r="S70" s="230"/>
      <c r="T70" s="229"/>
      <c r="U70" s="7"/>
    </row>
    <row r="71" spans="2:21" ht="30" hidden="1" customHeight="1" x14ac:dyDescent="0.35">
      <c r="B71" s="5" t="s">
        <v>20</v>
      </c>
      <c r="C71" s="133"/>
      <c r="D71" s="41"/>
      <c r="E71" s="42"/>
      <c r="F71" s="134"/>
      <c r="G71" s="42"/>
      <c r="H71" s="41"/>
      <c r="I71" s="42"/>
      <c r="J71" s="41"/>
      <c r="K71" s="42"/>
      <c r="L71" s="134"/>
      <c r="M71" s="42"/>
      <c r="N71" s="41"/>
      <c r="O71" s="42"/>
      <c r="P71" s="47"/>
      <c r="Q71" s="48"/>
      <c r="R71" s="136"/>
      <c r="S71" s="42"/>
      <c r="T71" s="45"/>
      <c r="U71" s="8"/>
    </row>
    <row r="72" spans="2:21" ht="30" hidden="1" customHeight="1" x14ac:dyDescent="0.35">
      <c r="B72" s="5" t="s">
        <v>21</v>
      </c>
      <c r="C72" s="133"/>
      <c r="D72" s="43"/>
      <c r="E72" s="44"/>
      <c r="F72" s="134"/>
      <c r="G72" s="44"/>
      <c r="H72" s="43"/>
      <c r="I72" s="44"/>
      <c r="J72" s="43"/>
      <c r="K72" s="44"/>
      <c r="L72" s="134"/>
      <c r="M72" s="44"/>
      <c r="N72" s="43"/>
      <c r="O72" s="44"/>
      <c r="P72" s="49"/>
      <c r="Q72" s="24"/>
      <c r="R72" s="136"/>
      <c r="S72" s="44"/>
      <c r="T72" s="45"/>
      <c r="U72" s="8"/>
    </row>
    <row r="73" spans="2:21" ht="30" hidden="1" customHeight="1" x14ac:dyDescent="0.35">
      <c r="B73" s="5" t="s">
        <v>22</v>
      </c>
      <c r="C73" s="133"/>
      <c r="D73" s="43"/>
      <c r="E73" s="44"/>
      <c r="F73" s="134"/>
      <c r="G73" s="44"/>
      <c r="H73" s="43"/>
      <c r="I73" s="44"/>
      <c r="J73" s="43"/>
      <c r="K73" s="44"/>
      <c r="L73" s="134"/>
      <c r="M73" s="44"/>
      <c r="N73" s="43"/>
      <c r="O73" s="44"/>
      <c r="P73" s="49"/>
      <c r="Q73" s="24"/>
      <c r="R73" s="136"/>
      <c r="S73" s="44"/>
      <c r="T73" s="45"/>
      <c r="U73" s="8"/>
    </row>
    <row r="74" spans="2:21" ht="30" hidden="1" customHeight="1" x14ac:dyDescent="0.35">
      <c r="B74" s="5" t="s">
        <v>49</v>
      </c>
      <c r="C74" s="142"/>
      <c r="D74" s="69"/>
      <c r="E74" s="44"/>
      <c r="F74" s="143"/>
      <c r="G74" s="109"/>
      <c r="H74" s="69"/>
      <c r="I74" s="109"/>
      <c r="J74" s="69"/>
      <c r="K74" s="44"/>
      <c r="L74" s="143"/>
      <c r="M74" s="109"/>
      <c r="N74" s="69"/>
      <c r="O74" s="109"/>
      <c r="P74" s="108"/>
      <c r="Q74" s="110"/>
      <c r="R74" s="139"/>
      <c r="S74" s="70"/>
      <c r="T74" s="45"/>
      <c r="U74" s="8"/>
    </row>
    <row r="75" spans="2:21" ht="30" hidden="1" customHeight="1" x14ac:dyDescent="0.35">
      <c r="B75" s="5" t="s">
        <v>50</v>
      </c>
      <c r="C75" s="142"/>
      <c r="D75" s="69"/>
      <c r="E75" s="44"/>
      <c r="F75" s="143"/>
      <c r="G75" s="109"/>
      <c r="H75" s="69"/>
      <c r="I75" s="109"/>
      <c r="J75" s="69"/>
      <c r="K75" s="44"/>
      <c r="L75" s="143"/>
      <c r="M75" s="109"/>
      <c r="N75" s="69"/>
      <c r="O75" s="109"/>
      <c r="P75" s="108"/>
      <c r="Q75" s="110"/>
      <c r="R75" s="139"/>
      <c r="S75" s="70"/>
      <c r="T75" s="45"/>
      <c r="U75" s="8"/>
    </row>
    <row r="76" spans="2:21" ht="30" hidden="1" customHeight="1" x14ac:dyDescent="0.35">
      <c r="B76" s="5" t="s">
        <v>51</v>
      </c>
      <c r="C76" s="142"/>
      <c r="D76" s="69"/>
      <c r="E76" s="44"/>
      <c r="F76" s="143"/>
      <c r="G76" s="109"/>
      <c r="H76" s="69"/>
      <c r="I76" s="109"/>
      <c r="J76" s="69"/>
      <c r="K76" s="44"/>
      <c r="L76" s="143"/>
      <c r="M76" s="109"/>
      <c r="N76" s="69"/>
      <c r="O76" s="109"/>
      <c r="P76" s="108"/>
      <c r="Q76" s="110"/>
      <c r="R76" s="139"/>
      <c r="S76" s="70"/>
      <c r="T76" s="45"/>
      <c r="U76" s="8"/>
    </row>
    <row r="77" spans="2:21" ht="30" hidden="1" customHeight="1" thickBot="1" x14ac:dyDescent="0.4">
      <c r="B77" s="5" t="s">
        <v>52</v>
      </c>
      <c r="C77" s="142"/>
      <c r="D77" s="69"/>
      <c r="E77" s="44"/>
      <c r="F77" s="143"/>
      <c r="G77" s="109"/>
      <c r="H77" s="69"/>
      <c r="I77" s="109"/>
      <c r="J77" s="69"/>
      <c r="K77" s="44"/>
      <c r="L77" s="143"/>
      <c r="M77" s="109"/>
      <c r="N77" s="69"/>
      <c r="O77" s="109"/>
      <c r="P77" s="108"/>
      <c r="Q77" s="110"/>
      <c r="R77" s="139"/>
      <c r="S77" s="70"/>
      <c r="T77" s="45"/>
      <c r="U77" s="8"/>
    </row>
    <row r="78" spans="2:21" ht="16" hidden="1" thickBot="1" x14ac:dyDescent="0.4">
      <c r="C78" s="39" t="s">
        <v>0</v>
      </c>
      <c r="D78" s="114"/>
      <c r="E78" s="114"/>
      <c r="F78" s="114"/>
      <c r="G78" s="114"/>
      <c r="H78" s="114"/>
      <c r="I78" s="114"/>
      <c r="J78" s="114"/>
      <c r="K78" s="114"/>
      <c r="L78" s="114"/>
      <c r="M78" s="114"/>
      <c r="N78" s="114"/>
      <c r="O78" s="114"/>
      <c r="P78" s="114"/>
      <c r="Q78" s="114"/>
      <c r="R78" s="114"/>
      <c r="S78" s="115"/>
      <c r="T78" s="46"/>
      <c r="U78" s="10"/>
    </row>
    <row r="79" spans="2:21" ht="15.5" hidden="1" x14ac:dyDescent="0.35">
      <c r="C79" s="76"/>
      <c r="D79" s="77"/>
      <c r="E79" s="77"/>
      <c r="F79" s="77"/>
      <c r="G79" s="77"/>
      <c r="H79" s="77"/>
      <c r="I79" s="106"/>
      <c r="J79" s="77"/>
      <c r="K79" s="77"/>
      <c r="L79" s="77"/>
      <c r="M79" s="77"/>
      <c r="N79" s="77"/>
      <c r="O79" s="106"/>
      <c r="P79" s="77"/>
      <c r="Q79" s="77"/>
      <c r="R79" s="77"/>
      <c r="S79" s="77"/>
      <c r="T79" s="78"/>
      <c r="U79" s="74"/>
    </row>
    <row r="80" spans="2:21" ht="30" hidden="1" customHeight="1" thickBot="1" x14ac:dyDescent="0.4">
      <c r="B80" s="5" t="s">
        <v>39</v>
      </c>
      <c r="C80" s="252"/>
      <c r="D80" s="255"/>
      <c r="E80" s="255"/>
      <c r="F80" s="255"/>
      <c r="G80" s="255"/>
      <c r="H80" s="255"/>
      <c r="I80" s="255"/>
      <c r="J80" s="255"/>
      <c r="K80" s="255"/>
      <c r="L80" s="255"/>
      <c r="M80" s="255"/>
      <c r="N80" s="255"/>
      <c r="O80" s="255"/>
      <c r="P80" s="255"/>
      <c r="Q80" s="255"/>
      <c r="R80" s="255"/>
      <c r="S80" s="255"/>
      <c r="T80" s="252"/>
      <c r="U80" s="10"/>
    </row>
    <row r="81" spans="2:21" ht="30" hidden="1" customHeight="1" x14ac:dyDescent="0.35">
      <c r="B81" s="5" t="s">
        <v>32</v>
      </c>
      <c r="C81" s="133"/>
      <c r="D81" s="134"/>
      <c r="E81" s="42"/>
      <c r="F81" s="134"/>
      <c r="G81" s="42"/>
      <c r="H81" s="134"/>
      <c r="I81" s="42"/>
      <c r="J81" s="134"/>
      <c r="K81" s="42"/>
      <c r="L81" s="134"/>
      <c r="M81" s="42"/>
      <c r="N81" s="134"/>
      <c r="O81" s="42"/>
      <c r="P81" s="47"/>
      <c r="Q81" s="48"/>
      <c r="R81" s="136"/>
      <c r="S81" s="42"/>
      <c r="T81" s="45"/>
      <c r="U81" s="10"/>
    </row>
    <row r="82" spans="2:21" ht="30" hidden="1" customHeight="1" x14ac:dyDescent="0.35">
      <c r="B82" s="5" t="s">
        <v>33</v>
      </c>
      <c r="C82" s="133"/>
      <c r="D82" s="134"/>
      <c r="E82" s="44"/>
      <c r="F82" s="134"/>
      <c r="G82" s="44"/>
      <c r="H82" s="134"/>
      <c r="I82" s="44"/>
      <c r="J82" s="134"/>
      <c r="K82" s="44"/>
      <c r="L82" s="134"/>
      <c r="M82" s="44"/>
      <c r="N82" s="134"/>
      <c r="O82" s="44"/>
      <c r="P82" s="49"/>
      <c r="Q82" s="24"/>
      <c r="R82" s="136"/>
      <c r="S82" s="44"/>
      <c r="T82" s="45"/>
      <c r="U82" s="10"/>
    </row>
    <row r="83" spans="2:21" ht="30" hidden="1" customHeight="1" x14ac:dyDescent="0.35">
      <c r="B83" s="5" t="s">
        <v>34</v>
      </c>
      <c r="C83" s="133"/>
      <c r="D83" s="134"/>
      <c r="E83" s="44"/>
      <c r="F83" s="134"/>
      <c r="G83" s="44"/>
      <c r="H83" s="134"/>
      <c r="I83" s="44"/>
      <c r="J83" s="134"/>
      <c r="K83" s="44"/>
      <c r="L83" s="134"/>
      <c r="M83" s="44"/>
      <c r="N83" s="134"/>
      <c r="O83" s="44"/>
      <c r="P83" s="49"/>
      <c r="Q83" s="24"/>
      <c r="R83" s="136"/>
      <c r="S83" s="44"/>
      <c r="T83" s="45"/>
      <c r="U83" s="10"/>
    </row>
    <row r="84" spans="2:21" ht="30" hidden="1" customHeight="1" x14ac:dyDescent="0.35">
      <c r="B84" s="5" t="s">
        <v>35</v>
      </c>
      <c r="C84" s="133"/>
      <c r="D84" s="134"/>
      <c r="E84" s="70"/>
      <c r="F84" s="134"/>
      <c r="G84" s="70"/>
      <c r="H84" s="134"/>
      <c r="I84" s="70"/>
      <c r="J84" s="134"/>
      <c r="K84" s="70"/>
      <c r="L84" s="134"/>
      <c r="M84" s="70"/>
      <c r="N84" s="134"/>
      <c r="O84" s="70"/>
      <c r="P84" s="49"/>
      <c r="Q84" s="71"/>
      <c r="R84" s="136"/>
      <c r="S84" s="70"/>
      <c r="T84" s="45"/>
      <c r="U84" s="10"/>
    </row>
    <row r="85" spans="2:21" ht="30" hidden="1" customHeight="1" x14ac:dyDescent="0.35">
      <c r="B85" s="5" t="s">
        <v>36</v>
      </c>
      <c r="C85" s="133"/>
      <c r="D85" s="134"/>
      <c r="E85" s="70"/>
      <c r="F85" s="134"/>
      <c r="G85" s="70"/>
      <c r="H85" s="134"/>
      <c r="I85" s="70"/>
      <c r="J85" s="134"/>
      <c r="K85" s="70"/>
      <c r="L85" s="134"/>
      <c r="M85" s="70"/>
      <c r="N85" s="134"/>
      <c r="O85" s="70"/>
      <c r="P85" s="49"/>
      <c r="Q85" s="71"/>
      <c r="R85" s="136"/>
      <c r="S85" s="70"/>
      <c r="T85" s="45"/>
      <c r="U85" s="10"/>
    </row>
    <row r="86" spans="2:21" ht="30" hidden="1" customHeight="1" x14ac:dyDescent="0.35">
      <c r="B86" s="5" t="s">
        <v>37</v>
      </c>
      <c r="C86" s="133"/>
      <c r="D86" s="134"/>
      <c r="E86" s="70"/>
      <c r="F86" s="134"/>
      <c r="G86" s="70"/>
      <c r="H86" s="134"/>
      <c r="I86" s="70"/>
      <c r="J86" s="134"/>
      <c r="K86" s="70"/>
      <c r="L86" s="134"/>
      <c r="M86" s="70"/>
      <c r="N86" s="134"/>
      <c r="O86" s="70"/>
      <c r="P86" s="49"/>
      <c r="Q86" s="71"/>
      <c r="R86" s="136"/>
      <c r="S86" s="70"/>
      <c r="T86" s="45"/>
      <c r="U86" s="10"/>
    </row>
    <row r="87" spans="2:21" ht="30" hidden="1" customHeight="1" thickBot="1" x14ac:dyDescent="0.4">
      <c r="B87" s="5" t="s">
        <v>38</v>
      </c>
      <c r="C87" s="133"/>
      <c r="D87" s="134"/>
      <c r="E87" s="70"/>
      <c r="F87" s="134"/>
      <c r="G87" s="70"/>
      <c r="H87" s="134"/>
      <c r="I87" s="70"/>
      <c r="J87" s="134"/>
      <c r="K87" s="70"/>
      <c r="L87" s="134"/>
      <c r="M87" s="70"/>
      <c r="N87" s="134"/>
      <c r="O87" s="70"/>
      <c r="P87" s="49"/>
      <c r="Q87" s="71"/>
      <c r="R87" s="144"/>
      <c r="S87" s="70"/>
      <c r="T87" s="45"/>
      <c r="U87" s="10"/>
    </row>
    <row r="88" spans="2:21" ht="16" hidden="1" thickBot="1" x14ac:dyDescent="0.4">
      <c r="C88" s="39" t="s">
        <v>0</v>
      </c>
      <c r="D88" s="114"/>
      <c r="E88" s="114"/>
      <c r="F88" s="114"/>
      <c r="G88" s="114"/>
      <c r="H88" s="114"/>
      <c r="I88" s="114"/>
      <c r="J88" s="114"/>
      <c r="K88" s="114"/>
      <c r="L88" s="114"/>
      <c r="M88" s="114"/>
      <c r="N88" s="114"/>
      <c r="O88" s="114"/>
      <c r="P88" s="114"/>
      <c r="Q88" s="114"/>
      <c r="R88" s="114"/>
      <c r="S88" s="115"/>
      <c r="T88" s="46"/>
      <c r="U88" s="10"/>
    </row>
    <row r="89" spans="2:21" ht="15.75" customHeight="1" thickBot="1" x14ac:dyDescent="0.4">
      <c r="B89" s="14"/>
      <c r="C89" s="11"/>
      <c r="D89" s="15"/>
      <c r="E89" s="15"/>
      <c r="F89" s="15"/>
      <c r="G89" s="15"/>
      <c r="H89" s="15"/>
      <c r="I89" s="15"/>
      <c r="J89" s="15"/>
      <c r="K89" s="15"/>
      <c r="L89" s="15"/>
      <c r="M89" s="15"/>
      <c r="N89" s="15"/>
      <c r="O89" s="15"/>
      <c r="P89" s="15"/>
      <c r="Q89" s="15"/>
      <c r="R89" s="15"/>
      <c r="S89" s="15"/>
      <c r="T89" s="11"/>
      <c r="U89" s="16"/>
    </row>
    <row r="90" spans="2:21" ht="63.75" customHeight="1" x14ac:dyDescent="0.35">
      <c r="B90" s="50" t="s">
        <v>111</v>
      </c>
      <c r="C90" s="57" t="s">
        <v>111</v>
      </c>
      <c r="D90" s="60">
        <v>190000</v>
      </c>
      <c r="E90" s="200">
        <v>142216.94</v>
      </c>
      <c r="F90" s="184">
        <v>16967</v>
      </c>
      <c r="G90" s="61">
        <v>13629</v>
      </c>
      <c r="H90" s="60"/>
      <c r="I90" s="61"/>
      <c r="J90" s="60">
        <v>389925</v>
      </c>
      <c r="K90" s="61">
        <f>'Expenditure by Category'!M8</f>
        <v>266266.65999999997</v>
      </c>
      <c r="L90" s="208"/>
      <c r="M90" s="61"/>
      <c r="N90" s="60"/>
      <c r="O90" s="61">
        <f>'Expenditure by Category'!Q8</f>
        <v>61755</v>
      </c>
      <c r="P90" s="154">
        <f>SUM(D90,F90,,J90,L90,N90)</f>
        <v>596892</v>
      </c>
      <c r="Q90" s="155">
        <f>SUM(E90,G90,I90,K90,M90,O90)</f>
        <v>483867.6</v>
      </c>
      <c r="R90" s="148">
        <v>0.15</v>
      </c>
      <c r="S90" s="61"/>
      <c r="T90" s="65"/>
      <c r="U90" s="10"/>
    </row>
    <row r="91" spans="2:21" ht="69.75" customHeight="1" x14ac:dyDescent="0.35">
      <c r="B91" s="54" t="s">
        <v>112</v>
      </c>
      <c r="C91" s="58" t="s">
        <v>112</v>
      </c>
      <c r="D91" s="62">
        <v>60000</v>
      </c>
      <c r="E91" s="159">
        <v>11838.85</v>
      </c>
      <c r="F91" s="185">
        <v>11532</v>
      </c>
      <c r="G91" s="63">
        <v>6897</v>
      </c>
      <c r="H91" s="62"/>
      <c r="I91" s="63"/>
      <c r="J91" s="62">
        <v>60000</v>
      </c>
      <c r="K91" s="63">
        <v>53135.65</v>
      </c>
      <c r="L91" s="209"/>
      <c r="M91" s="63"/>
      <c r="N91" s="62"/>
      <c r="O91" s="63">
        <f>'Expenditure by Category'!Q9+'Expenditure by Category'!Q10+'Expenditure by Category'!Q12+'Expenditure by Category'!Q14</f>
        <v>54415</v>
      </c>
      <c r="P91" s="68">
        <f t="shared" ref="P91:P93" si="8">SUM(D91,F91,,J91,L91,N91)</f>
        <v>131532</v>
      </c>
      <c r="Q91" s="17">
        <f t="shared" ref="Q91:Q93" si="9">SUM(E91,G91,I91,K91,M91,O91)</f>
        <v>126286.5</v>
      </c>
      <c r="R91" s="149">
        <v>0</v>
      </c>
      <c r="S91" s="44"/>
      <c r="T91" s="66"/>
      <c r="U91" s="10"/>
    </row>
    <row r="92" spans="2:21" ht="57" customHeight="1" x14ac:dyDescent="0.35">
      <c r="B92" s="54" t="s">
        <v>113</v>
      </c>
      <c r="C92" s="213" t="s">
        <v>113</v>
      </c>
      <c r="D92" s="62">
        <v>12000</v>
      </c>
      <c r="E92" s="159">
        <v>6938.29</v>
      </c>
      <c r="F92" s="62"/>
      <c r="G92" s="159"/>
      <c r="H92" s="62">
        <v>12000</v>
      </c>
      <c r="I92" s="63"/>
      <c r="J92" s="62">
        <v>12000</v>
      </c>
      <c r="K92" s="63">
        <f>'Expenditure by Category'!M12</f>
        <v>6778.4</v>
      </c>
      <c r="L92" s="209">
        <v>12000</v>
      </c>
      <c r="M92" s="63">
        <v>4000</v>
      </c>
      <c r="N92" s="62">
        <v>12000</v>
      </c>
      <c r="O92" s="159">
        <v>9160</v>
      </c>
      <c r="P92" s="68">
        <f t="shared" si="8"/>
        <v>48000</v>
      </c>
      <c r="Q92" s="17">
        <f t="shared" si="9"/>
        <v>26876.69</v>
      </c>
      <c r="R92" s="149">
        <v>0</v>
      </c>
      <c r="S92" s="70"/>
      <c r="T92" s="66"/>
      <c r="U92" s="10"/>
    </row>
    <row r="93" spans="2:21" ht="65.25" customHeight="1" x14ac:dyDescent="0.35">
      <c r="B93" s="55" t="s">
        <v>114</v>
      </c>
      <c r="C93" s="58" t="s">
        <v>114</v>
      </c>
      <c r="D93" s="160"/>
      <c r="E93" s="63"/>
      <c r="F93" s="160"/>
      <c r="G93" s="63"/>
      <c r="H93" s="62"/>
      <c r="I93" s="63"/>
      <c r="J93" s="62">
        <v>68500</v>
      </c>
      <c r="K93" s="63">
        <v>0</v>
      </c>
      <c r="L93" s="209"/>
      <c r="M93" s="63"/>
      <c r="N93" s="62"/>
      <c r="O93" s="63"/>
      <c r="P93" s="156">
        <f t="shared" si="8"/>
        <v>68500</v>
      </c>
      <c r="Q93" s="157">
        <f t="shared" si="9"/>
        <v>0</v>
      </c>
      <c r="R93" s="149">
        <v>0.3</v>
      </c>
      <c r="S93" s="70"/>
      <c r="T93" s="66"/>
      <c r="U93" s="10"/>
    </row>
    <row r="94" spans="2:21" ht="38.25" customHeight="1" thickBot="1" x14ac:dyDescent="0.4">
      <c r="B94" s="56"/>
      <c r="C94" s="59" t="s">
        <v>115</v>
      </c>
      <c r="D94" s="64">
        <f t="shared" ref="D94:I94" si="10">SUM(D90:D93)</f>
        <v>262000</v>
      </c>
      <c r="E94" s="64">
        <f t="shared" si="10"/>
        <v>160994.08000000002</v>
      </c>
      <c r="F94" s="64">
        <f t="shared" si="10"/>
        <v>28499</v>
      </c>
      <c r="G94" s="64">
        <f t="shared" si="10"/>
        <v>20526</v>
      </c>
      <c r="H94" s="64">
        <f t="shared" si="10"/>
        <v>12000</v>
      </c>
      <c r="I94" s="64">
        <f t="shared" si="10"/>
        <v>0</v>
      </c>
      <c r="J94" s="64">
        <f t="shared" ref="J94:P94" si="11">SUM(J90:J93)</f>
        <v>530425</v>
      </c>
      <c r="K94" s="64">
        <f t="shared" si="11"/>
        <v>326180.71000000002</v>
      </c>
      <c r="L94" s="205">
        <f t="shared" si="11"/>
        <v>12000</v>
      </c>
      <c r="M94" s="205">
        <f t="shared" si="11"/>
        <v>4000</v>
      </c>
      <c r="N94" s="64">
        <f t="shared" si="11"/>
        <v>12000</v>
      </c>
      <c r="O94" s="64">
        <f t="shared" si="11"/>
        <v>125330</v>
      </c>
      <c r="P94" s="64">
        <f t="shared" si="11"/>
        <v>844924</v>
      </c>
      <c r="Q94" s="64">
        <f>SUM(Q90:Q93)</f>
        <v>637030.78999999992</v>
      </c>
      <c r="R94" s="64"/>
      <c r="S94" s="64">
        <f>SUM(S90:S93)</f>
        <v>0</v>
      </c>
      <c r="T94" s="67"/>
      <c r="U94" s="18"/>
    </row>
    <row r="95" spans="2:21" ht="15.75" customHeight="1" thickBot="1" x14ac:dyDescent="0.4">
      <c r="B95" s="20"/>
      <c r="C95" s="11"/>
      <c r="D95" s="15"/>
      <c r="E95" s="15"/>
      <c r="F95" s="15"/>
      <c r="G95" s="15"/>
      <c r="H95" s="15"/>
      <c r="I95" s="15"/>
      <c r="J95" s="15"/>
      <c r="K95" s="15"/>
      <c r="L95" s="15"/>
      <c r="M95" s="15"/>
      <c r="N95" s="15"/>
      <c r="O95" s="15"/>
      <c r="P95" s="15"/>
      <c r="Q95" s="15"/>
      <c r="R95" s="15"/>
      <c r="S95" s="15"/>
      <c r="T95" s="11"/>
      <c r="U95" s="18"/>
    </row>
    <row r="96" spans="2:21" ht="16" thickBot="1" x14ac:dyDescent="0.4">
      <c r="B96" s="20"/>
      <c r="C96" s="231" t="s">
        <v>122</v>
      </c>
      <c r="D96" s="232"/>
      <c r="E96" s="232"/>
      <c r="F96" s="232"/>
      <c r="G96" s="232"/>
      <c r="H96" s="232"/>
      <c r="I96" s="232"/>
      <c r="J96" s="232"/>
      <c r="K96" s="232"/>
      <c r="L96" s="232"/>
      <c r="M96" s="232"/>
      <c r="N96" s="232"/>
      <c r="O96" s="232"/>
      <c r="P96" s="232"/>
      <c r="Q96" s="233"/>
      <c r="R96" s="18"/>
      <c r="S96" s="18"/>
      <c r="T96" s="18"/>
    </row>
    <row r="97" spans="2:21" ht="40.5" customHeight="1" x14ac:dyDescent="0.35">
      <c r="B97" s="20"/>
      <c r="C97" s="240"/>
      <c r="D97" s="241" t="s">
        <v>116</v>
      </c>
      <c r="E97" s="242"/>
      <c r="F97" s="241" t="s">
        <v>117</v>
      </c>
      <c r="G97" s="242"/>
      <c r="H97" s="238" t="s">
        <v>118</v>
      </c>
      <c r="I97" s="239"/>
      <c r="J97" s="241" t="s">
        <v>119</v>
      </c>
      <c r="K97" s="242"/>
      <c r="L97" s="241" t="s">
        <v>120</v>
      </c>
      <c r="M97" s="242"/>
      <c r="N97" s="238" t="s">
        <v>121</v>
      </c>
      <c r="O97" s="239"/>
      <c r="P97" s="234" t="s">
        <v>23</v>
      </c>
      <c r="Q97" s="234" t="s">
        <v>24</v>
      </c>
      <c r="R97" s="11"/>
      <c r="S97" s="11"/>
      <c r="T97" s="18"/>
    </row>
    <row r="98" spans="2:21" ht="24.75" customHeight="1" thickBot="1" x14ac:dyDescent="0.4">
      <c r="B98" s="20"/>
      <c r="C98" s="240"/>
      <c r="D98" s="236" t="str">
        <f>D6</f>
        <v>UNDP Rwanda</v>
      </c>
      <c r="E98" s="237"/>
      <c r="F98" s="236" t="str">
        <f>F6</f>
        <v>FAO Rwanda</v>
      </c>
      <c r="G98" s="237"/>
      <c r="H98" s="236" t="str">
        <f>H6</f>
        <v>WFP Rwanda</v>
      </c>
      <c r="I98" s="237"/>
      <c r="J98" s="236" t="str">
        <f>J6</f>
        <v>UNDP DRC</v>
      </c>
      <c r="K98" s="237"/>
      <c r="L98" s="236" t="str">
        <f>L6</f>
        <v>FAO DRC</v>
      </c>
      <c r="M98" s="237"/>
      <c r="N98" s="236" t="str">
        <f>N6</f>
        <v>WFP DRC</v>
      </c>
      <c r="O98" s="237"/>
      <c r="P98" s="235"/>
      <c r="Q98" s="235"/>
      <c r="R98" s="11"/>
      <c r="S98" s="11" t="s">
        <v>149</v>
      </c>
      <c r="T98" s="18"/>
    </row>
    <row r="99" spans="2:21" ht="41.25" customHeight="1" x14ac:dyDescent="0.35">
      <c r="B99" s="20"/>
      <c r="C99" s="102" t="s">
        <v>123</v>
      </c>
      <c r="D99" s="104">
        <f>SUM(D19,D29,D94)</f>
        <v>594471</v>
      </c>
      <c r="E99" s="197">
        <f>SUM(E19,E29,E94)</f>
        <v>419456.13</v>
      </c>
      <c r="F99" s="104">
        <f t="shared" ref="F99:H99" si="12">SUM(F19,F29,F94)</f>
        <v>334471</v>
      </c>
      <c r="G99" s="100">
        <f t="shared" si="12"/>
        <v>223173</v>
      </c>
      <c r="H99" s="104">
        <f t="shared" si="12"/>
        <v>334471</v>
      </c>
      <c r="I99" s="179">
        <f>SUM(I19,I29,I94)</f>
        <v>162997.20000000001</v>
      </c>
      <c r="J99" s="104">
        <f t="shared" ref="J99:O99" si="13">SUM(J19,J29,J94)</f>
        <v>852895.95</v>
      </c>
      <c r="K99" s="151">
        <f t="shared" si="13"/>
        <v>566950.66</v>
      </c>
      <c r="L99" s="104">
        <f t="shared" si="13"/>
        <v>355140</v>
      </c>
      <c r="M99" s="100">
        <f t="shared" si="13"/>
        <v>227272</v>
      </c>
      <c r="N99" s="104">
        <f t="shared" si="13"/>
        <v>334471</v>
      </c>
      <c r="O99" s="179">
        <f t="shared" si="13"/>
        <v>283422</v>
      </c>
      <c r="P99" s="104">
        <f>SUM(D99,F99,H99,J99,L99,N99)</f>
        <v>2805919.95</v>
      </c>
      <c r="Q99" s="100">
        <f>SUM(E99,G99,I99,K99,M99,O99)</f>
        <v>1883270.9900000002</v>
      </c>
      <c r="R99" s="11"/>
      <c r="S99" s="192">
        <f>S19+S29+S94</f>
        <v>60308.964</v>
      </c>
      <c r="T99" s="19" t="s">
        <v>150</v>
      </c>
    </row>
    <row r="100" spans="2:21" ht="51.75" customHeight="1" thickBot="1" x14ac:dyDescent="0.4">
      <c r="B100" s="20"/>
      <c r="C100" s="103" t="s">
        <v>148</v>
      </c>
      <c r="D100" s="105">
        <f t="shared" ref="D100" si="14">D99*0.07</f>
        <v>41612.97</v>
      </c>
      <c r="E100" s="198">
        <f>21561.01+480</f>
        <v>22041.01</v>
      </c>
      <c r="F100" s="105">
        <f t="shared" ref="F100" si="15">F99*0.07</f>
        <v>23412.97</v>
      </c>
      <c r="G100" s="101">
        <v>10979</v>
      </c>
      <c r="H100" s="105">
        <f>H99*0.065</f>
        <v>21740.615000000002</v>
      </c>
      <c r="I100" s="180">
        <v>21740.615000000002</v>
      </c>
      <c r="J100" s="105">
        <f t="shared" ref="J100:L100" si="16">J99*0.07</f>
        <v>59702.716500000002</v>
      </c>
      <c r="K100" s="152">
        <f>'Expenditure by Category'!M16</f>
        <v>38398.83</v>
      </c>
      <c r="L100" s="105">
        <f t="shared" si="16"/>
        <v>24859.800000000003</v>
      </c>
      <c r="M100" s="101">
        <v>8957</v>
      </c>
      <c r="N100" s="105">
        <f>N99*0.065</f>
        <v>21740.615000000002</v>
      </c>
      <c r="O100" s="180">
        <f>11708+'Expenditure by Category'!Q16</f>
        <v>33405</v>
      </c>
      <c r="P100" s="105">
        <f>SUM(D100,F100,H100,J100,L100,N100)</f>
        <v>193069.68650000001</v>
      </c>
      <c r="Q100" s="101">
        <f>SUM(E100,G100,I100,K100,M100,O100)</f>
        <v>135521.45500000002</v>
      </c>
      <c r="R100" s="20"/>
      <c r="S100" s="192">
        <v>43455.67</v>
      </c>
      <c r="T100" s="21" t="s">
        <v>151</v>
      </c>
    </row>
    <row r="101" spans="2:21" ht="51.75" customHeight="1" thickBot="1" x14ac:dyDescent="0.4">
      <c r="B101" s="20"/>
      <c r="C101" s="96" t="s">
        <v>25</v>
      </c>
      <c r="D101" s="97">
        <f>SUM(D99:D100)</f>
        <v>636083.97</v>
      </c>
      <c r="E101" s="199">
        <f>SUM(E99:E100)</f>
        <v>441497.14</v>
      </c>
      <c r="F101" s="97">
        <f t="shared" ref="F101:I101" si="17">SUM(F99:F100)</f>
        <v>357883.97</v>
      </c>
      <c r="G101" s="98">
        <f t="shared" si="17"/>
        <v>234152</v>
      </c>
      <c r="H101" s="97">
        <f t="shared" si="17"/>
        <v>356211.61499999999</v>
      </c>
      <c r="I101" s="181">
        <f t="shared" si="17"/>
        <v>184737.815</v>
      </c>
      <c r="J101" s="97">
        <f t="shared" ref="J101:Q101" si="18">SUM(J99:J100)</f>
        <v>912598.66649999993</v>
      </c>
      <c r="K101" s="153">
        <f t="shared" si="18"/>
        <v>605349.49</v>
      </c>
      <c r="L101" s="97">
        <f t="shared" si="18"/>
        <v>379999.8</v>
      </c>
      <c r="M101" s="98">
        <f t="shared" si="18"/>
        <v>236229</v>
      </c>
      <c r="N101" s="97">
        <f t="shared" si="18"/>
        <v>356211.61499999999</v>
      </c>
      <c r="O101" s="98">
        <f t="shared" si="18"/>
        <v>316827</v>
      </c>
      <c r="P101" s="99">
        <f t="shared" si="18"/>
        <v>2998989.6365</v>
      </c>
      <c r="Q101" s="98">
        <f t="shared" si="18"/>
        <v>2018792.4450000003</v>
      </c>
      <c r="R101" s="25"/>
      <c r="S101" s="222">
        <f>L116</f>
        <v>132240.57710764074</v>
      </c>
      <c r="T101" s="1" t="s">
        <v>58</v>
      </c>
    </row>
    <row r="102" spans="2:21" ht="42" customHeight="1" thickBot="1" x14ac:dyDescent="0.4">
      <c r="B102" s="20"/>
      <c r="C102" s="22" t="s">
        <v>124</v>
      </c>
      <c r="D102" s="23"/>
      <c r="E102" s="95">
        <f>E101/D101</f>
        <v>0.69408625405227553</v>
      </c>
      <c r="F102" s="23"/>
      <c r="G102" s="95">
        <f>G101/F101</f>
        <v>0.65426791817470897</v>
      </c>
      <c r="H102" s="26"/>
      <c r="I102" s="95">
        <f>I101/H101</f>
        <v>0.51861816746205769</v>
      </c>
      <c r="J102" s="23"/>
      <c r="K102" s="95">
        <f>K101/J101</f>
        <v>0.66332497758476616</v>
      </c>
      <c r="L102" s="23"/>
      <c r="M102" s="95">
        <f>M101/L101</f>
        <v>0.62165559034504758</v>
      </c>
      <c r="N102" s="26"/>
      <c r="O102" s="95">
        <f>O101/N101</f>
        <v>0.88943478162552336</v>
      </c>
      <c r="P102" s="27"/>
      <c r="Q102" s="224">
        <f>Q101/P101</f>
        <v>0.67315752626476288</v>
      </c>
      <c r="S102" s="221">
        <f>S99+S100+S101</f>
        <v>236005.21110764073</v>
      </c>
      <c r="T102" s="21" t="s">
        <v>169</v>
      </c>
      <c r="U102" s="21"/>
    </row>
    <row r="103" spans="2:21" x14ac:dyDescent="0.35">
      <c r="E103" s="190" t="s">
        <v>156</v>
      </c>
      <c r="F103" s="190"/>
      <c r="G103" s="190" t="s">
        <v>156</v>
      </c>
      <c r="H103" s="190"/>
      <c r="I103" s="190" t="s">
        <v>156</v>
      </c>
      <c r="J103" s="190"/>
      <c r="K103" s="190" t="s">
        <v>156</v>
      </c>
      <c r="L103" s="190"/>
      <c r="M103" s="190" t="s">
        <v>156</v>
      </c>
      <c r="O103" s="190" t="s">
        <v>156</v>
      </c>
    </row>
    <row r="104" spans="2:21" x14ac:dyDescent="0.35">
      <c r="G104" s="190"/>
      <c r="I104" s="1"/>
      <c r="J104" s="204"/>
      <c r="K104" s="201"/>
      <c r="O104" s="190"/>
    </row>
    <row r="105" spans="2:21" x14ac:dyDescent="0.35">
      <c r="I105" s="1"/>
      <c r="J105" s="1" t="s">
        <v>149</v>
      </c>
      <c r="K105" s="201"/>
      <c r="O105" s="1"/>
    </row>
    <row r="106" spans="2:21" x14ac:dyDescent="0.35">
      <c r="I106" s="1"/>
      <c r="J106" s="1" t="s">
        <v>158</v>
      </c>
      <c r="K106" s="217">
        <v>0.7</v>
      </c>
      <c r="L106" s="218">
        <f t="shared" ref="L106:L115" si="19">K9*K106</f>
        <v>37018.764999999992</v>
      </c>
      <c r="O106" s="1"/>
    </row>
    <row r="107" spans="2:21" x14ac:dyDescent="0.35">
      <c r="I107" s="1"/>
      <c r="J107" s="1" t="s">
        <v>159</v>
      </c>
      <c r="K107" s="214">
        <f>(63+40)/(80+84)</f>
        <v>0.62804878048780488</v>
      </c>
      <c r="L107" s="218">
        <f t="shared" si="19"/>
        <v>27215.131036585368</v>
      </c>
      <c r="O107" s="1"/>
    </row>
    <row r="108" spans="2:21" x14ac:dyDescent="0.35">
      <c r="I108" s="1"/>
      <c r="J108" s="1" t="s">
        <v>160</v>
      </c>
      <c r="K108" s="216">
        <v>0.5</v>
      </c>
      <c r="L108" s="218">
        <f t="shared" si="19"/>
        <v>18917.575000000001</v>
      </c>
      <c r="O108" s="1"/>
    </row>
    <row r="109" spans="2:21" x14ac:dyDescent="0.35">
      <c r="I109" s="1"/>
      <c r="J109" s="1" t="s">
        <v>161</v>
      </c>
      <c r="K109" s="214">
        <f>28/58</f>
        <v>0.48275862068965519</v>
      </c>
      <c r="L109" s="218">
        <f t="shared" si="19"/>
        <v>13234.547586206896</v>
      </c>
      <c r="O109" s="1"/>
    </row>
    <row r="110" spans="2:21" x14ac:dyDescent="0.35">
      <c r="I110" s="1"/>
      <c r="J110" s="1" t="s">
        <v>162</v>
      </c>
      <c r="K110" s="215">
        <f>(21+39+38)/(48+63+71)</f>
        <v>0.53846153846153844</v>
      </c>
      <c r="L110" s="218">
        <f t="shared" si="19"/>
        <v>3858.6099999999997</v>
      </c>
      <c r="O110" s="1"/>
    </row>
    <row r="111" spans="2:21" x14ac:dyDescent="0.35">
      <c r="I111" s="1"/>
      <c r="J111" s="1" t="s">
        <v>163</v>
      </c>
      <c r="K111" s="215">
        <f>14/33</f>
        <v>0.42424242424242425</v>
      </c>
      <c r="L111" s="218">
        <f t="shared" si="19"/>
        <v>2515.9484848484849</v>
      </c>
      <c r="O111" s="1"/>
    </row>
    <row r="112" spans="2:21" x14ac:dyDescent="0.35">
      <c r="I112" s="1"/>
      <c r="J112" s="1" t="s">
        <v>164</v>
      </c>
      <c r="K112" s="202"/>
      <c r="L112" s="218">
        <f t="shared" si="19"/>
        <v>0</v>
      </c>
      <c r="O112" s="1"/>
    </row>
    <row r="113" spans="2:15" x14ac:dyDescent="0.35">
      <c r="I113" s="1"/>
      <c r="J113" s="1" t="s">
        <v>165</v>
      </c>
      <c r="K113" s="214">
        <f>24/50</f>
        <v>0.48</v>
      </c>
      <c r="L113" s="218">
        <f t="shared" si="19"/>
        <v>12480</v>
      </c>
      <c r="O113" s="1"/>
    </row>
    <row r="114" spans="2:15" x14ac:dyDescent="0.35">
      <c r="B114" s="189"/>
      <c r="I114" s="1"/>
      <c r="J114" s="1" t="s">
        <v>166</v>
      </c>
      <c r="K114" s="215">
        <v>0.5</v>
      </c>
      <c r="L114" s="218">
        <f t="shared" si="19"/>
        <v>17000</v>
      </c>
      <c r="O114" s="1"/>
    </row>
    <row r="115" spans="2:15" x14ac:dyDescent="0.35">
      <c r="I115" s="1"/>
      <c r="J115" s="1" t="s">
        <v>167</v>
      </c>
      <c r="L115" s="219">
        <f t="shared" si="19"/>
        <v>0</v>
      </c>
      <c r="O115" s="1"/>
    </row>
    <row r="116" spans="2:15" x14ac:dyDescent="0.35">
      <c r="I116" s="1"/>
      <c r="L116" s="220">
        <f>SUM(L106:L115)</f>
        <v>132240.57710764074</v>
      </c>
      <c r="O116" s="1"/>
    </row>
    <row r="117" spans="2:15" x14ac:dyDescent="0.35">
      <c r="I117" s="1"/>
      <c r="O117" s="1"/>
    </row>
    <row r="118" spans="2:15" x14ac:dyDescent="0.35">
      <c r="I118" s="1"/>
      <c r="O118" s="1"/>
    </row>
    <row r="119" spans="2:15" x14ac:dyDescent="0.35">
      <c r="I119" s="1"/>
      <c r="O119" s="1"/>
    </row>
    <row r="120" spans="2:15" x14ac:dyDescent="0.35">
      <c r="I120" s="1"/>
      <c r="O120" s="1"/>
    </row>
    <row r="121" spans="2:15" x14ac:dyDescent="0.35">
      <c r="I121" s="1"/>
      <c r="O121" s="1"/>
    </row>
    <row r="122" spans="2:15" x14ac:dyDescent="0.35">
      <c r="I122" s="1"/>
      <c r="O122" s="1"/>
    </row>
    <row r="123" spans="2:15" x14ac:dyDescent="0.35">
      <c r="I123" s="1"/>
      <c r="O123" s="1"/>
    </row>
    <row r="124" spans="2:15" x14ac:dyDescent="0.35">
      <c r="I124" s="1"/>
      <c r="O124" s="1"/>
    </row>
    <row r="125" spans="2:15" x14ac:dyDescent="0.35">
      <c r="I125" s="1"/>
      <c r="O125" s="1"/>
    </row>
    <row r="126" spans="2:15" x14ac:dyDescent="0.35">
      <c r="I126" s="1"/>
      <c r="O126" s="1"/>
    </row>
    <row r="127" spans="2:15" x14ac:dyDescent="0.35">
      <c r="I127" s="1"/>
      <c r="O127" s="1"/>
    </row>
    <row r="128" spans="2:15" x14ac:dyDescent="0.35">
      <c r="I128" s="1"/>
      <c r="O128" s="1"/>
    </row>
    <row r="129" s="1" customFormat="1" x14ac:dyDescent="0.35"/>
    <row r="130" s="1" customFormat="1" x14ac:dyDescent="0.35"/>
    <row r="131" s="1" customFormat="1" x14ac:dyDescent="0.35"/>
    <row r="132" s="1" customFormat="1" x14ac:dyDescent="0.35"/>
    <row r="133" s="1" customFormat="1" x14ac:dyDescent="0.35"/>
    <row r="134" s="1" customFormat="1" x14ac:dyDescent="0.35"/>
    <row r="135" s="1" customFormat="1" x14ac:dyDescent="0.35"/>
    <row r="136" s="1" customFormat="1" x14ac:dyDescent="0.35"/>
    <row r="137" s="1" customFormat="1" x14ac:dyDescent="0.35"/>
    <row r="138" s="1" customFormat="1" x14ac:dyDescent="0.35"/>
    <row r="139" s="1" customFormat="1" x14ac:dyDescent="0.35"/>
    <row r="140" s="1" customFormat="1" x14ac:dyDescent="0.35"/>
    <row r="141" s="1" customFormat="1" x14ac:dyDescent="0.35"/>
    <row r="142" s="1" customFormat="1" x14ac:dyDescent="0.35"/>
    <row r="143" s="1" customFormat="1" x14ac:dyDescent="0.35"/>
    <row r="144" s="1" customFormat="1" x14ac:dyDescent="0.35"/>
    <row r="145" s="1" customFormat="1" x14ac:dyDescent="0.35"/>
    <row r="146" s="1" customFormat="1" x14ac:dyDescent="0.35"/>
    <row r="147" s="1" customFormat="1" x14ac:dyDescent="0.35"/>
    <row r="148" s="1" customFormat="1" x14ac:dyDescent="0.35"/>
    <row r="149" s="1" customFormat="1" x14ac:dyDescent="0.35"/>
    <row r="150" s="1" customFormat="1" x14ac:dyDescent="0.35"/>
    <row r="151" s="1" customFormat="1" x14ac:dyDescent="0.35"/>
    <row r="152" s="1" customFormat="1" x14ac:dyDescent="0.35"/>
    <row r="153" s="1" customFormat="1" x14ac:dyDescent="0.35"/>
    <row r="154" s="1" customFormat="1" x14ac:dyDescent="0.35"/>
    <row r="155" s="1" customFormat="1" x14ac:dyDescent="0.35"/>
    <row r="156" s="1" customFormat="1" x14ac:dyDescent="0.35"/>
    <row r="157" s="1" customFormat="1" x14ac:dyDescent="0.35"/>
    <row r="158" s="1" customFormat="1" x14ac:dyDescent="0.35"/>
    <row r="159" s="1" customFormat="1" x14ac:dyDescent="0.35"/>
    <row r="160" s="1" customFormat="1" x14ac:dyDescent="0.35"/>
    <row r="161" s="1" customFormat="1" x14ac:dyDescent="0.35"/>
    <row r="162" s="1" customFormat="1" x14ac:dyDescent="0.35"/>
    <row r="163" s="1" customFormat="1" x14ac:dyDescent="0.35"/>
    <row r="164" s="1" customFormat="1" x14ac:dyDescent="0.35"/>
    <row r="165" s="1" customFormat="1" x14ac:dyDescent="0.35"/>
    <row r="166" s="1" customFormat="1" x14ac:dyDescent="0.35"/>
    <row r="167" s="1" customFormat="1" x14ac:dyDescent="0.35"/>
    <row r="168" s="1" customFormat="1" x14ac:dyDescent="0.35"/>
    <row r="169" s="1" customFormat="1" x14ac:dyDescent="0.35"/>
    <row r="170" s="1" customFormat="1" x14ac:dyDescent="0.35"/>
    <row r="171" s="1" customFormat="1" x14ac:dyDescent="0.35"/>
    <row r="172" s="1" customFormat="1" x14ac:dyDescent="0.35"/>
    <row r="173" s="1" customFormat="1" x14ac:dyDescent="0.35"/>
    <row r="174" s="1" customFormat="1" x14ac:dyDescent="0.35"/>
    <row r="175" s="1" customFormat="1" x14ac:dyDescent="0.35"/>
    <row r="176" s="1" customFormat="1" x14ac:dyDescent="0.35"/>
    <row r="177" s="1" customFormat="1" x14ac:dyDescent="0.35"/>
    <row r="178" s="1" customFormat="1" x14ac:dyDescent="0.35"/>
    <row r="179" s="1" customFormat="1" x14ac:dyDescent="0.35"/>
    <row r="180" s="1" customFormat="1" x14ac:dyDescent="0.35"/>
    <row r="181" s="1" customFormat="1" x14ac:dyDescent="0.35"/>
    <row r="182" s="1" customFormat="1" x14ac:dyDescent="0.35"/>
    <row r="183" s="1" customFormat="1" x14ac:dyDescent="0.35"/>
    <row r="184" s="1" customFormat="1" x14ac:dyDescent="0.35"/>
    <row r="185" s="1" customFormat="1" x14ac:dyDescent="0.35"/>
    <row r="186" s="1" customFormat="1" x14ac:dyDescent="0.35"/>
    <row r="187" s="1" customFormat="1" x14ac:dyDescent="0.35"/>
    <row r="188" s="1" customFormat="1" x14ac:dyDescent="0.35"/>
    <row r="189" s="1" customFormat="1" x14ac:dyDescent="0.35"/>
    <row r="190" s="1" customFormat="1" x14ac:dyDescent="0.35"/>
    <row r="191" s="1" customFormat="1" x14ac:dyDescent="0.35"/>
    <row r="192" s="1" customFormat="1" x14ac:dyDescent="0.35"/>
    <row r="193" s="1" customFormat="1" x14ac:dyDescent="0.35"/>
    <row r="194" s="1" customFormat="1" x14ac:dyDescent="0.35"/>
    <row r="195" s="1" customFormat="1" x14ac:dyDescent="0.35"/>
    <row r="196" s="1" customFormat="1" x14ac:dyDescent="0.35"/>
    <row r="197" s="1" customFormat="1" x14ac:dyDescent="0.35"/>
    <row r="198" s="1" customFormat="1" x14ac:dyDescent="0.35"/>
    <row r="199" s="1" customFormat="1" x14ac:dyDescent="0.35"/>
    <row r="200" s="1" customFormat="1" x14ac:dyDescent="0.35"/>
    <row r="201" s="1" customFormat="1" x14ac:dyDescent="0.35"/>
    <row r="202" s="1" customFormat="1" x14ac:dyDescent="0.35"/>
    <row r="203" s="1" customFormat="1" x14ac:dyDescent="0.35"/>
    <row r="204" s="1" customFormat="1" x14ac:dyDescent="0.35"/>
    <row r="205" s="1" customFormat="1" x14ac:dyDescent="0.35"/>
    <row r="206" s="1" customFormat="1" x14ac:dyDescent="0.35"/>
    <row r="207" s="1" customFormat="1" x14ac:dyDescent="0.35"/>
    <row r="208" s="1" customFormat="1" x14ac:dyDescent="0.35"/>
    <row r="209" s="1" customFormat="1" x14ac:dyDescent="0.35"/>
    <row r="210" s="1" customFormat="1" x14ac:dyDescent="0.35"/>
    <row r="211" s="1" customFormat="1" x14ac:dyDescent="0.35"/>
    <row r="212" s="1" customFormat="1" x14ac:dyDescent="0.35"/>
    <row r="213" s="1" customFormat="1" x14ac:dyDescent="0.35"/>
    <row r="214" s="1" customFormat="1" x14ac:dyDescent="0.35"/>
    <row r="215" s="1" customFormat="1" x14ac:dyDescent="0.35"/>
    <row r="216" s="1" customFormat="1" x14ac:dyDescent="0.35"/>
    <row r="217" s="1" customFormat="1" x14ac:dyDescent="0.35"/>
    <row r="218" s="1" customFormat="1" x14ac:dyDescent="0.35"/>
    <row r="219" s="1" customFormat="1" x14ac:dyDescent="0.35"/>
    <row r="220" s="1" customFormat="1" x14ac:dyDescent="0.35"/>
    <row r="221" s="1" customFormat="1" x14ac:dyDescent="0.35"/>
    <row r="222" s="1" customFormat="1" x14ac:dyDescent="0.35"/>
    <row r="223" s="1" customFormat="1" x14ac:dyDescent="0.35"/>
    <row r="224" s="1" customFormat="1" x14ac:dyDescent="0.35"/>
    <row r="225" s="1" customFormat="1" x14ac:dyDescent="0.35"/>
    <row r="226" s="1" customFormat="1" x14ac:dyDescent="0.35"/>
    <row r="227" s="1" customFormat="1" x14ac:dyDescent="0.35"/>
    <row r="228" s="1" customFormat="1" x14ac:dyDescent="0.35"/>
    <row r="229" s="1" customFormat="1" x14ac:dyDescent="0.35"/>
    <row r="230" s="1" customFormat="1" x14ac:dyDescent="0.35"/>
    <row r="231" s="1" customFormat="1" x14ac:dyDescent="0.35"/>
    <row r="232" s="1" customFormat="1" x14ac:dyDescent="0.35"/>
    <row r="233" s="1" customFormat="1" x14ac:dyDescent="0.35"/>
    <row r="234" s="1" customFormat="1" x14ac:dyDescent="0.35"/>
    <row r="235" s="1" customFormat="1" x14ac:dyDescent="0.35"/>
    <row r="236" s="1" customFormat="1" x14ac:dyDescent="0.35"/>
    <row r="237" s="1" customFormat="1" x14ac:dyDescent="0.35"/>
    <row r="238" s="1" customFormat="1" x14ac:dyDescent="0.35"/>
    <row r="239" s="1" customFormat="1" x14ac:dyDescent="0.35"/>
    <row r="240" s="1" customFormat="1" x14ac:dyDescent="0.35"/>
    <row r="241" s="1" customFormat="1" x14ac:dyDescent="0.35"/>
    <row r="242" s="1" customFormat="1" x14ac:dyDescent="0.35"/>
    <row r="243" s="1" customFormat="1" x14ac:dyDescent="0.35"/>
    <row r="244" s="1" customFormat="1" x14ac:dyDescent="0.35"/>
    <row r="245" s="1" customFormat="1" x14ac:dyDescent="0.35"/>
    <row r="246" s="1" customFormat="1" x14ac:dyDescent="0.35"/>
    <row r="247" s="1" customFormat="1" x14ac:dyDescent="0.35"/>
    <row r="248" s="1" customFormat="1" x14ac:dyDescent="0.35"/>
    <row r="249" s="1" customFormat="1" x14ac:dyDescent="0.35"/>
    <row r="250" s="1" customFormat="1" x14ac:dyDescent="0.35"/>
    <row r="251" s="1" customFormat="1" x14ac:dyDescent="0.35"/>
    <row r="252" s="1" customFormat="1" x14ac:dyDescent="0.35"/>
    <row r="253" s="1" customFormat="1" x14ac:dyDescent="0.35"/>
    <row r="254" s="1" customFormat="1" x14ac:dyDescent="0.35"/>
    <row r="255" s="1" customFormat="1" x14ac:dyDescent="0.35"/>
    <row r="256" s="1" customFormat="1" x14ac:dyDescent="0.35"/>
    <row r="257" s="1" customFormat="1" x14ac:dyDescent="0.35"/>
    <row r="258" s="1" customFormat="1" x14ac:dyDescent="0.35"/>
    <row r="259" s="1" customFormat="1" x14ac:dyDescent="0.35"/>
    <row r="260" s="1" customFormat="1" x14ac:dyDescent="0.35"/>
    <row r="261" s="1" customFormat="1" x14ac:dyDescent="0.35"/>
    <row r="262" s="1" customFormat="1" x14ac:dyDescent="0.35"/>
    <row r="263" s="1" customFormat="1" x14ac:dyDescent="0.35"/>
    <row r="264" s="1" customFormat="1" x14ac:dyDescent="0.35"/>
    <row r="265" s="1" customFormat="1" x14ac:dyDescent="0.35"/>
    <row r="266" s="1" customFormat="1" x14ac:dyDescent="0.35"/>
    <row r="267" s="1" customFormat="1" x14ac:dyDescent="0.35"/>
    <row r="268" s="1" customFormat="1" x14ac:dyDescent="0.35"/>
    <row r="269" s="1" customFormat="1" x14ac:dyDescent="0.35"/>
    <row r="270" s="1" customFormat="1" x14ac:dyDescent="0.35"/>
    <row r="271" s="1" customFormat="1" x14ac:dyDescent="0.35"/>
    <row r="272" s="1" customFormat="1" x14ac:dyDescent="0.35"/>
    <row r="273" s="1" customFormat="1" x14ac:dyDescent="0.35"/>
    <row r="274" s="1" customFormat="1" x14ac:dyDescent="0.35"/>
    <row r="275" s="1" customFormat="1" x14ac:dyDescent="0.35"/>
    <row r="276" s="1" customFormat="1" x14ac:dyDescent="0.35"/>
    <row r="277" s="1" customFormat="1" x14ac:dyDescent="0.35"/>
    <row r="278" s="1" customFormat="1" x14ac:dyDescent="0.35"/>
    <row r="279" s="1" customFormat="1" x14ac:dyDescent="0.35"/>
    <row r="280" s="1" customFormat="1" x14ac:dyDescent="0.35"/>
    <row r="281" s="1" customFormat="1" x14ac:dyDescent="0.35"/>
    <row r="282" s="1" customFormat="1" x14ac:dyDescent="0.35"/>
    <row r="283" s="1" customFormat="1" x14ac:dyDescent="0.35"/>
    <row r="284" s="1" customFormat="1" x14ac:dyDescent="0.35"/>
    <row r="285" s="1" customFormat="1" x14ac:dyDescent="0.35"/>
    <row r="286" s="1" customFormat="1" x14ac:dyDescent="0.35"/>
    <row r="287" s="1" customFormat="1" x14ac:dyDescent="0.35"/>
    <row r="288" s="1" customFormat="1" x14ac:dyDescent="0.35"/>
    <row r="289" s="1" customFormat="1" x14ac:dyDescent="0.35"/>
    <row r="290" s="1" customFormat="1" x14ac:dyDescent="0.35"/>
    <row r="291" s="1" customFormat="1" x14ac:dyDescent="0.35"/>
    <row r="292" s="1" customFormat="1" x14ac:dyDescent="0.35"/>
    <row r="293" s="1" customFormat="1" x14ac:dyDescent="0.35"/>
    <row r="294" s="1" customFormat="1" x14ac:dyDescent="0.35"/>
    <row r="295" s="1" customFormat="1" x14ac:dyDescent="0.35"/>
    <row r="296" s="1" customFormat="1" x14ac:dyDescent="0.35"/>
    <row r="297" s="1" customFormat="1" x14ac:dyDescent="0.35"/>
    <row r="298" s="1" customFormat="1" x14ac:dyDescent="0.35"/>
    <row r="299" s="1" customFormat="1" x14ac:dyDescent="0.35"/>
    <row r="300" s="1" customFormat="1" x14ac:dyDescent="0.35"/>
    <row r="301" s="1" customFormat="1" x14ac:dyDescent="0.35"/>
    <row r="302" s="1" customFormat="1" x14ac:dyDescent="0.35"/>
    <row r="303" s="1" customFormat="1" x14ac:dyDescent="0.35"/>
    <row r="304" s="1" customFormat="1" x14ac:dyDescent="0.35"/>
    <row r="305" s="1" customFormat="1" x14ac:dyDescent="0.35"/>
    <row r="306" s="1" customFormat="1" x14ac:dyDescent="0.35"/>
    <row r="307" s="1" customFormat="1" x14ac:dyDescent="0.35"/>
    <row r="308" s="1" customFormat="1" x14ac:dyDescent="0.35"/>
    <row r="309" s="1" customFormat="1" x14ac:dyDescent="0.35"/>
    <row r="310" s="1" customFormat="1" x14ac:dyDescent="0.35"/>
    <row r="311" s="1" customFormat="1" x14ac:dyDescent="0.35"/>
    <row r="312" s="1" customFormat="1" x14ac:dyDescent="0.35"/>
    <row r="313" s="1" customFormat="1" x14ac:dyDescent="0.35"/>
    <row r="314" s="1" customFormat="1" x14ac:dyDescent="0.35"/>
    <row r="315" s="1" customFormat="1" x14ac:dyDescent="0.35"/>
    <row r="316" s="1" customFormat="1" x14ac:dyDescent="0.35"/>
    <row r="317" s="1" customFormat="1" x14ac:dyDescent="0.35"/>
    <row r="318" s="1" customFormat="1" x14ac:dyDescent="0.35"/>
    <row r="319" s="1" customFormat="1" x14ac:dyDescent="0.35"/>
    <row r="320" s="1" customFormat="1" x14ac:dyDescent="0.35"/>
    <row r="321" s="1" customFormat="1" x14ac:dyDescent="0.35"/>
  </sheetData>
  <mergeCells count="34">
    <mergeCell ref="C50:T50"/>
    <mergeCell ref="C60:T60"/>
    <mergeCell ref="D97:E97"/>
    <mergeCell ref="F97:G97"/>
    <mergeCell ref="C80:T80"/>
    <mergeCell ref="P97:P98"/>
    <mergeCell ref="C7:T7"/>
    <mergeCell ref="C8:T8"/>
    <mergeCell ref="C39:T39"/>
    <mergeCell ref="C49:T49"/>
    <mergeCell ref="C20:T20"/>
    <mergeCell ref="C30:T30"/>
    <mergeCell ref="C70:T70"/>
    <mergeCell ref="C96:Q96"/>
    <mergeCell ref="Q97:Q98"/>
    <mergeCell ref="J98:K98"/>
    <mergeCell ref="H97:I97"/>
    <mergeCell ref="D98:E98"/>
    <mergeCell ref="L98:M98"/>
    <mergeCell ref="N98:O98"/>
    <mergeCell ref="C97:C98"/>
    <mergeCell ref="J97:K97"/>
    <mergeCell ref="L97:M97"/>
    <mergeCell ref="N97:O97"/>
    <mergeCell ref="F98:G98"/>
    <mergeCell ref="H98:I98"/>
    <mergeCell ref="B2:T2"/>
    <mergeCell ref="B3:T3"/>
    <mergeCell ref="J6:K6"/>
    <mergeCell ref="L6:M6"/>
    <mergeCell ref="N6:O6"/>
    <mergeCell ref="D6:E6"/>
    <mergeCell ref="F6:G6"/>
    <mergeCell ref="H6:I6"/>
  </mergeCells>
  <phoneticPr fontId="22" type="noConversion"/>
  <dataValidations disablePrompts="1" count="4">
    <dataValidation allowBlank="1" showInputMessage="1" showErrorMessage="1" prompt="Insert *text* description of Outcome here" sqref="C49:T49 C7:T7" xr:uid="{00000000-0002-0000-0000-000000000000}"/>
    <dataValidation allowBlank="1" showInputMessage="1" showErrorMessage="1" prompt="Insert *text* description of Output here" sqref="C20 C30 C39 C50 C60 C70 C80 C8" xr:uid="{00000000-0002-0000-0000-000001000000}"/>
    <dataValidation allowBlank="1" showInputMessage="1" showErrorMessage="1" prompt="Insert *text* description of Activity here" sqref="C9 C21 C31 C40 C51 C71 C81 C61" xr:uid="{00000000-0002-0000-0000-000002000000}"/>
    <dataValidation allowBlank="1" showInputMessage="1" showErrorMessage="1" prompt="Insert name of recipient agency here _x000a_" sqref="J6 L6 N6 P6:Q6 D6 F6 H6" xr:uid="{00000000-0002-0000-0000-000003000000}"/>
  </dataValidation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T23"/>
  <sheetViews>
    <sheetView topLeftCell="B10" workbookViewId="0">
      <selection activeCell="B23" sqref="B23"/>
    </sheetView>
  </sheetViews>
  <sheetFormatPr baseColWidth="10" defaultColWidth="11.453125" defaultRowHeight="14.5" x14ac:dyDescent="0.35"/>
  <cols>
    <col min="2" max="2" width="32.453125" customWidth="1"/>
    <col min="3" max="3" width="11.453125" customWidth="1"/>
    <col min="4" max="5" width="12.453125" customWidth="1"/>
    <col min="6" max="6" width="8.26953125" customWidth="1"/>
    <col min="7" max="7" width="11.54296875" customWidth="1"/>
    <col min="8" max="8" width="8.26953125" customWidth="1"/>
    <col min="9" max="9" width="10.54296875" customWidth="1"/>
    <col min="10" max="10" width="8.26953125" bestFit="1" customWidth="1"/>
    <col min="11" max="11" width="10.54296875" bestFit="1" customWidth="1"/>
    <col min="12" max="12" width="8.54296875" customWidth="1"/>
    <col min="13" max="13" width="10.453125" customWidth="1"/>
    <col min="14" max="14" width="8.26953125" bestFit="1" customWidth="1"/>
    <col min="15" max="15" width="10.54296875" bestFit="1" customWidth="1"/>
    <col min="16" max="16" width="9" bestFit="1" customWidth="1"/>
    <col min="17" max="17" width="10.54296875" bestFit="1" customWidth="1"/>
    <col min="18" max="18" width="13.26953125" customWidth="1"/>
    <col min="19" max="19" width="17.1796875" customWidth="1"/>
  </cols>
  <sheetData>
    <row r="1" spans="2:19" ht="15.5" x14ac:dyDescent="0.35">
      <c r="B1" s="117" t="s">
        <v>55</v>
      </c>
      <c r="E1" s="124"/>
      <c r="F1" s="125"/>
      <c r="G1" s="125"/>
      <c r="H1" s="125"/>
      <c r="I1" s="125"/>
      <c r="J1" s="125"/>
      <c r="K1" s="125"/>
      <c r="L1" s="125"/>
      <c r="M1" s="125"/>
      <c r="N1" s="125"/>
      <c r="O1" s="125"/>
      <c r="P1" s="125"/>
      <c r="Q1" s="125"/>
      <c r="S1" s="127"/>
    </row>
    <row r="2" spans="2:19" x14ac:dyDescent="0.35">
      <c r="B2" s="116"/>
      <c r="E2" s="124"/>
      <c r="F2" s="125"/>
      <c r="G2" s="125"/>
      <c r="H2" s="125"/>
      <c r="I2" s="125"/>
      <c r="J2" s="125"/>
      <c r="K2" s="125"/>
      <c r="L2" s="125"/>
      <c r="M2" s="125"/>
      <c r="N2" s="125"/>
      <c r="O2" s="125"/>
      <c r="P2" s="125"/>
      <c r="Q2" s="125"/>
      <c r="S2" s="127"/>
    </row>
    <row r="3" spans="2:19" x14ac:dyDescent="0.35">
      <c r="B3" s="116" t="s">
        <v>56</v>
      </c>
      <c r="E3" s="124"/>
      <c r="F3" s="125"/>
      <c r="G3" s="125"/>
      <c r="H3" s="125"/>
      <c r="I3" s="125"/>
      <c r="J3" s="125"/>
      <c r="K3" s="125"/>
      <c r="L3" s="125"/>
      <c r="M3" s="125"/>
      <c r="N3" s="125"/>
      <c r="O3" s="125"/>
      <c r="P3" s="125"/>
      <c r="Q3" s="125"/>
      <c r="S3" s="127"/>
    </row>
    <row r="4" spans="2:19" ht="15" thickBot="1" x14ac:dyDescent="0.4">
      <c r="B4" s="116"/>
      <c r="E4" s="124"/>
      <c r="F4" s="125"/>
      <c r="G4" s="125"/>
      <c r="H4" s="125"/>
      <c r="I4" s="125"/>
      <c r="J4" s="125"/>
      <c r="K4" s="125"/>
      <c r="L4" s="125"/>
      <c r="M4" s="125"/>
      <c r="N4" s="125"/>
      <c r="O4" s="125"/>
      <c r="P4" s="125"/>
      <c r="Q4" s="125"/>
      <c r="S4" s="127"/>
    </row>
    <row r="5" spans="2:19" ht="15" thickBot="1" x14ac:dyDescent="0.4">
      <c r="C5" s="259" t="s">
        <v>142</v>
      </c>
      <c r="D5" s="260"/>
      <c r="E5" s="261"/>
      <c r="F5" s="256" t="s">
        <v>134</v>
      </c>
      <c r="G5" s="257"/>
      <c r="H5" s="257"/>
      <c r="I5" s="257"/>
      <c r="J5" s="257"/>
      <c r="K5" s="257"/>
      <c r="L5" s="257"/>
      <c r="M5" s="257"/>
      <c r="N5" s="257"/>
      <c r="O5" s="257"/>
      <c r="P5" s="257"/>
      <c r="Q5" s="258"/>
      <c r="S5" s="127"/>
    </row>
    <row r="6" spans="2:19" ht="15" thickBot="1" x14ac:dyDescent="0.4">
      <c r="B6" s="265" t="s">
        <v>53</v>
      </c>
      <c r="C6" s="267" t="s">
        <v>137</v>
      </c>
      <c r="D6" s="268"/>
      <c r="E6" s="269" t="s">
        <v>136</v>
      </c>
      <c r="F6" s="259" t="s">
        <v>60</v>
      </c>
      <c r="G6" s="261"/>
      <c r="H6" s="264" t="s">
        <v>61</v>
      </c>
      <c r="I6" s="264"/>
      <c r="J6" s="259" t="s">
        <v>62</v>
      </c>
      <c r="K6" s="261"/>
      <c r="L6" s="259" t="s">
        <v>58</v>
      </c>
      <c r="M6" s="261"/>
      <c r="N6" s="264" t="s">
        <v>57</v>
      </c>
      <c r="O6" s="264"/>
      <c r="P6" s="259" t="s">
        <v>59</v>
      </c>
      <c r="Q6" s="261"/>
      <c r="R6" s="271" t="s">
        <v>135</v>
      </c>
      <c r="S6" s="262" t="s">
        <v>143</v>
      </c>
    </row>
    <row r="7" spans="2:19" ht="36" customHeight="1" thickBot="1" x14ac:dyDescent="0.4">
      <c r="B7" s="266"/>
      <c r="C7" s="161" t="s">
        <v>144</v>
      </c>
      <c r="D7" s="161" t="s">
        <v>145</v>
      </c>
      <c r="E7" s="270"/>
      <c r="F7" s="120" t="s">
        <v>146</v>
      </c>
      <c r="G7" s="128" t="s">
        <v>133</v>
      </c>
      <c r="H7" s="120" t="s">
        <v>146</v>
      </c>
      <c r="I7" s="128" t="s">
        <v>133</v>
      </c>
      <c r="J7" s="120" t="s">
        <v>146</v>
      </c>
      <c r="K7" s="128" t="s">
        <v>133</v>
      </c>
      <c r="L7" s="120" t="s">
        <v>146</v>
      </c>
      <c r="M7" s="128" t="s">
        <v>133</v>
      </c>
      <c r="N7" s="211" t="s">
        <v>146</v>
      </c>
      <c r="O7" s="128" t="s">
        <v>133</v>
      </c>
      <c r="P7" s="120" t="s">
        <v>146</v>
      </c>
      <c r="Q7" s="128" t="s">
        <v>133</v>
      </c>
      <c r="R7" s="272"/>
      <c r="S7" s="263"/>
    </row>
    <row r="8" spans="2:19" ht="15" thickBot="1" x14ac:dyDescent="0.4">
      <c r="B8" s="118" t="s">
        <v>125</v>
      </c>
      <c r="C8" s="121">
        <f>E8*0.7</f>
        <v>671370.86884710356</v>
      </c>
      <c r="D8" s="121">
        <f>E8*0.3</f>
        <v>287730.37236304436</v>
      </c>
      <c r="E8" s="121">
        <v>959101.24121014797</v>
      </c>
      <c r="F8" s="121">
        <f>200000</f>
        <v>200000</v>
      </c>
      <c r="G8" s="162">
        <v>142216.94</v>
      </c>
      <c r="H8" s="121">
        <v>124080</v>
      </c>
      <c r="I8" s="129">
        <v>78164</v>
      </c>
      <c r="J8" s="121">
        <v>50000.44</v>
      </c>
      <c r="K8" s="162">
        <v>31316.66</v>
      </c>
      <c r="L8" s="121">
        <v>436479.32225891697</v>
      </c>
      <c r="M8" s="129">
        <v>266266.65999999997</v>
      </c>
      <c r="N8" s="121">
        <v>83320</v>
      </c>
      <c r="O8" s="129">
        <v>68394</v>
      </c>
      <c r="P8" s="121">
        <v>64552</v>
      </c>
      <c r="Q8" s="129">
        <v>61755</v>
      </c>
      <c r="R8" s="130">
        <f t="shared" ref="R8:R14" si="0">SUM(G8,I8,K8,M8,O8,Q8)</f>
        <v>648113.26</v>
      </c>
      <c r="S8" s="131">
        <f>R8/E8</f>
        <v>0.6757506216781054</v>
      </c>
    </row>
    <row r="9" spans="2:19" ht="15" thickBot="1" x14ac:dyDescent="0.4">
      <c r="B9" s="118" t="s">
        <v>126</v>
      </c>
      <c r="C9" s="121">
        <f t="shared" ref="C9:C14" si="1">E9*0.7</f>
        <v>144245.28723846079</v>
      </c>
      <c r="D9" s="121">
        <f t="shared" ref="D9:D14" si="2">E9*0.3</f>
        <v>61819.408816483199</v>
      </c>
      <c r="E9" s="121">
        <v>206064.69605494401</v>
      </c>
      <c r="F9" s="121">
        <f>0*0.7</f>
        <v>0</v>
      </c>
      <c r="G9" s="163">
        <v>0</v>
      </c>
      <c r="H9" s="121">
        <v>26888</v>
      </c>
      <c r="I9" s="170">
        <v>22147</v>
      </c>
      <c r="J9" s="121">
        <v>11002.79</v>
      </c>
      <c r="K9" s="162"/>
      <c r="L9" s="121">
        <v>103220.3</v>
      </c>
      <c r="M9" s="129">
        <v>205.2</v>
      </c>
      <c r="N9" s="121">
        <v>53208</v>
      </c>
      <c r="O9" s="129">
        <v>50915</v>
      </c>
      <c r="P9" s="121">
        <v>11746</v>
      </c>
      <c r="Q9" s="129">
        <v>11746</v>
      </c>
      <c r="R9" s="130">
        <f t="shared" si="0"/>
        <v>85013.2</v>
      </c>
      <c r="S9" s="131">
        <f t="shared" ref="S9:S14" si="3">R9/E9</f>
        <v>0.41255587020754164</v>
      </c>
    </row>
    <row r="10" spans="2:19" ht="26.5" thickBot="1" x14ac:dyDescent="0.4">
      <c r="B10" s="118" t="s">
        <v>127</v>
      </c>
      <c r="C10" s="121">
        <f t="shared" si="1"/>
        <v>42843.35724247824</v>
      </c>
      <c r="D10" s="121">
        <f t="shared" si="2"/>
        <v>18361.438818204959</v>
      </c>
      <c r="E10" s="121">
        <v>61204.796060683198</v>
      </c>
      <c r="F10" s="121">
        <f>0*0.7</f>
        <v>0</v>
      </c>
      <c r="G10" s="163">
        <v>0</v>
      </c>
      <c r="H10" s="121">
        <v>7044</v>
      </c>
      <c r="I10" s="170">
        <v>0</v>
      </c>
      <c r="J10" s="121">
        <v>14388.2681564246</v>
      </c>
      <c r="K10" s="162"/>
      <c r="L10" s="121">
        <v>16884.419999999998</v>
      </c>
      <c r="M10" s="129">
        <v>1497</v>
      </c>
      <c r="N10" s="121">
        <v>15960</v>
      </c>
      <c r="O10" s="129">
        <v>9000</v>
      </c>
      <c r="P10" s="121">
        <v>6928</v>
      </c>
      <c r="Q10" s="129">
        <v>6928</v>
      </c>
      <c r="R10" s="130">
        <f t="shared" si="0"/>
        <v>17425</v>
      </c>
      <c r="S10" s="131">
        <f t="shared" si="3"/>
        <v>0.28469991114296828</v>
      </c>
    </row>
    <row r="11" spans="2:19" ht="15" thickBot="1" x14ac:dyDescent="0.4">
      <c r="B11" s="118" t="s">
        <v>128</v>
      </c>
      <c r="C11" s="121">
        <f t="shared" si="1"/>
        <v>379450.66365739889</v>
      </c>
      <c r="D11" s="121">
        <f t="shared" si="2"/>
        <v>162621.7129960281</v>
      </c>
      <c r="E11" s="121">
        <v>542072.37665342703</v>
      </c>
      <c r="F11" s="121">
        <f>0*0.7</f>
        <v>0</v>
      </c>
      <c r="G11" s="163">
        <v>0</v>
      </c>
      <c r="H11" s="121">
        <v>8323</v>
      </c>
      <c r="I11" s="172">
        <v>0</v>
      </c>
      <c r="J11" s="121">
        <v>129807.21648044699</v>
      </c>
      <c r="K11" s="162"/>
      <c r="L11" s="121">
        <v>189819.48</v>
      </c>
      <c r="M11" s="129">
        <v>189430.73</v>
      </c>
      <c r="N11" s="121">
        <v>2300</v>
      </c>
      <c r="O11" s="129">
        <v>200</v>
      </c>
      <c r="P11" s="121">
        <v>211823</v>
      </c>
      <c r="Q11" s="129">
        <v>178960</v>
      </c>
      <c r="R11" s="130">
        <f t="shared" si="0"/>
        <v>368590.73</v>
      </c>
      <c r="S11" s="131">
        <f t="shared" si="3"/>
        <v>0.67996589731348323</v>
      </c>
    </row>
    <row r="12" spans="2:19" ht="15" thickBot="1" x14ac:dyDescent="0.4">
      <c r="B12" s="118" t="s">
        <v>129</v>
      </c>
      <c r="C12" s="121">
        <f t="shared" si="1"/>
        <v>133709.02840851431</v>
      </c>
      <c r="D12" s="121">
        <f t="shared" si="2"/>
        <v>57303.869317934703</v>
      </c>
      <c r="E12" s="121">
        <v>191012.89772644901</v>
      </c>
      <c r="F12" s="121">
        <f>20486</f>
        <v>20486</v>
      </c>
      <c r="G12" s="162">
        <v>6938.29</v>
      </c>
      <c r="H12" s="121">
        <v>55218</v>
      </c>
      <c r="I12" s="164">
        <v>45072</v>
      </c>
      <c r="J12" s="121">
        <v>32102.386871508399</v>
      </c>
      <c r="K12" s="162">
        <v>19535</v>
      </c>
      <c r="L12" s="121">
        <v>25396.243752055801</v>
      </c>
      <c r="M12" s="129">
        <v>6778.4</v>
      </c>
      <c r="N12" s="121">
        <v>30000</v>
      </c>
      <c r="O12" s="129">
        <v>11188</v>
      </c>
      <c r="P12" s="121">
        <v>27810</v>
      </c>
      <c r="Q12" s="129">
        <v>25513</v>
      </c>
      <c r="R12" s="130">
        <f t="shared" si="0"/>
        <v>115024.69</v>
      </c>
      <c r="S12" s="131">
        <f t="shared" si="3"/>
        <v>0.60218284403353595</v>
      </c>
    </row>
    <row r="13" spans="2:19" ht="15" thickBot="1" x14ac:dyDescent="0.4">
      <c r="B13" s="118" t="s">
        <v>130</v>
      </c>
      <c r="C13" s="121">
        <f t="shared" si="1"/>
        <v>303466.3325786533</v>
      </c>
      <c r="D13" s="121">
        <f t="shared" si="2"/>
        <v>130056.9996765657</v>
      </c>
      <c r="E13" s="121">
        <v>433523.33225521899</v>
      </c>
      <c r="F13" s="121">
        <f>288527</f>
        <v>288527</v>
      </c>
      <c r="G13" s="162">
        <v>258462.05</v>
      </c>
      <c r="H13" s="121">
        <v>28300</v>
      </c>
      <c r="I13" s="165">
        <v>0</v>
      </c>
      <c r="J13" s="121">
        <v>47396.648044692702</v>
      </c>
      <c r="K13" s="162">
        <v>77008.02</v>
      </c>
      <c r="L13" s="121"/>
      <c r="M13" s="129">
        <v>0</v>
      </c>
      <c r="N13" s="121">
        <v>69300</v>
      </c>
      <c r="O13" s="129">
        <v>50654</v>
      </c>
      <c r="P13" s="121">
        <f>0*0.7</f>
        <v>0</v>
      </c>
      <c r="Q13" s="129"/>
      <c r="R13" s="130">
        <f t="shared" si="0"/>
        <v>386124.07</v>
      </c>
      <c r="S13" s="131">
        <f t="shared" si="3"/>
        <v>0.89066502601222253</v>
      </c>
    </row>
    <row r="14" spans="2:19" ht="15" thickBot="1" x14ac:dyDescent="0.4">
      <c r="B14" s="118" t="s">
        <v>131</v>
      </c>
      <c r="C14" s="121">
        <f t="shared" si="1"/>
        <v>289058.28702739096</v>
      </c>
      <c r="D14" s="121">
        <f t="shared" si="2"/>
        <v>123882.12301173899</v>
      </c>
      <c r="E14" s="121">
        <v>412940.41003913002</v>
      </c>
      <c r="F14" s="121">
        <f>85458</f>
        <v>85458</v>
      </c>
      <c r="G14" s="167">
        <v>11838.85</v>
      </c>
      <c r="H14" s="168">
        <v>84618</v>
      </c>
      <c r="I14" s="166">
        <v>74367</v>
      </c>
      <c r="J14" s="121">
        <v>49773.251396647996</v>
      </c>
      <c r="K14" s="167">
        <f>25082.91+9342.1952+712.42</f>
        <v>35137.525199999996</v>
      </c>
      <c r="L14" s="121">
        <v>81096.233644859807</v>
      </c>
      <c r="M14" s="129">
        <v>102772.67</v>
      </c>
      <c r="N14" s="121">
        <v>101052</v>
      </c>
      <c r="O14" s="129">
        <v>36921</v>
      </c>
      <c r="P14" s="121">
        <v>10943.4</v>
      </c>
      <c r="Q14" s="129">
        <v>10228</v>
      </c>
      <c r="R14" s="130">
        <f t="shared" si="0"/>
        <v>271265.04519999999</v>
      </c>
      <c r="S14" s="131">
        <f t="shared" si="3"/>
        <v>0.65691087286491301</v>
      </c>
    </row>
    <row r="15" spans="2:19" s="116" customFormat="1" ht="15" thickBot="1" x14ac:dyDescent="0.4">
      <c r="B15" s="119" t="s">
        <v>132</v>
      </c>
      <c r="C15" s="123">
        <f>SUM(C8:C14)</f>
        <v>1964143.825</v>
      </c>
      <c r="D15" s="123">
        <f>SUM(D8:D14)</f>
        <v>841775.92500000005</v>
      </c>
      <c r="E15" s="123">
        <f>SUM(E8:E14)</f>
        <v>2805919.7500000005</v>
      </c>
      <c r="F15" s="123">
        <f t="shared" ref="F15:K15" si="4">SUM(F8:F14)</f>
        <v>594471</v>
      </c>
      <c r="G15" s="176">
        <f>SUM(G8:G14)</f>
        <v>419456.13</v>
      </c>
      <c r="H15" s="174">
        <f t="shared" si="4"/>
        <v>334471</v>
      </c>
      <c r="I15" s="174">
        <f t="shared" si="4"/>
        <v>219750</v>
      </c>
      <c r="J15" s="123">
        <f t="shared" si="4"/>
        <v>334471.00094972074</v>
      </c>
      <c r="K15" s="173">
        <f t="shared" si="4"/>
        <v>162997.2052</v>
      </c>
      <c r="L15" s="123">
        <f t="shared" ref="L15:Q15" si="5">SUM(L8:L14)</f>
        <v>852895.99965583254</v>
      </c>
      <c r="M15" s="123">
        <f t="shared" si="5"/>
        <v>566950.66</v>
      </c>
      <c r="N15" s="210">
        <f t="shared" si="5"/>
        <v>355140</v>
      </c>
      <c r="O15" s="210">
        <f t="shared" si="5"/>
        <v>227272</v>
      </c>
      <c r="P15" s="123">
        <f t="shared" si="5"/>
        <v>333802.40000000002</v>
      </c>
      <c r="Q15" s="123">
        <f t="shared" si="5"/>
        <v>295130</v>
      </c>
      <c r="R15" s="126">
        <f>SUM(R8:R14)</f>
        <v>1891555.9952</v>
      </c>
      <c r="S15" s="175">
        <f>R15/E15</f>
        <v>0.67413046834286683</v>
      </c>
    </row>
    <row r="16" spans="2:19" ht="15" thickBot="1" x14ac:dyDescent="0.4">
      <c r="B16" s="118" t="s">
        <v>147</v>
      </c>
      <c r="C16" s="122">
        <f>E16*0.7</f>
        <v>135148.77075</v>
      </c>
      <c r="D16" s="122">
        <f>E16*0.3</f>
        <v>57920.901749999997</v>
      </c>
      <c r="E16" s="121">
        <v>193069.67249999999</v>
      </c>
      <c r="F16" s="121">
        <f>F15*0.07</f>
        <v>41612.97</v>
      </c>
      <c r="G16" s="162">
        <v>22041.01</v>
      </c>
      <c r="H16" s="121">
        <f>H15*0.07</f>
        <v>23412.97</v>
      </c>
      <c r="I16" s="182">
        <v>14402</v>
      </c>
      <c r="J16" s="121">
        <v>21740.615000000002</v>
      </c>
      <c r="K16" s="121">
        <v>21740.615000000002</v>
      </c>
      <c r="L16" s="121">
        <v>59702.720000000001</v>
      </c>
      <c r="M16" s="129">
        <v>38398.83</v>
      </c>
      <c r="N16" s="121">
        <f>N15*0.07</f>
        <v>24859.800000000003</v>
      </c>
      <c r="O16" s="129">
        <v>8957</v>
      </c>
      <c r="P16" s="121">
        <v>21697.4</v>
      </c>
      <c r="Q16" s="129">
        <v>21697</v>
      </c>
      <c r="R16" s="130">
        <f>SUM(G16,I16,K16,M16,O16,Q16)</f>
        <v>127236.455</v>
      </c>
      <c r="S16" s="132">
        <f>R16/E16</f>
        <v>0.65901833961001832</v>
      </c>
    </row>
    <row r="17" spans="1:20" ht="15" thickBot="1" x14ac:dyDescent="0.4">
      <c r="A17" s="116"/>
      <c r="B17" s="119" t="s">
        <v>54</v>
      </c>
      <c r="C17" s="123">
        <f>SUM(C15:C16)</f>
        <v>2099292.5957499999</v>
      </c>
      <c r="D17" s="123">
        <f>SUM(D15:D16)</f>
        <v>899696.82675000001</v>
      </c>
      <c r="E17" s="123">
        <f t="shared" ref="E17:Q17" si="6">SUM(E15:E16)</f>
        <v>2998989.4225000003</v>
      </c>
      <c r="F17" s="123">
        <f t="shared" ref="F17:K17" si="7">SUM(F15:F16)</f>
        <v>636083.97</v>
      </c>
      <c r="G17" s="150">
        <f t="shared" si="7"/>
        <v>441497.14</v>
      </c>
      <c r="H17" s="123">
        <f t="shared" si="7"/>
        <v>357883.97</v>
      </c>
      <c r="I17" s="123">
        <f t="shared" si="7"/>
        <v>234152</v>
      </c>
      <c r="J17" s="123">
        <f t="shared" si="7"/>
        <v>356211.61594972073</v>
      </c>
      <c r="K17" s="123">
        <f t="shared" si="7"/>
        <v>184737.82019999999</v>
      </c>
      <c r="L17" s="123">
        <f t="shared" si="6"/>
        <v>912598.71965583251</v>
      </c>
      <c r="M17" s="123">
        <f t="shared" si="6"/>
        <v>605349.49</v>
      </c>
      <c r="N17" s="210">
        <f t="shared" si="6"/>
        <v>379999.8</v>
      </c>
      <c r="O17" s="210">
        <f t="shared" si="6"/>
        <v>236229</v>
      </c>
      <c r="P17" s="123">
        <f>SUM(P15:P16)</f>
        <v>355499.80000000005</v>
      </c>
      <c r="Q17" s="123">
        <f t="shared" si="6"/>
        <v>316827</v>
      </c>
      <c r="R17" s="126">
        <f>SUM(R15:R16)</f>
        <v>2018792.4502000001</v>
      </c>
      <c r="S17" s="158">
        <f>R17/E17</f>
        <v>0.67315757603343129</v>
      </c>
      <c r="T17" s="116"/>
    </row>
    <row r="18" spans="1:20" x14ac:dyDescent="0.35">
      <c r="E18" s="124"/>
      <c r="F18" s="191" t="s">
        <v>156</v>
      </c>
      <c r="G18" s="191" t="s">
        <v>156</v>
      </c>
      <c r="H18" s="191" t="s">
        <v>156</v>
      </c>
      <c r="I18" s="191" t="s">
        <v>156</v>
      </c>
      <c r="J18" s="191" t="s">
        <v>156</v>
      </c>
      <c r="K18" s="191" t="s">
        <v>156</v>
      </c>
      <c r="L18" s="191" t="s">
        <v>156</v>
      </c>
      <c r="M18" s="191" t="s">
        <v>156</v>
      </c>
      <c r="N18" s="191" t="s">
        <v>156</v>
      </c>
      <c r="O18" s="191" t="s">
        <v>156</v>
      </c>
      <c r="P18" s="191" t="s">
        <v>156</v>
      </c>
      <c r="Q18" s="191" t="s">
        <v>156</v>
      </c>
      <c r="S18" s="127"/>
    </row>
    <row r="19" spans="1:20" x14ac:dyDescent="0.35">
      <c r="D19" t="s">
        <v>146</v>
      </c>
      <c r="E19" t="s">
        <v>133</v>
      </c>
      <c r="G19" s="124"/>
      <c r="I19" s="183"/>
      <c r="L19" s="203"/>
      <c r="M19" s="188"/>
      <c r="P19" s="183" t="s">
        <v>168</v>
      </c>
    </row>
    <row r="20" spans="1:20" x14ac:dyDescent="0.35">
      <c r="B20">
        <f>912599+636084</f>
        <v>1548683</v>
      </c>
      <c r="C20" t="s">
        <v>152</v>
      </c>
      <c r="D20" s="195">
        <f>F17+L17</f>
        <v>1548682.6896558325</v>
      </c>
      <c r="E20" s="193">
        <f>G17+M17</f>
        <v>1046846.63</v>
      </c>
      <c r="L20" s="212"/>
      <c r="M20" s="188"/>
    </row>
    <row r="21" spans="1:20" x14ac:dyDescent="0.35">
      <c r="B21">
        <f>380000+357884</f>
        <v>737884</v>
      </c>
      <c r="C21" t="s">
        <v>153</v>
      </c>
      <c r="D21" s="195">
        <f>H17+N17</f>
        <v>737883.77</v>
      </c>
      <c r="E21" s="195">
        <f>I17+O17</f>
        <v>470381</v>
      </c>
      <c r="L21" s="125"/>
      <c r="M21" s="188"/>
    </row>
    <row r="22" spans="1:20" x14ac:dyDescent="0.35">
      <c r="B22">
        <f>356212+356212</f>
        <v>712424</v>
      </c>
      <c r="C22" s="194" t="s">
        <v>154</v>
      </c>
      <c r="D22" s="196">
        <f>J17+P17</f>
        <v>711711.41594972077</v>
      </c>
      <c r="E22" s="196">
        <f>K17+Q17</f>
        <v>501564.82019999996</v>
      </c>
      <c r="G22" s="223"/>
      <c r="L22" s="125"/>
      <c r="M22" s="188"/>
    </row>
    <row r="23" spans="1:20" x14ac:dyDescent="0.35">
      <c r="C23" t="s">
        <v>25</v>
      </c>
      <c r="D23" s="187">
        <f>SUM(D20:D22)</f>
        <v>2998277.8756055534</v>
      </c>
      <c r="E23" s="187">
        <f>SUM(E20:E22)</f>
        <v>2018792.4501999998</v>
      </c>
    </row>
  </sheetData>
  <mergeCells count="13">
    <mergeCell ref="B6:B7"/>
    <mergeCell ref="C6:D6"/>
    <mergeCell ref="E6:E7"/>
    <mergeCell ref="R6:R7"/>
    <mergeCell ref="F6:G6"/>
    <mergeCell ref="H6:I6"/>
    <mergeCell ref="J6:K6"/>
    <mergeCell ref="F5:Q5"/>
    <mergeCell ref="C5:E5"/>
    <mergeCell ref="S6:S7"/>
    <mergeCell ref="L6:M6"/>
    <mergeCell ref="N6:O6"/>
    <mergeCell ref="P6:Q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1FDC5-C71C-45E9-B98D-56B6676C2B2B}">
  <dimension ref="A1:T22"/>
  <sheetViews>
    <sheetView workbookViewId="0">
      <selection activeCell="K17" sqref="K17"/>
    </sheetView>
  </sheetViews>
  <sheetFormatPr baseColWidth="10" defaultColWidth="11.453125" defaultRowHeight="14.5" x14ac:dyDescent="0.35"/>
  <cols>
    <col min="2" max="2" width="32.453125" customWidth="1"/>
    <col min="3" max="3" width="11.453125" customWidth="1"/>
    <col min="4" max="5" width="12.453125" customWidth="1"/>
    <col min="6" max="6" width="8.26953125" customWidth="1"/>
    <col min="7" max="7" width="11.54296875" customWidth="1"/>
    <col min="8" max="8" width="8.26953125" customWidth="1"/>
    <col min="9" max="9" width="10.54296875" customWidth="1"/>
    <col min="10" max="10" width="8.26953125" bestFit="1" customWidth="1"/>
    <col min="11" max="11" width="10.54296875" bestFit="1" customWidth="1"/>
    <col min="12" max="12" width="8.54296875" customWidth="1"/>
    <col min="13" max="13" width="10.453125" customWidth="1"/>
    <col min="14" max="14" width="8.26953125" bestFit="1" customWidth="1"/>
    <col min="15" max="15" width="10.54296875" bestFit="1" customWidth="1"/>
    <col min="16" max="16" width="8.26953125" bestFit="1" customWidth="1"/>
    <col min="17" max="17" width="10.54296875" bestFit="1" customWidth="1"/>
    <col min="18" max="18" width="13.26953125" customWidth="1"/>
    <col min="19" max="19" width="17.1796875" customWidth="1"/>
  </cols>
  <sheetData>
    <row r="1" spans="2:19" ht="15.5" x14ac:dyDescent="0.35">
      <c r="B1" s="117" t="s">
        <v>55</v>
      </c>
      <c r="E1" s="124"/>
      <c r="F1" s="125"/>
      <c r="G1" s="125"/>
      <c r="H1" s="125"/>
      <c r="I1" s="125"/>
      <c r="J1" s="125"/>
      <c r="K1" s="125"/>
      <c r="L1" s="125"/>
      <c r="M1" s="125"/>
      <c r="N1" s="125"/>
      <c r="O1" s="125"/>
      <c r="P1" s="125"/>
      <c r="Q1" s="125"/>
      <c r="S1" s="127"/>
    </row>
    <row r="2" spans="2:19" x14ac:dyDescent="0.35">
      <c r="B2" s="116"/>
      <c r="E2" s="124"/>
      <c r="F2" s="125"/>
      <c r="G2" s="125"/>
      <c r="H2" s="125"/>
      <c r="I2" s="125"/>
      <c r="J2" s="125"/>
      <c r="K2" s="125"/>
      <c r="L2" s="125"/>
      <c r="M2" s="125"/>
      <c r="N2" s="125"/>
      <c r="O2" s="125"/>
      <c r="P2" s="125"/>
      <c r="Q2" s="125"/>
      <c r="S2" s="127"/>
    </row>
    <row r="3" spans="2:19" x14ac:dyDescent="0.35">
      <c r="B3" s="116" t="s">
        <v>56</v>
      </c>
      <c r="E3" s="124"/>
      <c r="F3" s="125"/>
      <c r="G3" s="125"/>
      <c r="H3" s="125"/>
      <c r="I3" s="125"/>
      <c r="J3" s="125"/>
      <c r="K3" s="125"/>
      <c r="L3" s="125"/>
      <c r="M3" s="125"/>
      <c r="N3" s="125"/>
      <c r="O3" s="125"/>
      <c r="P3" s="125"/>
      <c r="Q3" s="125"/>
      <c r="S3" s="127"/>
    </row>
    <row r="4" spans="2:19" ht="15" thickBot="1" x14ac:dyDescent="0.4">
      <c r="B4" s="116"/>
      <c r="E4" s="124"/>
      <c r="F4" s="125"/>
      <c r="G4" s="125"/>
      <c r="H4" s="125"/>
      <c r="I4" s="125"/>
      <c r="J4" s="125"/>
      <c r="K4" s="125"/>
      <c r="L4" s="125"/>
      <c r="M4" s="125"/>
      <c r="N4" s="125"/>
      <c r="O4" s="125"/>
      <c r="P4" s="125"/>
      <c r="Q4" s="125"/>
      <c r="S4" s="127"/>
    </row>
    <row r="5" spans="2:19" ht="15" thickBot="1" x14ac:dyDescent="0.4">
      <c r="C5" s="259" t="s">
        <v>142</v>
      </c>
      <c r="D5" s="260"/>
      <c r="E5" s="261"/>
      <c r="F5" s="256" t="s">
        <v>134</v>
      </c>
      <c r="G5" s="257"/>
      <c r="H5" s="257"/>
      <c r="I5" s="257"/>
      <c r="J5" s="257"/>
      <c r="K5" s="257"/>
      <c r="L5" s="257"/>
      <c r="M5" s="257"/>
      <c r="N5" s="257"/>
      <c r="O5" s="257"/>
      <c r="P5" s="257"/>
      <c r="Q5" s="258"/>
      <c r="S5" s="127"/>
    </row>
    <row r="6" spans="2:19" ht="15" thickBot="1" x14ac:dyDescent="0.4">
      <c r="B6" s="265" t="s">
        <v>53</v>
      </c>
      <c r="C6" s="267" t="s">
        <v>137</v>
      </c>
      <c r="D6" s="268"/>
      <c r="E6" s="269" t="s">
        <v>136</v>
      </c>
      <c r="F6" s="259" t="s">
        <v>60</v>
      </c>
      <c r="G6" s="261"/>
      <c r="H6" s="264" t="s">
        <v>61</v>
      </c>
      <c r="I6" s="264"/>
      <c r="J6" s="259" t="s">
        <v>62</v>
      </c>
      <c r="K6" s="261"/>
      <c r="L6" s="259" t="s">
        <v>58</v>
      </c>
      <c r="M6" s="261"/>
      <c r="N6" s="264" t="s">
        <v>57</v>
      </c>
      <c r="O6" s="264"/>
      <c r="P6" s="259" t="s">
        <v>59</v>
      </c>
      <c r="Q6" s="261"/>
      <c r="R6" s="271" t="s">
        <v>135</v>
      </c>
      <c r="S6" s="262" t="s">
        <v>143</v>
      </c>
    </row>
    <row r="7" spans="2:19" ht="36" customHeight="1" thickBot="1" x14ac:dyDescent="0.4">
      <c r="B7" s="266"/>
      <c r="C7" s="161" t="s">
        <v>144</v>
      </c>
      <c r="D7" s="161" t="s">
        <v>145</v>
      </c>
      <c r="E7" s="270"/>
      <c r="F7" s="120" t="s">
        <v>146</v>
      </c>
      <c r="G7" s="128" t="s">
        <v>133</v>
      </c>
      <c r="H7" s="120" t="s">
        <v>146</v>
      </c>
      <c r="I7" s="128" t="s">
        <v>133</v>
      </c>
      <c r="J7" s="120" t="s">
        <v>146</v>
      </c>
      <c r="K7" s="128" t="s">
        <v>133</v>
      </c>
      <c r="L7" s="120" t="s">
        <v>146</v>
      </c>
      <c r="M7" s="128" t="s">
        <v>133</v>
      </c>
      <c r="N7" s="211" t="s">
        <v>146</v>
      </c>
      <c r="O7" s="128" t="s">
        <v>133</v>
      </c>
      <c r="P7" s="120" t="s">
        <v>146</v>
      </c>
      <c r="Q7" s="128" t="s">
        <v>133</v>
      </c>
      <c r="R7" s="272"/>
      <c r="S7" s="263"/>
    </row>
    <row r="8" spans="2:19" ht="15" thickBot="1" x14ac:dyDescent="0.4">
      <c r="B8" s="118" t="s">
        <v>125</v>
      </c>
      <c r="C8" s="121">
        <f>E8*0.7</f>
        <v>671370.86884710356</v>
      </c>
      <c r="D8" s="121">
        <f>E8*0.3</f>
        <v>287730.37236304436</v>
      </c>
      <c r="E8" s="121">
        <v>959101.24121014797</v>
      </c>
      <c r="F8" s="121">
        <f>200000*0.7</f>
        <v>140000</v>
      </c>
      <c r="G8" s="162">
        <v>42122.91</v>
      </c>
      <c r="H8" s="121">
        <v>41283</v>
      </c>
      <c r="I8" s="129">
        <v>68448</v>
      </c>
      <c r="J8" s="121">
        <f>50000*0.7</f>
        <v>35000</v>
      </c>
      <c r="K8" s="162">
        <v>31316.66</v>
      </c>
      <c r="L8" s="121">
        <v>436479.32</v>
      </c>
      <c r="M8" s="129">
        <v>266266.65999999997</v>
      </c>
      <c r="N8" s="121">
        <v>83320</v>
      </c>
      <c r="O8" s="129">
        <v>68394</v>
      </c>
      <c r="P8" s="121">
        <f>65221.4831970406*0.7</f>
        <v>45655.03823792842</v>
      </c>
      <c r="Q8" s="129">
        <f>0.3*23200</f>
        <v>6960</v>
      </c>
      <c r="R8" s="130">
        <f t="shared" ref="R8:R14" si="0">SUM(G8,I8,K8,M8,O8,Q8)</f>
        <v>483508.23</v>
      </c>
      <c r="S8" s="131">
        <f>R8/E8</f>
        <v>0.50412637292589935</v>
      </c>
    </row>
    <row r="9" spans="2:19" ht="15" thickBot="1" x14ac:dyDescent="0.4">
      <c r="B9" s="118" t="s">
        <v>126</v>
      </c>
      <c r="C9" s="121">
        <f t="shared" ref="C9:C14" si="1">E9*0.7</f>
        <v>144245.28723846079</v>
      </c>
      <c r="D9" s="121">
        <f t="shared" ref="D9:D14" si="2">E9*0.3</f>
        <v>61819.408816483199</v>
      </c>
      <c r="E9" s="121">
        <v>206064.69605494401</v>
      </c>
      <c r="F9" s="121">
        <f>0*0.7</f>
        <v>0</v>
      </c>
      <c r="G9" s="163">
        <v>0</v>
      </c>
      <c r="H9" s="121">
        <v>14813</v>
      </c>
      <c r="I9" s="170">
        <v>18440</v>
      </c>
      <c r="J9" s="121">
        <f>11003*0.7</f>
        <v>7702.0999999999995</v>
      </c>
      <c r="K9" s="162">
        <v>0</v>
      </c>
      <c r="L9" s="121">
        <v>103220.3</v>
      </c>
      <c r="M9" s="129">
        <v>205.2</v>
      </c>
      <c r="N9" s="121">
        <v>53208</v>
      </c>
      <c r="O9" s="129">
        <v>50915</v>
      </c>
      <c r="P9" s="121">
        <f>11745.6051556281*0.7</f>
        <v>8221.9236089396691</v>
      </c>
      <c r="Q9" s="129">
        <f>19358*0.3</f>
        <v>5807.4</v>
      </c>
      <c r="R9" s="130">
        <f t="shared" si="0"/>
        <v>75367.599999999991</v>
      </c>
      <c r="S9" s="131">
        <f t="shared" ref="S9:S14" si="3">R9/E9</f>
        <v>0.36574726987637113</v>
      </c>
    </row>
    <row r="10" spans="2:19" ht="26.5" thickBot="1" x14ac:dyDescent="0.4">
      <c r="B10" s="118" t="s">
        <v>127</v>
      </c>
      <c r="C10" s="121">
        <f t="shared" si="1"/>
        <v>42843.35724247824</v>
      </c>
      <c r="D10" s="121">
        <f t="shared" si="2"/>
        <v>18361.438818204959</v>
      </c>
      <c r="E10" s="121">
        <v>61204.796060683198</v>
      </c>
      <c r="F10" s="121">
        <f>0*0.7</f>
        <v>0</v>
      </c>
      <c r="G10" s="163">
        <v>0</v>
      </c>
      <c r="H10" s="121">
        <v>0</v>
      </c>
      <c r="I10" s="171"/>
      <c r="J10" s="121">
        <f>14388*0.7</f>
        <v>10071.599999999999</v>
      </c>
      <c r="K10" s="162">
        <v>20061.650000000001</v>
      </c>
      <c r="L10" s="121">
        <v>16884.419999999998</v>
      </c>
      <c r="M10" s="129">
        <v>1497</v>
      </c>
      <c r="N10" s="121">
        <v>15960</v>
      </c>
      <c r="O10" s="129">
        <v>9000</v>
      </c>
      <c r="P10" s="121">
        <f>6928.10315496033*0.7</f>
        <v>4849.6722084722305</v>
      </c>
      <c r="Q10" s="129"/>
      <c r="R10" s="130">
        <f t="shared" si="0"/>
        <v>30558.65</v>
      </c>
      <c r="S10" s="131">
        <f t="shared" si="3"/>
        <v>0.49928521891816741</v>
      </c>
    </row>
    <row r="11" spans="2:19" ht="15" thickBot="1" x14ac:dyDescent="0.4">
      <c r="B11" s="118" t="s">
        <v>128</v>
      </c>
      <c r="C11" s="121">
        <f t="shared" si="1"/>
        <v>379450.66365739889</v>
      </c>
      <c r="D11" s="121">
        <f t="shared" si="2"/>
        <v>162621.7129960281</v>
      </c>
      <c r="E11" s="121">
        <v>542072.37665342703</v>
      </c>
      <c r="F11" s="121">
        <f>0*0.7</f>
        <v>0</v>
      </c>
      <c r="G11" s="163">
        <v>0</v>
      </c>
      <c r="H11" s="121">
        <v>91812</v>
      </c>
      <c r="I11" s="172">
        <v>54262</v>
      </c>
      <c r="J11" s="121">
        <f>129807*0.7</f>
        <v>90864.9</v>
      </c>
      <c r="K11" s="162">
        <v>0</v>
      </c>
      <c r="L11" s="121">
        <v>189819.48</v>
      </c>
      <c r="M11" s="129">
        <v>189430.73</v>
      </c>
      <c r="N11" s="121">
        <v>2300</v>
      </c>
      <c r="O11" s="129">
        <v>200</v>
      </c>
      <c r="P11" s="121">
        <f>211822.682181337*0.7</f>
        <v>148275.87752693589</v>
      </c>
      <c r="Q11" s="129">
        <f>112257*0.3</f>
        <v>33677.1</v>
      </c>
      <c r="R11" s="130">
        <f t="shared" si="0"/>
        <v>277569.83</v>
      </c>
      <c r="S11" s="131">
        <f t="shared" si="3"/>
        <v>0.51205307991088389</v>
      </c>
    </row>
    <row r="12" spans="2:19" ht="15" thickBot="1" x14ac:dyDescent="0.4">
      <c r="B12" s="118" t="s">
        <v>129</v>
      </c>
      <c r="C12" s="121">
        <f t="shared" si="1"/>
        <v>133709.02840851431</v>
      </c>
      <c r="D12" s="121">
        <f t="shared" si="2"/>
        <v>57303.869317934703</v>
      </c>
      <c r="E12" s="121">
        <v>191012.89772644901</v>
      </c>
      <c r="F12" s="121">
        <f>20486*0.7</f>
        <v>14340.199999999999</v>
      </c>
      <c r="G12" s="162">
        <f>11069.77-4691.15</f>
        <v>6378.6200000000008</v>
      </c>
      <c r="H12" s="121">
        <v>62361</v>
      </c>
      <c r="I12" s="164">
        <v>67615</v>
      </c>
      <c r="J12" s="121">
        <f>32102*0.7</f>
        <v>22471.399999999998</v>
      </c>
      <c r="K12" s="162">
        <v>10000</v>
      </c>
      <c r="L12" s="121">
        <v>25396.240000000002</v>
      </c>
      <c r="M12" s="129">
        <v>6778.4</v>
      </c>
      <c r="N12" s="121">
        <v>30000</v>
      </c>
      <c r="O12" s="129">
        <v>11188</v>
      </c>
      <c r="P12" s="121">
        <f>27810.4381555168*0.7</f>
        <v>19467.306708861757</v>
      </c>
      <c r="Q12" s="129">
        <f>14185*0.3</f>
        <v>4255.5</v>
      </c>
      <c r="R12" s="130">
        <f t="shared" si="0"/>
        <v>106215.51999999999</v>
      </c>
      <c r="S12" s="131">
        <f t="shared" si="3"/>
        <v>0.55606464937311206</v>
      </c>
    </row>
    <row r="13" spans="2:19" ht="15" thickBot="1" x14ac:dyDescent="0.4">
      <c r="B13" s="118" t="s">
        <v>130</v>
      </c>
      <c r="C13" s="121">
        <f t="shared" si="1"/>
        <v>303466.3325786533</v>
      </c>
      <c r="D13" s="121">
        <f t="shared" si="2"/>
        <v>130056.9996765657</v>
      </c>
      <c r="E13" s="121">
        <v>433523.33225521899</v>
      </c>
      <c r="F13" s="121">
        <f>288527*0.7</f>
        <v>201968.9</v>
      </c>
      <c r="G13" s="162">
        <v>221016.42</v>
      </c>
      <c r="H13" s="121">
        <v>17275</v>
      </c>
      <c r="I13" s="165">
        <v>13629</v>
      </c>
      <c r="J13" s="121">
        <f>47397*0.7</f>
        <v>33177.9</v>
      </c>
      <c r="K13" s="162">
        <v>81161.06</v>
      </c>
      <c r="L13" s="121">
        <v>0</v>
      </c>
      <c r="M13" s="129">
        <v>0</v>
      </c>
      <c r="N13" s="121">
        <v>69300</v>
      </c>
      <c r="O13" s="129">
        <v>50654</v>
      </c>
      <c r="P13" s="121">
        <f>0*0.7</f>
        <v>0</v>
      </c>
      <c r="Q13" s="129"/>
      <c r="R13" s="130">
        <f t="shared" si="0"/>
        <v>366460.48</v>
      </c>
      <c r="S13" s="131">
        <f t="shared" si="3"/>
        <v>0.84530739809007893</v>
      </c>
    </row>
    <row r="14" spans="2:19" ht="15" thickBot="1" x14ac:dyDescent="0.4">
      <c r="B14" s="118" t="s">
        <v>131</v>
      </c>
      <c r="C14" s="121">
        <f t="shared" si="1"/>
        <v>289058.28702739096</v>
      </c>
      <c r="D14" s="121">
        <f t="shared" si="2"/>
        <v>123882.12301173899</v>
      </c>
      <c r="E14" s="121">
        <v>412940.41003913002</v>
      </c>
      <c r="F14" s="121">
        <f>85458*0.7</f>
        <v>59820.6</v>
      </c>
      <c r="G14" s="167">
        <v>4691.1499999999996</v>
      </c>
      <c r="H14" s="168">
        <v>7352</v>
      </c>
      <c r="I14" s="166">
        <v>6897</v>
      </c>
      <c r="J14" s="121">
        <f>49773*0.7</f>
        <v>34841.1</v>
      </c>
      <c r="K14" s="167">
        <v>21303.87</v>
      </c>
      <c r="L14" s="121">
        <v>81096.23</v>
      </c>
      <c r="M14" s="129">
        <v>102772.67</v>
      </c>
      <c r="N14" s="121">
        <v>101052</v>
      </c>
      <c r="O14" s="129">
        <v>36921</v>
      </c>
      <c r="P14" s="121">
        <f>10942.6881555168*0.7</f>
        <v>7659.8817088617598</v>
      </c>
      <c r="Q14" s="129">
        <f>22925*0.3</f>
        <v>6877.5</v>
      </c>
      <c r="R14" s="130">
        <f t="shared" si="0"/>
        <v>179463.19</v>
      </c>
      <c r="S14" s="131">
        <f t="shared" si="3"/>
        <v>0.4345982752886649</v>
      </c>
    </row>
    <row r="15" spans="2:19" s="116" customFormat="1" ht="15" thickBot="1" x14ac:dyDescent="0.4">
      <c r="B15" s="119" t="s">
        <v>132</v>
      </c>
      <c r="C15" s="123">
        <f>SUM(C8:C14)</f>
        <v>1964143.825</v>
      </c>
      <c r="D15" s="123">
        <f>SUM(D8:D14)</f>
        <v>841775.92500000005</v>
      </c>
      <c r="E15" s="123">
        <f>SUM(E8:E14)</f>
        <v>2805919.7500000005</v>
      </c>
      <c r="F15" s="123">
        <f t="shared" ref="F15:Q15" si="4">SUM(F8:F14)</f>
        <v>416129.69999999995</v>
      </c>
      <c r="G15" s="176">
        <f>SUM(G8:G14)</f>
        <v>274209.10000000003</v>
      </c>
      <c r="H15" s="174">
        <f t="shared" si="4"/>
        <v>234896</v>
      </c>
      <c r="I15" s="174">
        <f t="shared" si="4"/>
        <v>229291</v>
      </c>
      <c r="J15" s="123">
        <f t="shared" si="4"/>
        <v>234128.99999999997</v>
      </c>
      <c r="K15" s="173">
        <f t="shared" si="4"/>
        <v>163843.24</v>
      </c>
      <c r="L15" s="123">
        <f t="shared" si="4"/>
        <v>852895.99</v>
      </c>
      <c r="M15" s="123">
        <f t="shared" si="4"/>
        <v>566950.66</v>
      </c>
      <c r="N15" s="210">
        <f t="shared" si="4"/>
        <v>355140</v>
      </c>
      <c r="O15" s="210">
        <f t="shared" si="4"/>
        <v>227272</v>
      </c>
      <c r="P15" s="123">
        <f t="shared" si="4"/>
        <v>234129.69999999972</v>
      </c>
      <c r="Q15" s="123">
        <f t="shared" si="4"/>
        <v>57577.5</v>
      </c>
      <c r="R15" s="126">
        <f>SUM(R8:R14)</f>
        <v>1519143.5</v>
      </c>
      <c r="S15" s="175">
        <f>R15/E15</f>
        <v>0.54140661007856683</v>
      </c>
    </row>
    <row r="16" spans="2:19" ht="15" thickBot="1" x14ac:dyDescent="0.4">
      <c r="B16" s="118" t="s">
        <v>147</v>
      </c>
      <c r="C16" s="122">
        <f>E16*0.7</f>
        <v>135148.77075</v>
      </c>
      <c r="D16" s="122">
        <f>E16*0.3</f>
        <v>57920.901749999997</v>
      </c>
      <c r="E16" s="121">
        <v>193069.67249999999</v>
      </c>
      <c r="F16" s="121">
        <f>F15*0.07</f>
        <v>29129.078999999998</v>
      </c>
      <c r="G16" s="162">
        <v>21561.01</v>
      </c>
      <c r="H16" s="121">
        <f>H15*0.07</f>
        <v>16442.72</v>
      </c>
      <c r="I16" s="182">
        <f>I15*7/100</f>
        <v>16050.37</v>
      </c>
      <c r="J16" s="121">
        <f>J15*0.065</f>
        <v>15218.384999999998</v>
      </c>
      <c r="K16" s="169">
        <v>16389</v>
      </c>
      <c r="L16" s="121">
        <f>L15*0.07</f>
        <v>59702.719300000004</v>
      </c>
      <c r="M16" s="129">
        <v>38398.83</v>
      </c>
      <c r="N16" s="121">
        <f>N15*0.07</f>
        <v>24859.800000000003</v>
      </c>
      <c r="O16" s="129">
        <v>8957</v>
      </c>
      <c r="P16" s="121">
        <f>P15*0.065</f>
        <v>15218.430499999982</v>
      </c>
      <c r="Q16" s="129">
        <f>13435*0.3</f>
        <v>4030.5</v>
      </c>
      <c r="R16" s="130">
        <f>SUM(G16,I16,K16,M16,O16,Q16)</f>
        <v>105386.70999999999</v>
      </c>
      <c r="S16" s="132">
        <f>R16/E16</f>
        <v>0.54584807979098837</v>
      </c>
    </row>
    <row r="17" spans="1:20" ht="15" thickBot="1" x14ac:dyDescent="0.4">
      <c r="A17" s="116"/>
      <c r="B17" s="119" t="s">
        <v>54</v>
      </c>
      <c r="C17" s="123">
        <f>SUM(C15:C16)</f>
        <v>2099292.5957499999</v>
      </c>
      <c r="D17" s="123">
        <f>SUM(D15:D16)</f>
        <v>899696.82675000001</v>
      </c>
      <c r="E17" s="123">
        <f t="shared" ref="E17:Q17" si="5">SUM(E15:E16)</f>
        <v>2998989.4225000003</v>
      </c>
      <c r="F17" s="123">
        <f t="shared" si="5"/>
        <v>445258.77899999998</v>
      </c>
      <c r="G17" s="150">
        <f t="shared" si="5"/>
        <v>295770.11000000004</v>
      </c>
      <c r="H17" s="123">
        <f t="shared" si="5"/>
        <v>251338.72</v>
      </c>
      <c r="I17" s="123">
        <f t="shared" si="5"/>
        <v>245341.37</v>
      </c>
      <c r="J17" s="123">
        <f t="shared" si="5"/>
        <v>249347.38499999998</v>
      </c>
      <c r="K17" s="123">
        <f t="shared" si="5"/>
        <v>180232.24</v>
      </c>
      <c r="L17" s="123">
        <f t="shared" si="5"/>
        <v>912598.70929999999</v>
      </c>
      <c r="M17" s="123">
        <f t="shared" si="5"/>
        <v>605349.49</v>
      </c>
      <c r="N17" s="210">
        <f t="shared" si="5"/>
        <v>379999.8</v>
      </c>
      <c r="O17" s="210">
        <f t="shared" si="5"/>
        <v>236229</v>
      </c>
      <c r="P17" s="123">
        <f>SUM(P15:P16)</f>
        <v>249348.13049999971</v>
      </c>
      <c r="Q17" s="123">
        <f t="shared" si="5"/>
        <v>61608</v>
      </c>
      <c r="R17" s="126">
        <f>SUM(R15:R16)</f>
        <v>1624530.21</v>
      </c>
      <c r="S17" s="158">
        <f>R17/E17</f>
        <v>0.5416925440989947</v>
      </c>
      <c r="T17" s="116"/>
    </row>
    <row r="18" spans="1:20" x14ac:dyDescent="0.35">
      <c r="E18" s="124"/>
      <c r="F18" s="125"/>
      <c r="G18" s="191"/>
      <c r="H18" s="125"/>
      <c r="I18" s="191"/>
      <c r="J18" s="125"/>
      <c r="K18" s="191"/>
      <c r="L18" s="191" t="s">
        <v>156</v>
      </c>
      <c r="M18" s="191" t="s">
        <v>156</v>
      </c>
      <c r="N18" s="191" t="s">
        <v>156</v>
      </c>
      <c r="O18" s="191" t="s">
        <v>156</v>
      </c>
      <c r="P18" s="125"/>
      <c r="Q18" s="191"/>
      <c r="S18" s="127"/>
    </row>
    <row r="19" spans="1:20" x14ac:dyDescent="0.35">
      <c r="D19" t="s">
        <v>152</v>
      </c>
      <c r="E19" s="193">
        <f>G17+M17</f>
        <v>901119.60000000009</v>
      </c>
      <c r="G19" s="124"/>
      <c r="I19" s="183"/>
      <c r="L19" s="203"/>
      <c r="M19" s="188"/>
    </row>
    <row r="20" spans="1:20" x14ac:dyDescent="0.35">
      <c r="D20" t="s">
        <v>153</v>
      </c>
      <c r="E20" s="195">
        <f>I17+O17</f>
        <v>481570.37</v>
      </c>
      <c r="L20" s="125"/>
      <c r="M20" s="188"/>
    </row>
    <row r="21" spans="1:20" x14ac:dyDescent="0.35">
      <c r="D21" s="194" t="s">
        <v>154</v>
      </c>
      <c r="E21" s="196">
        <f>K17+Q17</f>
        <v>241840.24</v>
      </c>
      <c r="L21" s="125"/>
      <c r="M21" s="188"/>
    </row>
    <row r="22" spans="1:20" x14ac:dyDescent="0.35">
      <c r="D22" t="s">
        <v>25</v>
      </c>
      <c r="E22" s="187">
        <f>SUM(E19:E21)</f>
        <v>1624530.2100000002</v>
      </c>
      <c r="L22" s="125"/>
      <c r="M22" s="188"/>
    </row>
  </sheetData>
  <mergeCells count="13">
    <mergeCell ref="P6:Q6"/>
    <mergeCell ref="R6:R7"/>
    <mergeCell ref="S6:S7"/>
    <mergeCell ref="C5:E5"/>
    <mergeCell ref="F5:Q5"/>
    <mergeCell ref="J6:K6"/>
    <mergeCell ref="L6:M6"/>
    <mergeCell ref="N6:O6"/>
    <mergeCell ref="B6:B7"/>
    <mergeCell ref="C6:D6"/>
    <mergeCell ref="E6:E7"/>
    <mergeCell ref="F6:G6"/>
    <mergeCell ref="H6:I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MPTF_00006_00735</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2022-12-14T08:00:00+00:00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655CCC3A-A395-43BE-BD91-0492F3DDFD41}">
  <ds:schemaRefs>
    <ds:schemaRef ds:uri="http://schemas.microsoft.com/sharepoint/v3/contenttype/forms"/>
  </ds:schemaRefs>
</ds:datastoreItem>
</file>

<file path=customXml/itemProps2.xml><?xml version="1.0" encoding="utf-8"?>
<ds:datastoreItem xmlns:ds="http://schemas.openxmlformats.org/officeDocument/2006/customXml" ds:itemID="{A2761CA2-B4C2-4951-AF42-DF969158F89D}"/>
</file>

<file path=customXml/itemProps3.xml><?xml version="1.0" encoding="utf-8"?>
<ds:datastoreItem xmlns:ds="http://schemas.openxmlformats.org/officeDocument/2006/customXml" ds:itemID="{9863277C-2368-4882-BB7F-A61458FF2D36}">
  <ds:schemaRefs>
    <ds:schemaRef ds:uri="http://purl.org/dc/terms/"/>
    <ds:schemaRef ds:uri="8c2680b1-8717-4e17-af8a-c3c5948a3503"/>
    <ds:schemaRef ds:uri="http://schemas.microsoft.com/office/2006/documentManagement/types"/>
    <ds:schemaRef ds:uri="http://schemas.microsoft.com/office/infopath/2007/PartnerControls"/>
    <ds:schemaRef ds:uri="3c9ac98d-36e3-464e-9a3d-571690e2b8cf"/>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Expenditure by Output</vt:lpstr>
      <vt:lpstr>Expenditure by Category</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CB_DRC_Rwanda_00122834_5_Finance Report_nov22.xlsx</dc:title>
  <dc:creator>CIEL</dc:creator>
  <cp:lastModifiedBy>Hiroko Konno</cp:lastModifiedBy>
  <cp:lastPrinted>2021-05-28T10:15:15Z</cp:lastPrinted>
  <dcterms:created xsi:type="dcterms:W3CDTF">2020-06-18T08:22:35Z</dcterms:created>
  <dcterms:modified xsi:type="dcterms:W3CDTF">2022-12-13T16:28:34Z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SIP_Label_65b15e2b-c6d2-488b-8aea-978109a77633_Enabled">
    <vt:lpwstr>true</vt:lpwstr>
  </property>
  <property fmtid="{D5CDD505-2E9C-101B-9397-08002B2CF9AE}" pid="4" name="MSIP_Label_65b15e2b-c6d2-488b-8aea-978109a77633_SetDate">
    <vt:lpwstr>2021-05-11T09:17:21Z</vt:lpwstr>
  </property>
  <property fmtid="{D5CDD505-2E9C-101B-9397-08002B2CF9AE}" pid="5" name="MSIP_Label_65b15e2b-c6d2-488b-8aea-978109a77633_Method">
    <vt:lpwstr>Privileged</vt:lpwstr>
  </property>
  <property fmtid="{D5CDD505-2E9C-101B-9397-08002B2CF9AE}" pid="6" name="MSIP_Label_65b15e2b-c6d2-488b-8aea-978109a77633_Name">
    <vt:lpwstr>IOMLb0010IN123173</vt:lpwstr>
  </property>
  <property fmtid="{D5CDD505-2E9C-101B-9397-08002B2CF9AE}" pid="7" name="MSIP_Label_65b15e2b-c6d2-488b-8aea-978109a77633_SiteId">
    <vt:lpwstr>1588262d-23fb-43b4-bd6e-bce49c8e6186</vt:lpwstr>
  </property>
  <property fmtid="{D5CDD505-2E9C-101B-9397-08002B2CF9AE}" pid="8" name="MSIP_Label_65b15e2b-c6d2-488b-8aea-978109a77633_ActionId">
    <vt:lpwstr>17520ecb-085a-47e5-8bfc-a9c3df1b93f8</vt:lpwstr>
  </property>
  <property fmtid="{D5CDD505-2E9C-101B-9397-08002B2CF9AE}" pid="9" name="MSIP_Label_65b15e2b-c6d2-488b-8aea-978109a77633_ContentBits">
    <vt:lpwstr>0</vt:lpwstr>
  </property>
</Properties>
</file>