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emel\Documents\CONSOLIDATION DE LA PAIX\PBF\UNJP_BKF_060_PBF\RAPPORTS -UNJP-BKF-060-PBF\Rapport annuel 2022\"/>
    </mc:Choice>
  </mc:AlternateContent>
  <bookViews>
    <workbookView xWindow="-110" yWindow="-110" windowWidth="23260" windowHeight="12460" tabRatio="870" firstSheet="3" activeTab="3"/>
  </bookViews>
  <sheets>
    <sheet name="Niger FAO Format" sheetId="9" state="hidden" r:id="rId1"/>
    <sheet name="Mali FAO Format" sheetId="10" state="hidden" r:id="rId2"/>
    <sheet name="BKF FAO Format" sheetId="11" state="hidden" r:id="rId3"/>
    <sheet name="1) Tableau budgétaire 1" sheetId="1" r:id="rId4"/>
    <sheet name="2) Tableau budgétaire 2" sheetId="5" r:id="rId5"/>
    <sheet name="3) Notes d'explication" sheetId="3" r:id="rId6"/>
    <sheet name="4) Pour utilisation par PBSO" sheetId="6" r:id="rId7"/>
    <sheet name="5) Pour utilisation par MPTFO" sheetId="4" r:id="rId8"/>
    <sheet name="Dropdowns" sheetId="8" state="hidden" r:id="rId9"/>
    <sheet name="Sheet2" sheetId="7" state="hidden"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203" i="1" l="1"/>
  <c r="AB17" i="1"/>
  <c r="W199" i="1"/>
  <c r="V199" i="1"/>
  <c r="U199" i="1"/>
  <c r="Z189" i="1"/>
  <c r="Y189" i="1"/>
  <c r="X189" i="1"/>
  <c r="W189" i="1"/>
  <c r="V189" i="1"/>
  <c r="U189" i="1"/>
  <c r="AA188" i="1"/>
  <c r="AB188" i="1" s="1"/>
  <c r="AA187" i="1"/>
  <c r="AB187" i="1" s="1"/>
  <c r="AB186" i="1"/>
  <c r="AA186" i="1"/>
  <c r="AA185" i="1"/>
  <c r="AB185" i="1" s="1"/>
  <c r="AA184" i="1"/>
  <c r="AB184" i="1" s="1"/>
  <c r="AA183" i="1"/>
  <c r="AA189" i="1" s="1"/>
  <c r="Z180" i="1"/>
  <c r="Y180" i="1"/>
  <c r="X180" i="1"/>
  <c r="W180" i="1"/>
  <c r="V180" i="1"/>
  <c r="U180" i="1"/>
  <c r="AA179" i="1"/>
  <c r="AA178" i="1"/>
  <c r="AA177" i="1"/>
  <c r="AA176" i="1"/>
  <c r="AB180" i="1" s="1"/>
  <c r="AA175" i="1"/>
  <c r="AA174" i="1"/>
  <c r="AA173" i="1"/>
  <c r="AA172" i="1"/>
  <c r="AA180" i="1" s="1"/>
  <c r="Z170" i="1"/>
  <c r="Y170" i="1"/>
  <c r="X170" i="1"/>
  <c r="W170" i="1"/>
  <c r="V170" i="1"/>
  <c r="U170" i="1"/>
  <c r="AA169" i="1"/>
  <c r="AA168" i="1"/>
  <c r="AA167" i="1"/>
  <c r="AA166" i="1"/>
  <c r="AB170" i="1" s="1"/>
  <c r="AA165" i="1"/>
  <c r="AA164" i="1"/>
  <c r="AA163" i="1"/>
  <c r="AA162" i="1"/>
  <c r="AA170" i="1" s="1"/>
  <c r="Z160" i="1"/>
  <c r="Y160" i="1"/>
  <c r="X160" i="1"/>
  <c r="W160" i="1"/>
  <c r="V160" i="1"/>
  <c r="U160" i="1"/>
  <c r="AA159" i="1"/>
  <c r="AA158" i="1"/>
  <c r="AA157" i="1"/>
  <c r="AA156" i="1"/>
  <c r="AB160" i="1" s="1"/>
  <c r="AA155" i="1"/>
  <c r="AA154" i="1"/>
  <c r="AA153" i="1"/>
  <c r="AA152" i="1"/>
  <c r="AA160" i="1" s="1"/>
  <c r="Z150" i="1"/>
  <c r="Y150" i="1"/>
  <c r="X150" i="1"/>
  <c r="W150" i="1"/>
  <c r="V150" i="1"/>
  <c r="U150" i="1"/>
  <c r="AB149" i="1"/>
  <c r="AA149" i="1"/>
  <c r="AA148" i="1"/>
  <c r="AB148" i="1" s="1"/>
  <c r="AA147" i="1"/>
  <c r="AB147" i="1" s="1"/>
  <c r="Z143" i="1"/>
  <c r="Y143" i="1"/>
  <c r="X143" i="1"/>
  <c r="W143" i="1"/>
  <c r="V143" i="1"/>
  <c r="U143" i="1"/>
  <c r="AA142" i="1"/>
  <c r="AA141" i="1"/>
  <c r="AA140" i="1"/>
  <c r="AA139" i="1"/>
  <c r="AA138" i="1"/>
  <c r="AA137" i="1"/>
  <c r="AA136" i="1"/>
  <c r="AA135" i="1"/>
  <c r="AB143" i="1" s="1"/>
  <c r="Z133" i="1"/>
  <c r="Y133" i="1"/>
  <c r="X133" i="1"/>
  <c r="W133" i="1"/>
  <c r="V133" i="1"/>
  <c r="U133" i="1"/>
  <c r="AA132" i="1"/>
  <c r="AA131" i="1"/>
  <c r="AA130" i="1"/>
  <c r="AA129" i="1"/>
  <c r="AB129" i="1" s="1"/>
  <c r="AB128" i="1"/>
  <c r="AA128" i="1"/>
  <c r="AA127" i="1"/>
  <c r="AB127" i="1" s="1"/>
  <c r="AA126" i="1"/>
  <c r="AB126" i="1" s="1"/>
  <c r="AA125" i="1"/>
  <c r="AA133" i="1" s="1"/>
  <c r="Z123" i="1"/>
  <c r="Y123" i="1"/>
  <c r="W123" i="1"/>
  <c r="V123" i="1"/>
  <c r="U123" i="1"/>
  <c r="AB122" i="1"/>
  <c r="AA122" i="1"/>
  <c r="AA121" i="1"/>
  <c r="AB121" i="1" s="1"/>
  <c r="AA120" i="1"/>
  <c r="AB120" i="1" s="1"/>
  <c r="X119" i="1"/>
  <c r="AA119" i="1" s="1"/>
  <c r="AB119" i="1" s="1"/>
  <c r="AA118" i="1"/>
  <c r="AB118" i="1" s="1"/>
  <c r="AB117" i="1"/>
  <c r="AA117" i="1"/>
  <c r="X116" i="1"/>
  <c r="X123" i="1" s="1"/>
  <c r="AB115" i="1"/>
  <c r="AA115" i="1"/>
  <c r="AA114" i="1"/>
  <c r="AB114" i="1" s="1"/>
  <c r="AA113" i="1"/>
  <c r="Z111" i="1"/>
  <c r="Y111" i="1"/>
  <c r="W111" i="1"/>
  <c r="V111" i="1"/>
  <c r="U111" i="1"/>
  <c r="AA109" i="1"/>
  <c r="AB109" i="1" s="1"/>
  <c r="AB108" i="1"/>
  <c r="AA108" i="1"/>
  <c r="AA107" i="1"/>
  <c r="AB107" i="1" s="1"/>
  <c r="AA106" i="1"/>
  <c r="AB106" i="1" s="1"/>
  <c r="AA105" i="1"/>
  <c r="AB105" i="1" s="1"/>
  <c r="AB104" i="1"/>
  <c r="AA104" i="1"/>
  <c r="AA103" i="1"/>
  <c r="AB103" i="1" s="1"/>
  <c r="AA102" i="1"/>
  <c r="AB102" i="1" s="1"/>
  <c r="X102" i="1"/>
  <c r="X111" i="1" s="1"/>
  <c r="AA101" i="1"/>
  <c r="AB101" i="1" s="1"/>
  <c r="AB100" i="1"/>
  <c r="AA100" i="1"/>
  <c r="AB99" i="1"/>
  <c r="AA99" i="1"/>
  <c r="AB98" i="1"/>
  <c r="AA98" i="1"/>
  <c r="AA111" i="1" s="1"/>
  <c r="Z94" i="1"/>
  <c r="Y94" i="1"/>
  <c r="X94" i="1"/>
  <c r="W94" i="1"/>
  <c r="V94" i="1"/>
  <c r="U94" i="1"/>
  <c r="AA93" i="1"/>
  <c r="AA92" i="1"/>
  <c r="AA94" i="1" s="1"/>
  <c r="AA91" i="1"/>
  <c r="AA90" i="1"/>
  <c r="AA89" i="1"/>
  <c r="AA88" i="1"/>
  <c r="AA87" i="1"/>
  <c r="AA86" i="1"/>
  <c r="AB94" i="1" s="1"/>
  <c r="Z84" i="1"/>
  <c r="Y84" i="1"/>
  <c r="X84" i="1"/>
  <c r="W84" i="1"/>
  <c r="V84" i="1"/>
  <c r="U84" i="1"/>
  <c r="AA83" i="1"/>
  <c r="AB83" i="1" s="1"/>
  <c r="AB82" i="1"/>
  <c r="AA82" i="1"/>
  <c r="AB81" i="1"/>
  <c r="AA81" i="1"/>
  <c r="Z79" i="1"/>
  <c r="Y79" i="1"/>
  <c r="X79" i="1"/>
  <c r="W79" i="1"/>
  <c r="V79" i="1"/>
  <c r="U79" i="1"/>
  <c r="AA78" i="1"/>
  <c r="AA77" i="1"/>
  <c r="AB77" i="1" s="1"/>
  <c r="AB76" i="1"/>
  <c r="AA76" i="1"/>
  <c r="AA75" i="1"/>
  <c r="AB75" i="1" s="1"/>
  <c r="AA74" i="1"/>
  <c r="AB74" i="1" s="1"/>
  <c r="AA73" i="1"/>
  <c r="AB73" i="1" s="1"/>
  <c r="AA72" i="1"/>
  <c r="AB72" i="1" s="1"/>
  <c r="AA71" i="1"/>
  <c r="AB71" i="1" s="1"/>
  <c r="Z69" i="1"/>
  <c r="Y69" i="1"/>
  <c r="X69" i="1"/>
  <c r="W69" i="1"/>
  <c r="V69" i="1"/>
  <c r="U69" i="1"/>
  <c r="AA68" i="1"/>
  <c r="AB68" i="1" s="1"/>
  <c r="AA67" i="1"/>
  <c r="AB67" i="1" s="1"/>
  <c r="AB66" i="1"/>
  <c r="AA66" i="1"/>
  <c r="AA65" i="1"/>
  <c r="AB65" i="1" s="1"/>
  <c r="AA64" i="1"/>
  <c r="AB64" i="1" s="1"/>
  <c r="AA63" i="1"/>
  <c r="AB63" i="1" s="1"/>
  <c r="AB62" i="1"/>
  <c r="AA62" i="1"/>
  <c r="AA61" i="1"/>
  <c r="AB61" i="1" s="1"/>
  <c r="AA60" i="1"/>
  <c r="AA59" i="1"/>
  <c r="AB59" i="1" s="1"/>
  <c r="AB55" i="1"/>
  <c r="Z55" i="1"/>
  <c r="Y55" i="1"/>
  <c r="X55" i="1"/>
  <c r="W55" i="1"/>
  <c r="V55" i="1"/>
  <c r="U55" i="1"/>
  <c r="AA54" i="1"/>
  <c r="AA53" i="1"/>
  <c r="AA52" i="1"/>
  <c r="AA51" i="1"/>
  <c r="AA50" i="1"/>
  <c r="AA49" i="1"/>
  <c r="AA48" i="1"/>
  <c r="AA47" i="1"/>
  <c r="AA55" i="1" s="1"/>
  <c r="AB45" i="1"/>
  <c r="Z45" i="1"/>
  <c r="Y45" i="1"/>
  <c r="X45" i="1"/>
  <c r="W45" i="1"/>
  <c r="V45" i="1"/>
  <c r="U45" i="1"/>
  <c r="AA44" i="1"/>
  <c r="AA43" i="1"/>
  <c r="AA42" i="1"/>
  <c r="AA41" i="1"/>
  <c r="AA40" i="1"/>
  <c r="AA39" i="1"/>
  <c r="AA38" i="1"/>
  <c r="AA37" i="1"/>
  <c r="AA45" i="1" s="1"/>
  <c r="Z35" i="1"/>
  <c r="Y35" i="1"/>
  <c r="X35" i="1"/>
  <c r="W35" i="1"/>
  <c r="W200" i="1" s="1"/>
  <c r="V35" i="1"/>
  <c r="U35" i="1"/>
  <c r="AA34" i="1"/>
  <c r="AA33" i="1"/>
  <c r="AA32" i="1"/>
  <c r="AB32" i="1" s="1"/>
  <c r="AA31" i="1"/>
  <c r="AB31" i="1" s="1"/>
  <c r="AA30" i="1"/>
  <c r="AB30" i="1" s="1"/>
  <c r="AA29" i="1"/>
  <c r="AB29" i="1" s="1"/>
  <c r="AA28" i="1"/>
  <c r="AB28" i="1" s="1"/>
  <c r="AA27" i="1"/>
  <c r="Z25" i="1"/>
  <c r="Z200" i="1" s="1"/>
  <c r="Z202" i="1" s="1"/>
  <c r="Z203" i="1" s="1"/>
  <c r="Y25" i="1"/>
  <c r="Y200" i="1" s="1"/>
  <c r="Y202" i="1" s="1"/>
  <c r="Y203" i="1" s="1"/>
  <c r="X25" i="1"/>
  <c r="X200" i="1" s="1"/>
  <c r="X202" i="1" s="1"/>
  <c r="X203" i="1" s="1"/>
  <c r="W25" i="1"/>
  <c r="V25" i="1"/>
  <c r="U25" i="1"/>
  <c r="U200" i="1" s="1"/>
  <c r="AA24" i="1"/>
  <c r="AA23" i="1"/>
  <c r="AB22" i="1"/>
  <c r="AA22" i="1"/>
  <c r="AA21" i="1"/>
  <c r="AB21" i="1" s="1"/>
  <c r="AA20" i="1"/>
  <c r="AB20" i="1" s="1"/>
  <c r="AA19" i="1"/>
  <c r="AB19" i="1" s="1"/>
  <c r="AA18" i="1"/>
  <c r="AB18" i="1" s="1"/>
  <c r="AA17" i="1"/>
  <c r="AA69" i="1" l="1"/>
  <c r="V200" i="1"/>
  <c r="AA200" i="1" s="1"/>
  <c r="AA35" i="1"/>
  <c r="W201" i="1"/>
  <c r="W202" i="1"/>
  <c r="W203" i="1" s="1"/>
  <c r="U201" i="1"/>
  <c r="U202" i="1"/>
  <c r="U203" i="1" s="1"/>
  <c r="AB150" i="1"/>
  <c r="AB79" i="1"/>
  <c r="AB25" i="1"/>
  <c r="AB84" i="1"/>
  <c r="AB111" i="1"/>
  <c r="AA84" i="1"/>
  <c r="AA25" i="1"/>
  <c r="AA79" i="1"/>
  <c r="AA116" i="1"/>
  <c r="AB116" i="1" s="1"/>
  <c r="AB125" i="1"/>
  <c r="AB133" i="1" s="1"/>
  <c r="AA150" i="1"/>
  <c r="AB27" i="1"/>
  <c r="AB35" i="1" s="1"/>
  <c r="AB60" i="1"/>
  <c r="AB69" i="1" s="1"/>
  <c r="AB113" i="1"/>
  <c r="AB123" i="1" s="1"/>
  <c r="AA143" i="1"/>
  <c r="AB183" i="1"/>
  <c r="AB189" i="1" s="1"/>
  <c r="R186" i="1"/>
  <c r="S186" i="1" s="1"/>
  <c r="V201" i="1" l="1"/>
  <c r="AA201" i="1" s="1"/>
  <c r="AA202" i="1" s="1"/>
  <c r="AA123" i="1"/>
  <c r="N65" i="1"/>
  <c r="N69" i="1" s="1"/>
  <c r="M65" i="1"/>
  <c r="N77" i="1"/>
  <c r="M77" i="1"/>
  <c r="M79" i="1"/>
  <c r="N189" i="1"/>
  <c r="M189" i="1"/>
  <c r="N22" i="1"/>
  <c r="M22" i="1"/>
  <c r="N67" i="1"/>
  <c r="M67" i="1"/>
  <c r="N83" i="1"/>
  <c r="M83" i="1"/>
  <c r="N82" i="1"/>
  <c r="M82" i="1"/>
  <c r="N81" i="1"/>
  <c r="M81" i="1"/>
  <c r="N76" i="1"/>
  <c r="M76" i="1"/>
  <c r="N28" i="1"/>
  <c r="M28" i="1"/>
  <c r="N21" i="1"/>
  <c r="M21" i="1"/>
  <c r="M25" i="1" s="1"/>
  <c r="L19" i="1"/>
  <c r="L17" i="1"/>
  <c r="V202" i="1" l="1"/>
  <c r="V203" i="1" s="1"/>
  <c r="N79" i="1"/>
  <c r="M69" i="1"/>
  <c r="R65" i="1"/>
  <c r="R207" i="1"/>
  <c r="T213" i="1"/>
  <c r="P207" i="1"/>
  <c r="Q207" i="1"/>
  <c r="R85" i="5"/>
  <c r="R86" i="5"/>
  <c r="R87" i="5"/>
  <c r="R89" i="5"/>
  <c r="R90" i="5"/>
  <c r="R91" i="5"/>
  <c r="M88" i="5"/>
  <c r="N88" i="5"/>
  <c r="L88" i="5"/>
  <c r="N77" i="5"/>
  <c r="M77" i="5"/>
  <c r="L77" i="5"/>
  <c r="N66" i="5"/>
  <c r="M66" i="5"/>
  <c r="L66" i="5"/>
  <c r="N34" i="5"/>
  <c r="M34" i="5"/>
  <c r="L34" i="5"/>
  <c r="N23" i="5"/>
  <c r="M23" i="5"/>
  <c r="L23" i="5"/>
  <c r="L25" i="5" s="1"/>
  <c r="D21" i="5"/>
  <c r="L189" i="1"/>
  <c r="L35" i="1"/>
  <c r="N25" i="1"/>
  <c r="L25" i="1"/>
  <c r="E25" i="1"/>
  <c r="D25" i="1"/>
  <c r="D17" i="5" s="1"/>
  <c r="J65" i="1"/>
  <c r="J66" i="1"/>
  <c r="L17" i="5" l="1"/>
  <c r="M212" i="5"/>
  <c r="R88" i="5"/>
  <c r="O184" i="1"/>
  <c r="O185" i="1"/>
  <c r="O183" i="1" l="1"/>
  <c r="O160" i="5"/>
  <c r="O137" i="5"/>
  <c r="R125" i="5"/>
  <c r="R123" i="5"/>
  <c r="R122" i="5"/>
  <c r="R121" i="5"/>
  <c r="O124" i="5"/>
  <c r="O120" i="5"/>
  <c r="O111" i="5"/>
  <c r="O113" i="5"/>
  <c r="P185" i="1"/>
  <c r="O188" i="1"/>
  <c r="O126" i="5" l="1"/>
  <c r="R121" i="1"/>
  <c r="S121" i="1" s="1"/>
  <c r="R120" i="1"/>
  <c r="S120" i="1" s="1"/>
  <c r="R107" i="1"/>
  <c r="S107" i="1" s="1"/>
  <c r="R108" i="1"/>
  <c r="S108" i="1" s="1"/>
  <c r="R109" i="1"/>
  <c r="S109" i="1" s="1"/>
  <c r="R106" i="1"/>
  <c r="S106" i="1" s="1"/>
  <c r="R64" i="1"/>
  <c r="S65" i="1"/>
  <c r="R66" i="1"/>
  <c r="S66" i="1" s="1"/>
  <c r="R187" i="1" l="1"/>
  <c r="L69" i="1"/>
  <c r="P120" i="5" l="1"/>
  <c r="P126" i="5" s="1"/>
  <c r="P137" i="5"/>
  <c r="P111" i="1"/>
  <c r="P107" i="5" s="1"/>
  <c r="Q203" i="5" l="1"/>
  <c r="Q201" i="5"/>
  <c r="Q199" i="5"/>
  <c r="R199" i="5" s="1"/>
  <c r="Q197" i="5"/>
  <c r="Q135" i="5"/>
  <c r="Q136" i="5"/>
  <c r="Q124" i="5"/>
  <c r="R124" i="5" s="1"/>
  <c r="Q120" i="5"/>
  <c r="Q113" i="5"/>
  <c r="Q109" i="5"/>
  <c r="Q184" i="1"/>
  <c r="Q188" i="1"/>
  <c r="Q185" i="1"/>
  <c r="D216" i="1" s="1"/>
  <c r="Q183" i="1"/>
  <c r="Q189" i="1" s="1"/>
  <c r="Q196" i="5" s="1"/>
  <c r="R120" i="5" l="1"/>
  <c r="Q126" i="5"/>
  <c r="H113" i="5"/>
  <c r="H111" i="1"/>
  <c r="H111" i="5"/>
  <c r="G113" i="5"/>
  <c r="H115" i="5" l="1"/>
  <c r="H120" i="5"/>
  <c r="H124" i="5"/>
  <c r="G123" i="1"/>
  <c r="H123" i="1"/>
  <c r="H118" i="5" s="1"/>
  <c r="Q137" i="5"/>
  <c r="Q148" i="5"/>
  <c r="R127" i="1"/>
  <c r="J127" i="1"/>
  <c r="R126" i="1"/>
  <c r="J126" i="1"/>
  <c r="R125" i="1"/>
  <c r="J125" i="1"/>
  <c r="G111" i="1"/>
  <c r="R105" i="1"/>
  <c r="J105" i="1"/>
  <c r="S105" i="1" l="1"/>
  <c r="AE105" i="1" s="1"/>
  <c r="S127" i="1"/>
  <c r="S126" i="1"/>
  <c r="AE126" i="1" s="1"/>
  <c r="S125" i="1"/>
  <c r="AE125" i="1" s="1"/>
  <c r="E123" i="1"/>
  <c r="E118" i="5" s="1"/>
  <c r="D123" i="1"/>
  <c r="D118" i="5" s="1"/>
  <c r="D111" i="1"/>
  <c r="D107" i="5" s="1"/>
  <c r="D79" i="1"/>
  <c r="D73" i="5" s="1"/>
  <c r="D69" i="1"/>
  <c r="D62" i="5" s="1"/>
  <c r="H69" i="1"/>
  <c r="H62" i="5" s="1"/>
  <c r="H35" i="1"/>
  <c r="H28" i="5" s="1"/>
  <c r="H25" i="1"/>
  <c r="H17" i="5" s="1"/>
  <c r="AE26" i="1"/>
  <c r="AE36" i="1"/>
  <c r="AE46" i="1"/>
  <c r="AE56" i="1"/>
  <c r="AE57" i="1"/>
  <c r="AE58" i="1"/>
  <c r="AE70" i="1"/>
  <c r="AE80" i="1"/>
  <c r="AE85" i="1"/>
  <c r="AE95" i="1"/>
  <c r="AE96" i="1"/>
  <c r="AE97" i="1"/>
  <c r="AE112" i="1"/>
  <c r="AE134" i="1"/>
  <c r="AE144" i="1"/>
  <c r="AE145" i="1"/>
  <c r="AE146" i="1"/>
  <c r="AE151" i="1"/>
  <c r="AE161" i="1"/>
  <c r="AE171" i="1"/>
  <c r="AE181" i="1"/>
  <c r="AE182" i="1"/>
  <c r="L197" i="5"/>
  <c r="L209" i="5" s="1"/>
  <c r="L201" i="5"/>
  <c r="L213" i="5" s="1"/>
  <c r="L12" i="4" s="1"/>
  <c r="L203" i="5"/>
  <c r="L215" i="5" s="1"/>
  <c r="M197" i="5"/>
  <c r="M201" i="5"/>
  <c r="M203" i="5"/>
  <c r="N197" i="5"/>
  <c r="N201" i="5"/>
  <c r="N213" i="5" s="1"/>
  <c r="N12" i="4" s="1"/>
  <c r="N203" i="5"/>
  <c r="N215" i="5" s="1"/>
  <c r="N14" i="4" s="1"/>
  <c r="O197" i="5"/>
  <c r="O209" i="5" s="1"/>
  <c r="O8" i="4" s="1"/>
  <c r="O201" i="5"/>
  <c r="O213" i="5" s="1"/>
  <c r="P197" i="5"/>
  <c r="P209" i="5" s="1"/>
  <c r="P8" i="4" s="1"/>
  <c r="P201" i="5"/>
  <c r="P213" i="5" s="1"/>
  <c r="P12" i="4" s="1"/>
  <c r="P203" i="5"/>
  <c r="Q204" i="5"/>
  <c r="L208" i="5"/>
  <c r="M208" i="5"/>
  <c r="N208" i="5"/>
  <c r="O208" i="5"/>
  <c r="P208" i="5"/>
  <c r="R59" i="1"/>
  <c r="R61" i="1"/>
  <c r="M62" i="5"/>
  <c r="N62" i="5"/>
  <c r="O69" i="1"/>
  <c r="O62" i="5" s="1"/>
  <c r="P69" i="1"/>
  <c r="O70" i="5"/>
  <c r="P68" i="5"/>
  <c r="P70" i="5" s="1"/>
  <c r="Q70" i="5"/>
  <c r="L81" i="5"/>
  <c r="N81" i="5"/>
  <c r="O81" i="5"/>
  <c r="P79" i="5"/>
  <c r="Q81" i="5"/>
  <c r="L111" i="1"/>
  <c r="L107" i="5" s="1"/>
  <c r="M111" i="1"/>
  <c r="M107" i="5" s="1"/>
  <c r="N111" i="1"/>
  <c r="N107" i="5" s="1"/>
  <c r="O111" i="1"/>
  <c r="O107" i="5" s="1"/>
  <c r="L115" i="5"/>
  <c r="M115" i="5"/>
  <c r="N115" i="5"/>
  <c r="O212" i="5"/>
  <c r="O11" i="4" s="1"/>
  <c r="Q115" i="5"/>
  <c r="L123" i="1"/>
  <c r="L118" i="5" s="1"/>
  <c r="M123" i="1"/>
  <c r="M118" i="5" s="1"/>
  <c r="N123" i="1"/>
  <c r="N118" i="5" s="1"/>
  <c r="O123" i="1"/>
  <c r="O118" i="5" s="1"/>
  <c r="P123" i="1"/>
  <c r="P118" i="5" s="1"/>
  <c r="L126" i="5"/>
  <c r="M126" i="5"/>
  <c r="N126" i="5"/>
  <c r="L133" i="1"/>
  <c r="L129" i="5" s="1"/>
  <c r="M133" i="1"/>
  <c r="M129" i="5" s="1"/>
  <c r="N133" i="1"/>
  <c r="N129" i="5" s="1"/>
  <c r="O133" i="1"/>
  <c r="O129" i="5" s="1"/>
  <c r="P133" i="1"/>
  <c r="P129" i="5" s="1"/>
  <c r="L137" i="5"/>
  <c r="M137" i="5"/>
  <c r="N137" i="5"/>
  <c r="R131" i="5"/>
  <c r="L143" i="1"/>
  <c r="L140" i="5" s="1"/>
  <c r="M143" i="1"/>
  <c r="M140" i="5" s="1"/>
  <c r="N143" i="1"/>
  <c r="N140" i="5" s="1"/>
  <c r="O143" i="1"/>
  <c r="O140" i="5" s="1"/>
  <c r="P143" i="1"/>
  <c r="P140" i="5" s="1"/>
  <c r="L148" i="5"/>
  <c r="M148" i="5"/>
  <c r="N148" i="5"/>
  <c r="O148" i="5"/>
  <c r="P148" i="5"/>
  <c r="L41" i="5"/>
  <c r="L210" i="5" s="1"/>
  <c r="L9" i="4" s="1"/>
  <c r="M41" i="5"/>
  <c r="M210" i="5" s="1"/>
  <c r="N41" i="5"/>
  <c r="N210" i="5" s="1"/>
  <c r="N9" i="4" s="1"/>
  <c r="Q210" i="5"/>
  <c r="Q9" i="4" s="1"/>
  <c r="L211" i="5"/>
  <c r="L10" i="4" s="1"/>
  <c r="M211" i="5"/>
  <c r="M10" i="4" s="1"/>
  <c r="N211" i="5"/>
  <c r="O211" i="5"/>
  <c r="O10" i="4" s="1"/>
  <c r="P211" i="5"/>
  <c r="P10" i="4" s="1"/>
  <c r="Q211" i="5"/>
  <c r="Q10" i="4" s="1"/>
  <c r="Q212" i="5"/>
  <c r="Q11" i="4" s="1"/>
  <c r="Q213" i="5"/>
  <c r="Q12" i="4" s="1"/>
  <c r="M25" i="5"/>
  <c r="N36" i="5"/>
  <c r="N25" i="5"/>
  <c r="P34" i="5"/>
  <c r="P36" i="5" s="1"/>
  <c r="P23" i="5"/>
  <c r="P25" i="5" s="1"/>
  <c r="Q214" i="5"/>
  <c r="Q13" i="4" s="1"/>
  <c r="Q215" i="5"/>
  <c r="Q14" i="4" s="1"/>
  <c r="Q209" i="5"/>
  <c r="Q8" i="4" s="1"/>
  <c r="I25" i="1"/>
  <c r="I17" i="5" s="1"/>
  <c r="I35" i="1"/>
  <c r="I28" i="5" s="1"/>
  <c r="I45" i="1"/>
  <c r="I39" i="5" s="1"/>
  <c r="I55" i="1"/>
  <c r="I50" i="5" s="1"/>
  <c r="I69" i="1"/>
  <c r="I79" i="1"/>
  <c r="I84" i="1"/>
  <c r="I84" i="5" s="1"/>
  <c r="I94" i="1"/>
  <c r="I95" i="5" s="1"/>
  <c r="I111" i="1"/>
  <c r="I107" i="5" s="1"/>
  <c r="I123" i="1"/>
  <c r="I118" i="5" s="1"/>
  <c r="I124" i="5"/>
  <c r="I133" i="1"/>
  <c r="I129" i="5" s="1"/>
  <c r="I143" i="1"/>
  <c r="I150" i="1"/>
  <c r="I160" i="1"/>
  <c r="I163" i="5" s="1"/>
  <c r="I170" i="1"/>
  <c r="I174" i="5" s="1"/>
  <c r="I180" i="1"/>
  <c r="I185" i="5" s="1"/>
  <c r="I35" i="9"/>
  <c r="I36" i="9"/>
  <c r="I37" i="9"/>
  <c r="I61" i="9"/>
  <c r="I62" i="9"/>
  <c r="I67" i="9"/>
  <c r="I68" i="9"/>
  <c r="I69" i="9"/>
  <c r="I70" i="9"/>
  <c r="I71" i="9"/>
  <c r="I72" i="9"/>
  <c r="I73" i="9"/>
  <c r="G15" i="9"/>
  <c r="G17" i="9"/>
  <c r="I17" i="9" s="1"/>
  <c r="I48" i="9"/>
  <c r="I49" i="9"/>
  <c r="H63" i="9"/>
  <c r="I63" i="9" s="1"/>
  <c r="H45" i="1"/>
  <c r="H39" i="5" s="1"/>
  <c r="H55" i="1"/>
  <c r="H50" i="5" s="1"/>
  <c r="H79" i="1"/>
  <c r="H73" i="5" s="1"/>
  <c r="H84" i="1"/>
  <c r="H94" i="1"/>
  <c r="H95" i="5" s="1"/>
  <c r="H133" i="1"/>
  <c r="H136" i="5" s="1"/>
  <c r="H137" i="5" s="1"/>
  <c r="H143" i="1"/>
  <c r="H150" i="1"/>
  <c r="H152" i="5" s="1"/>
  <c r="H160" i="1"/>
  <c r="H163" i="5" s="1"/>
  <c r="H170" i="1"/>
  <c r="H174" i="5" s="1"/>
  <c r="H180" i="1"/>
  <c r="F25" i="1"/>
  <c r="F17" i="5" s="1"/>
  <c r="F35" i="1"/>
  <c r="F28" i="5" s="1"/>
  <c r="F45" i="1"/>
  <c r="F39" i="5" s="1"/>
  <c r="F55" i="1"/>
  <c r="F50" i="5" s="1"/>
  <c r="F69" i="1"/>
  <c r="F62" i="5" s="1"/>
  <c r="F79" i="1"/>
  <c r="F73" i="5" s="1"/>
  <c r="F84" i="1"/>
  <c r="F94" i="1"/>
  <c r="F95" i="5" s="1"/>
  <c r="F111" i="1"/>
  <c r="F107" i="5" s="1"/>
  <c r="F123" i="1"/>
  <c r="F118" i="5" s="1"/>
  <c r="F133" i="1"/>
  <c r="F129" i="5" s="1"/>
  <c r="F143" i="1"/>
  <c r="F140" i="5" s="1"/>
  <c r="F150" i="1"/>
  <c r="F152" i="5" s="1"/>
  <c r="F160" i="1"/>
  <c r="F163" i="5" s="1"/>
  <c r="F170" i="1"/>
  <c r="F174" i="5" s="1"/>
  <c r="F180" i="1"/>
  <c r="E17" i="5"/>
  <c r="E35" i="1"/>
  <c r="E28" i="5" s="1"/>
  <c r="E45" i="1"/>
  <c r="E39" i="5" s="1"/>
  <c r="E55" i="1"/>
  <c r="E50" i="5" s="1"/>
  <c r="E69" i="1"/>
  <c r="E62" i="5" s="1"/>
  <c r="E79" i="1"/>
  <c r="E73" i="5" s="1"/>
  <c r="E84" i="1"/>
  <c r="E84" i="5" s="1"/>
  <c r="E94" i="1"/>
  <c r="E95" i="5" s="1"/>
  <c r="E111" i="1"/>
  <c r="E133" i="1"/>
  <c r="E129" i="5" s="1"/>
  <c r="E143" i="1"/>
  <c r="E140" i="5" s="1"/>
  <c r="E150" i="1"/>
  <c r="E152" i="5" s="1"/>
  <c r="E160" i="1"/>
  <c r="E163" i="5" s="1"/>
  <c r="E170" i="1"/>
  <c r="E174" i="5" s="1"/>
  <c r="E180" i="1"/>
  <c r="D35" i="1"/>
  <c r="D28" i="5" s="1"/>
  <c r="D45" i="1"/>
  <c r="D39" i="5" s="1"/>
  <c r="D55" i="1"/>
  <c r="D50" i="5" s="1"/>
  <c r="D84" i="1"/>
  <c r="D84" i="5" s="1"/>
  <c r="D94" i="1"/>
  <c r="D95" i="5" s="1"/>
  <c r="D133" i="1"/>
  <c r="D129" i="5" s="1"/>
  <c r="D143" i="1"/>
  <c r="D140" i="5" s="1"/>
  <c r="D150" i="1"/>
  <c r="D152" i="5" s="1"/>
  <c r="D160" i="1"/>
  <c r="D170" i="1"/>
  <c r="D174" i="5" s="1"/>
  <c r="D180" i="1"/>
  <c r="D185" i="5" s="1"/>
  <c r="Q193" i="5"/>
  <c r="Q182" i="5"/>
  <c r="Q171" i="5"/>
  <c r="Q160" i="5"/>
  <c r="Q92" i="5"/>
  <c r="Q58" i="5"/>
  <c r="Q47" i="5"/>
  <c r="Q36" i="5"/>
  <c r="Q25" i="5"/>
  <c r="R102" i="1"/>
  <c r="O47" i="5"/>
  <c r="P47" i="5"/>
  <c r="L45" i="1"/>
  <c r="M45" i="1"/>
  <c r="M39" i="5" s="1"/>
  <c r="N45" i="1"/>
  <c r="N39" i="5" s="1"/>
  <c r="O45" i="1"/>
  <c r="O39" i="5" s="1"/>
  <c r="P45" i="1"/>
  <c r="P39" i="5" s="1"/>
  <c r="O36" i="5"/>
  <c r="D30" i="5"/>
  <c r="R22" i="5"/>
  <c r="R19" i="5"/>
  <c r="R20" i="5"/>
  <c r="R24" i="5"/>
  <c r="R18" i="5"/>
  <c r="O25" i="1"/>
  <c r="P25" i="1"/>
  <c r="O25" i="5"/>
  <c r="R104" i="1"/>
  <c r="R103" i="1"/>
  <c r="R101" i="1"/>
  <c r="R100" i="1"/>
  <c r="R99" i="1"/>
  <c r="R98" i="1"/>
  <c r="Q111" i="1"/>
  <c r="L193" i="5"/>
  <c r="L180" i="1"/>
  <c r="L185" i="5" s="1"/>
  <c r="L182" i="5"/>
  <c r="L170" i="1"/>
  <c r="L174" i="5" s="1"/>
  <c r="L171" i="5"/>
  <c r="L160" i="1"/>
  <c r="L163" i="5" s="1"/>
  <c r="L160" i="5"/>
  <c r="L150" i="1"/>
  <c r="L152" i="5" s="1"/>
  <c r="L103" i="5"/>
  <c r="L94" i="1"/>
  <c r="L95" i="5" s="1"/>
  <c r="L92" i="5"/>
  <c r="L84" i="1"/>
  <c r="L84" i="5" s="1"/>
  <c r="L58" i="5"/>
  <c r="L55" i="1"/>
  <c r="L50" i="5" s="1"/>
  <c r="L14" i="5"/>
  <c r="R21" i="5"/>
  <c r="E21" i="5"/>
  <c r="D23" i="5"/>
  <c r="R202" i="5"/>
  <c r="R200" i="5"/>
  <c r="R198" i="5"/>
  <c r="P193" i="5"/>
  <c r="O193" i="5"/>
  <c r="N193" i="5"/>
  <c r="M193" i="5"/>
  <c r="R192" i="5"/>
  <c r="R191" i="5"/>
  <c r="R190" i="5"/>
  <c r="R189" i="5"/>
  <c r="R188" i="5"/>
  <c r="R187" i="5"/>
  <c r="R186" i="5"/>
  <c r="P180" i="1"/>
  <c r="P185" i="5" s="1"/>
  <c r="O180" i="1"/>
  <c r="O185" i="5" s="1"/>
  <c r="N180" i="1"/>
  <c r="N185" i="5" s="1"/>
  <c r="M180" i="1"/>
  <c r="M185" i="5" s="1"/>
  <c r="P182" i="5"/>
  <c r="O182" i="5"/>
  <c r="N182" i="5"/>
  <c r="M182" i="5"/>
  <c r="R181" i="5"/>
  <c r="R180" i="5"/>
  <c r="R179" i="5"/>
  <c r="R178" i="5"/>
  <c r="R177" i="5"/>
  <c r="R176" i="5"/>
  <c r="R175" i="5"/>
  <c r="P170" i="1"/>
  <c r="P174" i="5" s="1"/>
  <c r="O170" i="1"/>
  <c r="O174" i="5" s="1"/>
  <c r="N170" i="1"/>
  <c r="N174" i="5" s="1"/>
  <c r="M170" i="1"/>
  <c r="M174" i="5" s="1"/>
  <c r="P171" i="5"/>
  <c r="O171" i="5"/>
  <c r="N171" i="5"/>
  <c r="M171" i="5"/>
  <c r="R170" i="5"/>
  <c r="R169" i="5"/>
  <c r="R168" i="5"/>
  <c r="R167" i="5"/>
  <c r="R166" i="5"/>
  <c r="R165" i="5"/>
  <c r="R164" i="5"/>
  <c r="P160" i="1"/>
  <c r="P163" i="5" s="1"/>
  <c r="O160" i="1"/>
  <c r="O163" i="5" s="1"/>
  <c r="N160" i="1"/>
  <c r="N163" i="5" s="1"/>
  <c r="M160" i="1"/>
  <c r="M163" i="5" s="1"/>
  <c r="P160" i="5"/>
  <c r="N160" i="5"/>
  <c r="M160" i="5"/>
  <c r="R159" i="5"/>
  <c r="R158" i="5"/>
  <c r="R157" i="5"/>
  <c r="R156" i="5"/>
  <c r="R155" i="5"/>
  <c r="R154" i="5"/>
  <c r="R153" i="5"/>
  <c r="P150" i="1"/>
  <c r="P152" i="5" s="1"/>
  <c r="O150" i="1"/>
  <c r="N150" i="1"/>
  <c r="N152" i="5" s="1"/>
  <c r="M150" i="1"/>
  <c r="M152" i="5" s="1"/>
  <c r="R146" i="5"/>
  <c r="R145" i="5"/>
  <c r="R144" i="5"/>
  <c r="R143" i="5"/>
  <c r="R142" i="5"/>
  <c r="R141" i="5"/>
  <c r="R135" i="5"/>
  <c r="R134" i="5"/>
  <c r="R133" i="5"/>
  <c r="R132" i="5"/>
  <c r="R130" i="5"/>
  <c r="R119" i="5"/>
  <c r="R114" i="5"/>
  <c r="R112" i="5"/>
  <c r="R110" i="5"/>
  <c r="R109" i="5"/>
  <c r="R108" i="5"/>
  <c r="O103" i="5"/>
  <c r="N103" i="5"/>
  <c r="M103" i="5"/>
  <c r="R102" i="5"/>
  <c r="R101" i="5"/>
  <c r="R100" i="5"/>
  <c r="R99" i="5"/>
  <c r="R98" i="5"/>
  <c r="R97" i="5"/>
  <c r="R96" i="5"/>
  <c r="P94" i="1"/>
  <c r="P95" i="5" s="1"/>
  <c r="O94" i="1"/>
  <c r="O95" i="5" s="1"/>
  <c r="N94" i="1"/>
  <c r="N95" i="5" s="1"/>
  <c r="M94" i="1"/>
  <c r="M95" i="5" s="1"/>
  <c r="P92" i="5"/>
  <c r="O92" i="5"/>
  <c r="N92" i="5"/>
  <c r="M92" i="5"/>
  <c r="P84" i="1"/>
  <c r="P84" i="5" s="1"/>
  <c r="O84" i="1"/>
  <c r="O84" i="5" s="1"/>
  <c r="N84" i="1"/>
  <c r="N84" i="5" s="1"/>
  <c r="M84" i="1"/>
  <c r="M84" i="5" s="1"/>
  <c r="R80" i="5"/>
  <c r="R78" i="5"/>
  <c r="R76" i="5"/>
  <c r="R74" i="5"/>
  <c r="O79" i="1"/>
  <c r="O73" i="5" s="1"/>
  <c r="R69" i="5"/>
  <c r="R67" i="5"/>
  <c r="R65" i="5"/>
  <c r="R63" i="5"/>
  <c r="P58" i="5"/>
  <c r="O58" i="5"/>
  <c r="N58" i="5"/>
  <c r="M58" i="5"/>
  <c r="R57" i="5"/>
  <c r="R56" i="5"/>
  <c r="R55" i="5"/>
  <c r="R54" i="5"/>
  <c r="R53" i="5"/>
  <c r="R52" i="5"/>
  <c r="R51" i="5"/>
  <c r="P55" i="1"/>
  <c r="P50" i="5" s="1"/>
  <c r="O55" i="1"/>
  <c r="O50" i="5" s="1"/>
  <c r="N55" i="1"/>
  <c r="N50" i="5" s="1"/>
  <c r="M55" i="1"/>
  <c r="M50" i="5" s="1"/>
  <c r="R46" i="5"/>
  <c r="R45" i="5"/>
  <c r="R44" i="5"/>
  <c r="R43" i="5"/>
  <c r="R42" i="5"/>
  <c r="R40" i="5"/>
  <c r="R35" i="5"/>
  <c r="R33" i="5"/>
  <c r="R31" i="5"/>
  <c r="R29" i="5"/>
  <c r="O35" i="1"/>
  <c r="O28" i="5" s="1"/>
  <c r="P14" i="5"/>
  <c r="O14" i="5"/>
  <c r="N14" i="5"/>
  <c r="M14" i="5"/>
  <c r="R172" i="1"/>
  <c r="R173" i="1"/>
  <c r="R174" i="1"/>
  <c r="R175" i="1"/>
  <c r="R176" i="1"/>
  <c r="R177" i="1"/>
  <c r="R178" i="1"/>
  <c r="R179" i="1"/>
  <c r="R162" i="1"/>
  <c r="R163" i="1"/>
  <c r="R164" i="1"/>
  <c r="R165" i="1"/>
  <c r="R166" i="1"/>
  <c r="R167" i="1"/>
  <c r="R168" i="1"/>
  <c r="R169" i="1"/>
  <c r="R152" i="1"/>
  <c r="R153" i="1"/>
  <c r="R154" i="1"/>
  <c r="R155" i="1"/>
  <c r="R156" i="1"/>
  <c r="R157" i="1"/>
  <c r="R158" i="1"/>
  <c r="R159" i="1"/>
  <c r="R147" i="1"/>
  <c r="R148" i="1"/>
  <c r="R149" i="1"/>
  <c r="R86" i="1"/>
  <c r="R87" i="1"/>
  <c r="R88" i="1"/>
  <c r="R89" i="1"/>
  <c r="R90" i="1"/>
  <c r="R91" i="1"/>
  <c r="R92" i="1"/>
  <c r="R93" i="1"/>
  <c r="R81" i="1"/>
  <c r="R82" i="1"/>
  <c r="R83" i="1"/>
  <c r="R47" i="1"/>
  <c r="R48" i="1"/>
  <c r="R49" i="1"/>
  <c r="R50" i="1"/>
  <c r="R51" i="1"/>
  <c r="R52" i="1"/>
  <c r="R53" i="1"/>
  <c r="R54" i="1"/>
  <c r="R37" i="1"/>
  <c r="R38" i="1"/>
  <c r="R39" i="1"/>
  <c r="R40" i="1"/>
  <c r="R41" i="1"/>
  <c r="R42" i="1"/>
  <c r="R43" i="1"/>
  <c r="R44" i="1"/>
  <c r="J172" i="1"/>
  <c r="J173" i="1"/>
  <c r="J174" i="1"/>
  <c r="J175" i="1"/>
  <c r="J176" i="1"/>
  <c r="J177" i="1"/>
  <c r="J178" i="1"/>
  <c r="J179" i="1"/>
  <c r="J162" i="1"/>
  <c r="J163" i="1"/>
  <c r="J164" i="1"/>
  <c r="J165" i="1"/>
  <c r="J166" i="1"/>
  <c r="J167" i="1"/>
  <c r="J168" i="1"/>
  <c r="J169" i="1"/>
  <c r="J152" i="1"/>
  <c r="J153" i="1"/>
  <c r="J154" i="1"/>
  <c r="J155" i="1"/>
  <c r="J156" i="1"/>
  <c r="J157" i="1"/>
  <c r="J158" i="1"/>
  <c r="J159" i="1"/>
  <c r="J147" i="1"/>
  <c r="J148" i="1"/>
  <c r="J149" i="1"/>
  <c r="J129" i="1"/>
  <c r="J130" i="1"/>
  <c r="J131" i="1"/>
  <c r="J132" i="1"/>
  <c r="J86" i="1"/>
  <c r="J87" i="1"/>
  <c r="J88" i="1"/>
  <c r="J89" i="1"/>
  <c r="J90" i="1"/>
  <c r="J91" i="1"/>
  <c r="J92" i="1"/>
  <c r="J93" i="1"/>
  <c r="J81" i="1"/>
  <c r="J82" i="1"/>
  <c r="J83" i="1"/>
  <c r="J71" i="1"/>
  <c r="J72" i="1"/>
  <c r="J73" i="1"/>
  <c r="J74" i="1"/>
  <c r="J75" i="1"/>
  <c r="J76" i="1"/>
  <c r="J77" i="1"/>
  <c r="J78" i="1"/>
  <c r="J59" i="1"/>
  <c r="J60" i="1"/>
  <c r="J61" i="1"/>
  <c r="J62" i="1"/>
  <c r="J63" i="1"/>
  <c r="J64" i="1"/>
  <c r="J67" i="1"/>
  <c r="J68" i="1"/>
  <c r="J47" i="1"/>
  <c r="J48" i="1"/>
  <c r="J49" i="1"/>
  <c r="J50" i="1"/>
  <c r="J51" i="1"/>
  <c r="J52" i="1"/>
  <c r="J53" i="1"/>
  <c r="J54" i="1"/>
  <c r="J37" i="1"/>
  <c r="J38" i="1"/>
  <c r="J39" i="1"/>
  <c r="J40" i="1"/>
  <c r="J41" i="1"/>
  <c r="J42" i="1"/>
  <c r="J43" i="1"/>
  <c r="J44" i="1"/>
  <c r="S44" i="1" s="1"/>
  <c r="AE44" i="1" s="1"/>
  <c r="J27" i="1"/>
  <c r="J28" i="1"/>
  <c r="J29" i="1"/>
  <c r="J30" i="1"/>
  <c r="J31" i="1"/>
  <c r="J32" i="1"/>
  <c r="J33" i="1"/>
  <c r="J34" i="1"/>
  <c r="R32" i="5"/>
  <c r="R64" i="5"/>
  <c r="R75" i="5"/>
  <c r="R30" i="5"/>
  <c r="R136" i="5"/>
  <c r="R184" i="1"/>
  <c r="R185" i="1"/>
  <c r="R188" i="1"/>
  <c r="R183" i="1"/>
  <c r="M196" i="5"/>
  <c r="N196" i="5"/>
  <c r="O189" i="1"/>
  <c r="O196" i="5" s="1"/>
  <c r="P189" i="1"/>
  <c r="P196" i="5" s="1"/>
  <c r="L196" i="5"/>
  <c r="Q180" i="1"/>
  <c r="Q170" i="1"/>
  <c r="Q160" i="1"/>
  <c r="Q150" i="1"/>
  <c r="Q152" i="5" s="1"/>
  <c r="Q143" i="1"/>
  <c r="Q140" i="5" s="1"/>
  <c r="R136" i="1"/>
  <c r="R137" i="1"/>
  <c r="R138" i="1"/>
  <c r="R139" i="1"/>
  <c r="R140" i="1"/>
  <c r="R141" i="1"/>
  <c r="R142" i="1"/>
  <c r="R135" i="1"/>
  <c r="R128" i="1"/>
  <c r="S128" i="1" s="1"/>
  <c r="AE128" i="1" s="1"/>
  <c r="R129" i="1"/>
  <c r="R130" i="1"/>
  <c r="R131" i="1"/>
  <c r="R132" i="1"/>
  <c r="R114" i="1"/>
  <c r="R115" i="1"/>
  <c r="R116" i="1"/>
  <c r="R117" i="1"/>
  <c r="R118" i="1"/>
  <c r="R119" i="1"/>
  <c r="R122" i="1"/>
  <c r="R113" i="1"/>
  <c r="Q133" i="1"/>
  <c r="Q129" i="5" s="1"/>
  <c r="Q123" i="1"/>
  <c r="Q118" i="5" s="1"/>
  <c r="Q94" i="1"/>
  <c r="Q84" i="1"/>
  <c r="R72" i="1"/>
  <c r="R73" i="1"/>
  <c r="R74" i="1"/>
  <c r="R75" i="1"/>
  <c r="R76" i="1"/>
  <c r="R77" i="1"/>
  <c r="R78" i="1"/>
  <c r="R71" i="1"/>
  <c r="M73" i="5"/>
  <c r="N73" i="5"/>
  <c r="P79" i="1"/>
  <c r="P73" i="5" s="1"/>
  <c r="Q79" i="1"/>
  <c r="L79" i="1"/>
  <c r="R67" i="1"/>
  <c r="R68" i="1"/>
  <c r="R60" i="1"/>
  <c r="R62" i="1"/>
  <c r="R63" i="1"/>
  <c r="Q69" i="1"/>
  <c r="Q55" i="1"/>
  <c r="Q45" i="1"/>
  <c r="M17" i="5"/>
  <c r="N17" i="5"/>
  <c r="Q25" i="1"/>
  <c r="M35" i="1"/>
  <c r="N35" i="1"/>
  <c r="P35" i="1"/>
  <c r="P28" i="5" s="1"/>
  <c r="Q35" i="1"/>
  <c r="R29" i="1"/>
  <c r="R30" i="1"/>
  <c r="R31" i="1"/>
  <c r="R32" i="1"/>
  <c r="R33" i="1"/>
  <c r="R34" i="1"/>
  <c r="R27" i="1"/>
  <c r="R18" i="1"/>
  <c r="R19" i="1"/>
  <c r="R20" i="1"/>
  <c r="R21" i="1"/>
  <c r="R22" i="1"/>
  <c r="R23" i="1"/>
  <c r="R24" i="1"/>
  <c r="N199" i="1"/>
  <c r="M199" i="1"/>
  <c r="L199" i="1"/>
  <c r="K211" i="1"/>
  <c r="G148" i="5"/>
  <c r="G189" i="1"/>
  <c r="G196" i="5" s="1"/>
  <c r="G118" i="5"/>
  <c r="G143" i="1"/>
  <c r="G120" i="5"/>
  <c r="G124" i="5"/>
  <c r="G111" i="5"/>
  <c r="G212" i="5" s="1"/>
  <c r="F11" i="4" s="1"/>
  <c r="J119" i="1"/>
  <c r="J118" i="1"/>
  <c r="J117" i="1"/>
  <c r="F189" i="1"/>
  <c r="H80" i="11"/>
  <c r="H210" i="5"/>
  <c r="G9" i="4" s="1"/>
  <c r="H79" i="5"/>
  <c r="H81" i="5" s="1"/>
  <c r="H68" i="5"/>
  <c r="J68" i="5" s="1"/>
  <c r="H34" i="5"/>
  <c r="J34" i="5" s="1"/>
  <c r="H23" i="5"/>
  <c r="H25" i="5" s="1"/>
  <c r="G203" i="5"/>
  <c r="H203" i="5"/>
  <c r="G201" i="5"/>
  <c r="G213" i="5" s="1"/>
  <c r="F12" i="4" s="1"/>
  <c r="G197" i="5"/>
  <c r="G209" i="5" s="1"/>
  <c r="F8" i="4" s="1"/>
  <c r="H201" i="5"/>
  <c r="H213" i="5" s="1"/>
  <c r="G12" i="4" s="1"/>
  <c r="H197" i="5"/>
  <c r="I212" i="5"/>
  <c r="H11" i="4" s="1"/>
  <c r="J114" i="1"/>
  <c r="J115" i="1"/>
  <c r="J122" i="1"/>
  <c r="J113" i="1"/>
  <c r="J104" i="1"/>
  <c r="D90" i="11"/>
  <c r="G90" i="11" s="1"/>
  <c r="G89" i="11" s="1"/>
  <c r="H89" i="11"/>
  <c r="E88" i="11"/>
  <c r="G88" i="11" s="1"/>
  <c r="G86" i="11"/>
  <c r="G85" i="11"/>
  <c r="H84" i="11"/>
  <c r="G83" i="11"/>
  <c r="G82" i="11"/>
  <c r="G81" i="11"/>
  <c r="G79" i="11"/>
  <c r="G78" i="11"/>
  <c r="G77" i="11"/>
  <c r="G76" i="11"/>
  <c r="G75" i="11"/>
  <c r="G74" i="11"/>
  <c r="G73" i="11"/>
  <c r="H72" i="11"/>
  <c r="G71" i="11"/>
  <c r="G70" i="11"/>
  <c r="E69" i="11"/>
  <c r="G69" i="11" s="1"/>
  <c r="H68" i="11"/>
  <c r="G68" i="11"/>
  <c r="H67" i="11"/>
  <c r="G67" i="11"/>
  <c r="H66" i="11"/>
  <c r="G66" i="11"/>
  <c r="H64" i="11"/>
  <c r="H62" i="11" s="1"/>
  <c r="G64" i="11"/>
  <c r="G62" i="11" s="1"/>
  <c r="G60" i="11"/>
  <c r="G59" i="11"/>
  <c r="G58" i="11"/>
  <c r="G57" i="11"/>
  <c r="G56" i="11"/>
  <c r="G55" i="11"/>
  <c r="G54" i="11"/>
  <c r="H52" i="11"/>
  <c r="G49" i="11"/>
  <c r="G48" i="11"/>
  <c r="E47" i="11"/>
  <c r="G47" i="11" s="1"/>
  <c r="G46" i="11"/>
  <c r="G45" i="11"/>
  <c r="H44" i="11"/>
  <c r="E43" i="11"/>
  <c r="G43" i="11" s="1"/>
  <c r="G42" i="11"/>
  <c r="G41" i="11"/>
  <c r="G40" i="11"/>
  <c r="G39" i="11"/>
  <c r="F38" i="11"/>
  <c r="G38" i="11" s="1"/>
  <c r="H37" i="11"/>
  <c r="F37" i="11"/>
  <c r="G37" i="11" s="1"/>
  <c r="F36" i="11"/>
  <c r="G36" i="11" s="1"/>
  <c r="H35" i="11"/>
  <c r="F35" i="11"/>
  <c r="G35" i="11" s="1"/>
  <c r="G34" i="11"/>
  <c r="H33" i="11"/>
  <c r="G33" i="11"/>
  <c r="H32" i="11"/>
  <c r="G32" i="11"/>
  <c r="G31" i="11"/>
  <c r="G30" i="11"/>
  <c r="G29" i="11"/>
  <c r="G28" i="11"/>
  <c r="G27" i="11"/>
  <c r="H26" i="11"/>
  <c r="G26" i="11"/>
  <c r="G25" i="11"/>
  <c r="G24" i="11"/>
  <c r="G23" i="11"/>
  <c r="G22" i="11"/>
  <c r="G21" i="11"/>
  <c r="H20" i="11"/>
  <c r="G20" i="11"/>
  <c r="H19" i="11"/>
  <c r="G19" i="11"/>
  <c r="G14" i="11"/>
  <c r="G13" i="11"/>
  <c r="G49" i="10"/>
  <c r="G45" i="10"/>
  <c r="G44" i="10"/>
  <c r="G43" i="10"/>
  <c r="G41" i="10"/>
  <c r="D39" i="10"/>
  <c r="G39" i="10" s="1"/>
  <c r="G38" i="10"/>
  <c r="G37" i="10"/>
  <c r="G36" i="10"/>
  <c r="G35" i="10"/>
  <c r="G33" i="10"/>
  <c r="G32" i="10"/>
  <c r="G31" i="10" s="1"/>
  <c r="D30" i="10"/>
  <c r="G30" i="10" s="1"/>
  <c r="G29" i="10"/>
  <c r="G28" i="10"/>
  <c r="G26" i="10"/>
  <c r="G24" i="10" s="1"/>
  <c r="D23" i="10"/>
  <c r="G23" i="10" s="1"/>
  <c r="G22" i="10"/>
  <c r="G21" i="10"/>
  <c r="G20" i="10"/>
  <c r="E18" i="10"/>
  <c r="G18" i="10" s="1"/>
  <c r="E17" i="10"/>
  <c r="G16" i="10"/>
  <c r="G15" i="10"/>
  <c r="G14" i="10"/>
  <c r="G13" i="10"/>
  <c r="G12" i="10"/>
  <c r="E10" i="10"/>
  <c r="G9" i="10"/>
  <c r="I64" i="9"/>
  <c r="I58" i="9"/>
  <c r="I59" i="9" s="1"/>
  <c r="I55" i="9"/>
  <c r="I54" i="9"/>
  <c r="H53" i="9"/>
  <c r="I53" i="9" s="1"/>
  <c r="H52" i="9"/>
  <c r="I52" i="9"/>
  <c r="I45" i="9"/>
  <c r="H44" i="9"/>
  <c r="I44" i="9" s="1"/>
  <c r="H43" i="9"/>
  <c r="I43" i="9" s="1"/>
  <c r="H42" i="9"/>
  <c r="I42" i="9" s="1"/>
  <c r="H41" i="9"/>
  <c r="I41" i="9" s="1"/>
  <c r="I40" i="9"/>
  <c r="I27" i="9"/>
  <c r="I26" i="9"/>
  <c r="H25" i="9"/>
  <c r="I25" i="9" s="1"/>
  <c r="I24" i="9"/>
  <c r="I23" i="9"/>
  <c r="I22" i="9"/>
  <c r="I21" i="9"/>
  <c r="I20" i="9"/>
  <c r="I16" i="9"/>
  <c r="I14" i="9"/>
  <c r="I13" i="9"/>
  <c r="I12" i="9"/>
  <c r="H11" i="9"/>
  <c r="I11" i="9" s="1"/>
  <c r="I10" i="9"/>
  <c r="I9" i="9"/>
  <c r="I8" i="9"/>
  <c r="I7" i="9"/>
  <c r="I5" i="9"/>
  <c r="I197" i="5"/>
  <c r="I209" i="5" s="1"/>
  <c r="H8" i="4" s="1"/>
  <c r="E201" i="5"/>
  <c r="E213" i="5" s="1"/>
  <c r="D12" i="4" s="1"/>
  <c r="F201" i="5"/>
  <c r="F213" i="5" s="1"/>
  <c r="E12" i="4" s="1"/>
  <c r="D201" i="5"/>
  <c r="D213" i="5" s="1"/>
  <c r="C12" i="4" s="1"/>
  <c r="E203" i="5"/>
  <c r="F203" i="5"/>
  <c r="F215" i="5" s="1"/>
  <c r="D203" i="5"/>
  <c r="E197" i="5"/>
  <c r="E209" i="5" s="1"/>
  <c r="F197" i="5"/>
  <c r="F209" i="5" s="1"/>
  <c r="D197" i="5"/>
  <c r="F75" i="5"/>
  <c r="E75" i="5"/>
  <c r="D75" i="5"/>
  <c r="E77" i="5"/>
  <c r="F77" i="5"/>
  <c r="D77" i="5"/>
  <c r="E64" i="5"/>
  <c r="F64" i="5"/>
  <c r="D64" i="5"/>
  <c r="E66" i="5"/>
  <c r="F66" i="5"/>
  <c r="D66" i="5"/>
  <c r="E41" i="5"/>
  <c r="F41" i="5"/>
  <c r="F47" i="5" s="1"/>
  <c r="D41" i="5"/>
  <c r="D47" i="5" s="1"/>
  <c r="E30" i="5"/>
  <c r="F30" i="5"/>
  <c r="E32" i="5"/>
  <c r="F32" i="5"/>
  <c r="D32" i="5"/>
  <c r="E23" i="5"/>
  <c r="E214" i="5" s="1"/>
  <c r="D13" i="4" s="1"/>
  <c r="F23" i="5"/>
  <c r="F214" i="5" s="1"/>
  <c r="E13" i="4" s="1"/>
  <c r="F21" i="5"/>
  <c r="H14" i="5"/>
  <c r="I14" i="5"/>
  <c r="G14" i="5"/>
  <c r="E14" i="5"/>
  <c r="F14" i="5"/>
  <c r="J18" i="1"/>
  <c r="J17" i="1"/>
  <c r="D189" i="1"/>
  <c r="D196" i="5" s="1"/>
  <c r="F21" i="4"/>
  <c r="G21" i="4"/>
  <c r="H21" i="4"/>
  <c r="F7" i="4"/>
  <c r="G7" i="4"/>
  <c r="H7" i="4"/>
  <c r="G211" i="5"/>
  <c r="F10" i="4" s="1"/>
  <c r="H211" i="5"/>
  <c r="G10" i="4" s="1"/>
  <c r="G208" i="5"/>
  <c r="H208" i="5"/>
  <c r="I208" i="5"/>
  <c r="G193" i="5"/>
  <c r="H193" i="5"/>
  <c r="I193" i="5"/>
  <c r="G182" i="5"/>
  <c r="H182" i="5"/>
  <c r="I182" i="5"/>
  <c r="J198" i="5"/>
  <c r="J200" i="5"/>
  <c r="J202" i="5"/>
  <c r="J186" i="5"/>
  <c r="J187" i="5"/>
  <c r="J188" i="5"/>
  <c r="J189" i="5"/>
  <c r="J190" i="5"/>
  <c r="J191" i="5"/>
  <c r="J192" i="5"/>
  <c r="J175" i="5"/>
  <c r="J176" i="5"/>
  <c r="J177" i="5"/>
  <c r="J178" i="5"/>
  <c r="J179" i="5"/>
  <c r="J180" i="5"/>
  <c r="J181" i="5"/>
  <c r="J164" i="5"/>
  <c r="J165" i="5"/>
  <c r="J166" i="5"/>
  <c r="J167" i="5"/>
  <c r="J168" i="5"/>
  <c r="J169" i="5"/>
  <c r="J170" i="5"/>
  <c r="J153" i="5"/>
  <c r="J154" i="5"/>
  <c r="J155" i="5"/>
  <c r="J156" i="5"/>
  <c r="J157" i="5"/>
  <c r="J158" i="5"/>
  <c r="J159" i="5"/>
  <c r="J141" i="5"/>
  <c r="J142" i="5"/>
  <c r="J143" i="5"/>
  <c r="J144" i="5"/>
  <c r="J145" i="5"/>
  <c r="J146" i="5"/>
  <c r="G171" i="5"/>
  <c r="H171" i="5"/>
  <c r="I171" i="5"/>
  <c r="G160" i="5"/>
  <c r="H160" i="5"/>
  <c r="I160" i="5"/>
  <c r="H148" i="5"/>
  <c r="J130" i="5"/>
  <c r="J132" i="5"/>
  <c r="J133" i="5"/>
  <c r="J134" i="5"/>
  <c r="J135" i="5"/>
  <c r="J119" i="5"/>
  <c r="J121" i="5"/>
  <c r="J122" i="5"/>
  <c r="J123" i="5"/>
  <c r="J125" i="5"/>
  <c r="J108" i="5"/>
  <c r="J109" i="5"/>
  <c r="J110" i="5"/>
  <c r="J112" i="5"/>
  <c r="J114" i="5"/>
  <c r="J96" i="5"/>
  <c r="J97" i="5"/>
  <c r="J98" i="5"/>
  <c r="J99" i="5"/>
  <c r="J100" i="5"/>
  <c r="J101" i="5"/>
  <c r="J102" i="5"/>
  <c r="J85" i="5"/>
  <c r="J86" i="5"/>
  <c r="J87" i="5"/>
  <c r="J88" i="5"/>
  <c r="J89" i="5"/>
  <c r="J90" i="5"/>
  <c r="J91" i="5"/>
  <c r="J74" i="5"/>
  <c r="J76" i="5"/>
  <c r="J78" i="5"/>
  <c r="J80" i="5"/>
  <c r="G92" i="5"/>
  <c r="H92" i="5"/>
  <c r="I92" i="5"/>
  <c r="G81" i="5"/>
  <c r="I81" i="5"/>
  <c r="G70" i="5"/>
  <c r="I70" i="5"/>
  <c r="J63" i="5"/>
  <c r="J65" i="5"/>
  <c r="J67" i="5"/>
  <c r="J69" i="5"/>
  <c r="G58" i="5"/>
  <c r="H58" i="5"/>
  <c r="I58" i="5"/>
  <c r="J51" i="5"/>
  <c r="J52" i="5"/>
  <c r="J53" i="5"/>
  <c r="J54" i="5"/>
  <c r="J55" i="5"/>
  <c r="J56" i="5"/>
  <c r="J57" i="5"/>
  <c r="G47" i="5"/>
  <c r="H47" i="5"/>
  <c r="I47" i="5"/>
  <c r="G36" i="5"/>
  <c r="I36" i="5"/>
  <c r="J40" i="5"/>
  <c r="J42" i="5"/>
  <c r="J43" i="5"/>
  <c r="J44" i="5"/>
  <c r="J45" i="5"/>
  <c r="J46" i="5"/>
  <c r="J29" i="5"/>
  <c r="J31" i="5"/>
  <c r="J33" i="5"/>
  <c r="J35" i="5"/>
  <c r="J18" i="5"/>
  <c r="J19" i="5"/>
  <c r="J20" i="5"/>
  <c r="J22" i="5"/>
  <c r="J24" i="5"/>
  <c r="G25" i="5"/>
  <c r="I25" i="5"/>
  <c r="J188" i="1"/>
  <c r="J183" i="1"/>
  <c r="J136" i="1"/>
  <c r="J137" i="1"/>
  <c r="J138" i="1"/>
  <c r="J139" i="1"/>
  <c r="J140" i="1"/>
  <c r="J141" i="1"/>
  <c r="J142" i="1"/>
  <c r="J135" i="1"/>
  <c r="J99" i="1"/>
  <c r="J100" i="1"/>
  <c r="J101" i="1"/>
  <c r="J102" i="1"/>
  <c r="J103" i="1"/>
  <c r="J98" i="1"/>
  <c r="H189" i="1"/>
  <c r="H196" i="5" s="1"/>
  <c r="G180" i="1"/>
  <c r="G185" i="5" s="1"/>
  <c r="H185" i="5"/>
  <c r="G170" i="1"/>
  <c r="G174" i="5" s="1"/>
  <c r="G160" i="1"/>
  <c r="G163" i="5" s="1"/>
  <c r="G150" i="1"/>
  <c r="G152" i="5" s="1"/>
  <c r="I152" i="5"/>
  <c r="G133" i="1"/>
  <c r="H107" i="5"/>
  <c r="G94" i="1"/>
  <c r="G95" i="5" s="1"/>
  <c r="G84" i="1"/>
  <c r="G84" i="5" s="1"/>
  <c r="H84" i="5"/>
  <c r="G79" i="1"/>
  <c r="G73" i="5" s="1"/>
  <c r="I73" i="5"/>
  <c r="G69" i="1"/>
  <c r="G62" i="5" s="1"/>
  <c r="I62" i="5"/>
  <c r="G55" i="1"/>
  <c r="G50" i="5" s="1"/>
  <c r="G45" i="1"/>
  <c r="G39" i="5" s="1"/>
  <c r="G35" i="1"/>
  <c r="G28" i="5" s="1"/>
  <c r="G25" i="1"/>
  <c r="G17" i="5" s="1"/>
  <c r="J22" i="1"/>
  <c r="J23" i="1"/>
  <c r="J24" i="1"/>
  <c r="S24" i="1" s="1"/>
  <c r="AE24" i="1" s="1"/>
  <c r="J19" i="1"/>
  <c r="J20" i="1"/>
  <c r="J21" i="1"/>
  <c r="D21" i="4"/>
  <c r="E21" i="4"/>
  <c r="C21" i="4"/>
  <c r="D7" i="4"/>
  <c r="E7" i="4"/>
  <c r="C7" i="4"/>
  <c r="F208" i="5"/>
  <c r="E208" i="5"/>
  <c r="D208" i="5"/>
  <c r="E211" i="5"/>
  <c r="F211" i="5"/>
  <c r="E10" i="4" s="1"/>
  <c r="D211" i="5"/>
  <c r="C10" i="4" s="1"/>
  <c r="D14" i="5"/>
  <c r="E207" i="1"/>
  <c r="N207" i="1" s="1"/>
  <c r="F207" i="1"/>
  <c r="O207" i="1" s="1"/>
  <c r="D207" i="1"/>
  <c r="M207" i="1" s="1"/>
  <c r="E199" i="1"/>
  <c r="F199" i="1"/>
  <c r="D199" i="1"/>
  <c r="E189" i="1"/>
  <c r="E196" i="5" s="1"/>
  <c r="F196" i="5"/>
  <c r="D171" i="5"/>
  <c r="E171" i="5"/>
  <c r="F171" i="5"/>
  <c r="D182" i="5"/>
  <c r="E182" i="5"/>
  <c r="F182" i="5"/>
  <c r="D193" i="5"/>
  <c r="E193" i="5"/>
  <c r="F193" i="5"/>
  <c r="F160" i="5"/>
  <c r="E160" i="5"/>
  <c r="D160" i="5"/>
  <c r="D126" i="5"/>
  <c r="E126" i="5"/>
  <c r="F126" i="5"/>
  <c r="D137" i="5"/>
  <c r="E137" i="5"/>
  <c r="F137" i="5"/>
  <c r="D148" i="5"/>
  <c r="E148" i="5"/>
  <c r="F148" i="5"/>
  <c r="F115" i="5"/>
  <c r="E115" i="5"/>
  <c r="D115" i="5"/>
  <c r="D92" i="5"/>
  <c r="E92" i="5"/>
  <c r="F92" i="5"/>
  <c r="D103" i="5"/>
  <c r="E103" i="5"/>
  <c r="F103" i="5"/>
  <c r="D58" i="5"/>
  <c r="E58" i="5"/>
  <c r="F58" i="5"/>
  <c r="E185" i="5"/>
  <c r="F185" i="5"/>
  <c r="E107" i="5"/>
  <c r="D163" i="5"/>
  <c r="M28" i="5" l="1"/>
  <c r="M200" i="1"/>
  <c r="L39" i="5"/>
  <c r="L200" i="1"/>
  <c r="R189" i="1"/>
  <c r="N200" i="1"/>
  <c r="O152" i="5"/>
  <c r="R152" i="5" s="1"/>
  <c r="O200" i="1"/>
  <c r="M215" i="5"/>
  <c r="M14" i="4" s="1"/>
  <c r="M213" i="5"/>
  <c r="M12" i="4" s="1"/>
  <c r="M209" i="5"/>
  <c r="M204" i="5"/>
  <c r="T69" i="1"/>
  <c r="T123" i="1"/>
  <c r="R137" i="5"/>
  <c r="R126" i="5"/>
  <c r="G52" i="11"/>
  <c r="S102" i="1"/>
  <c r="AE102" i="1" s="1"/>
  <c r="S169" i="1"/>
  <c r="AE169" i="1" s="1"/>
  <c r="S179" i="1"/>
  <c r="AE179" i="1" s="1"/>
  <c r="T84" i="1"/>
  <c r="T150" i="1"/>
  <c r="P17" i="5"/>
  <c r="P200" i="1"/>
  <c r="S122" i="1"/>
  <c r="AE122" i="1" s="1"/>
  <c r="T111" i="1"/>
  <c r="O17" i="5"/>
  <c r="S100" i="1"/>
  <c r="AE100" i="1" s="1"/>
  <c r="T79" i="1"/>
  <c r="S101" i="1"/>
  <c r="AE101" i="1" s="1"/>
  <c r="S103" i="1"/>
  <c r="R196" i="5"/>
  <c r="S104" i="1"/>
  <c r="AE104" i="1" s="1"/>
  <c r="T133" i="1"/>
  <c r="N209" i="5"/>
  <c r="N8" i="4" s="1"/>
  <c r="R197" i="5"/>
  <c r="L73" i="5"/>
  <c r="R73" i="5" s="1"/>
  <c r="L201" i="1"/>
  <c r="N28" i="5"/>
  <c r="D210" i="5"/>
  <c r="C9" i="4" s="1"/>
  <c r="D214" i="5"/>
  <c r="C13" i="4" s="1"/>
  <c r="D25" i="5"/>
  <c r="D209" i="5"/>
  <c r="C8" i="4" s="1"/>
  <c r="F25" i="5"/>
  <c r="R92" i="5"/>
  <c r="R25" i="5"/>
  <c r="D87" i="11"/>
  <c r="G87" i="11" s="1"/>
  <c r="G84" i="11" s="1"/>
  <c r="R118" i="5"/>
  <c r="R84" i="5"/>
  <c r="R107" i="5"/>
  <c r="S155" i="1"/>
  <c r="AE155" i="1" s="1"/>
  <c r="S165" i="1"/>
  <c r="AE165" i="1" s="1"/>
  <c r="S37" i="1"/>
  <c r="AE37" i="1" s="1"/>
  <c r="S47" i="1"/>
  <c r="AE47" i="1" s="1"/>
  <c r="S149" i="1"/>
  <c r="AE149" i="1" s="1"/>
  <c r="S140" i="1"/>
  <c r="AE140" i="1" s="1"/>
  <c r="S172" i="1"/>
  <c r="AE172" i="1" s="1"/>
  <c r="S167" i="1"/>
  <c r="AE167" i="1" s="1"/>
  <c r="H36" i="5"/>
  <c r="S157" i="1"/>
  <c r="AE157" i="1" s="1"/>
  <c r="S177" i="1"/>
  <c r="AE177" i="1" s="1"/>
  <c r="S130" i="1"/>
  <c r="AE130" i="1" s="1"/>
  <c r="S173" i="1"/>
  <c r="AE173" i="1" s="1"/>
  <c r="S183" i="1"/>
  <c r="AE183" i="1" s="1"/>
  <c r="S175" i="1"/>
  <c r="AE175" i="1" s="1"/>
  <c r="S158" i="1"/>
  <c r="AE158" i="1" s="1"/>
  <c r="S168" i="1"/>
  <c r="AE168" i="1" s="1"/>
  <c r="S178" i="1"/>
  <c r="AE178" i="1" s="1"/>
  <c r="S153" i="1"/>
  <c r="AE153" i="1" s="1"/>
  <c r="S142" i="1"/>
  <c r="AE142" i="1" s="1"/>
  <c r="S162" i="1"/>
  <c r="AE162" i="1" s="1"/>
  <c r="S141" i="1"/>
  <c r="AE141" i="1" s="1"/>
  <c r="L47" i="5"/>
  <c r="S86" i="1"/>
  <c r="AE86" i="1" s="1"/>
  <c r="G129" i="5"/>
  <c r="G136" i="5"/>
  <c r="G215" i="5" s="1"/>
  <c r="F14" i="4" s="1"/>
  <c r="S148" i="1"/>
  <c r="S135" i="1"/>
  <c r="AE135" i="1" s="1"/>
  <c r="J133" i="1"/>
  <c r="J150" i="1"/>
  <c r="S139" i="1"/>
  <c r="AE139" i="1" s="1"/>
  <c r="H215" i="5"/>
  <c r="G14" i="4" s="1"/>
  <c r="S159" i="1"/>
  <c r="AE159" i="1" s="1"/>
  <c r="J160" i="5"/>
  <c r="H129" i="5"/>
  <c r="G19" i="10"/>
  <c r="H65" i="11"/>
  <c r="S132" i="1"/>
  <c r="AE132" i="1" s="1"/>
  <c r="J182" i="5"/>
  <c r="J193" i="5"/>
  <c r="R148" i="5"/>
  <c r="J92" i="5"/>
  <c r="J58" i="5"/>
  <c r="S156" i="1"/>
  <c r="AE156" i="1" s="1"/>
  <c r="S166" i="1"/>
  <c r="AE166" i="1" s="1"/>
  <c r="J170" i="1"/>
  <c r="S164" i="1"/>
  <c r="AE164" i="1" s="1"/>
  <c r="S174" i="1"/>
  <c r="AE174" i="1" s="1"/>
  <c r="T160" i="1"/>
  <c r="C18" i="6"/>
  <c r="D21" i="6" s="1"/>
  <c r="S137" i="1"/>
  <c r="AE137" i="1" s="1"/>
  <c r="J143" i="1"/>
  <c r="K143" i="1"/>
  <c r="O210" i="5"/>
  <c r="O9" i="4" s="1"/>
  <c r="S91" i="1"/>
  <c r="AE91" i="1" s="1"/>
  <c r="S51" i="1"/>
  <c r="AE51" i="1" s="1"/>
  <c r="O215" i="5"/>
  <c r="O14" i="4" s="1"/>
  <c r="S83" i="1"/>
  <c r="AE83" i="1" s="1"/>
  <c r="S88" i="1"/>
  <c r="AE88" i="1" s="1"/>
  <c r="I137" i="5"/>
  <c r="H212" i="5"/>
  <c r="G11" i="4" s="1"/>
  <c r="S31" i="1"/>
  <c r="AE31" i="1" s="1"/>
  <c r="S62" i="1"/>
  <c r="AE62" i="1" s="1"/>
  <c r="E70" i="5"/>
  <c r="S33" i="1"/>
  <c r="AE33" i="1" s="1"/>
  <c r="S77" i="1"/>
  <c r="AE77" i="1" s="1"/>
  <c r="S78" i="1"/>
  <c r="AE78" i="1" s="1"/>
  <c r="R68" i="5"/>
  <c r="S41" i="1"/>
  <c r="AE41" i="1" s="1"/>
  <c r="S90" i="1"/>
  <c r="AE90" i="1" s="1"/>
  <c r="H70" i="5"/>
  <c r="J131" i="5"/>
  <c r="S67" i="1"/>
  <c r="AE67" i="1" s="1"/>
  <c r="E36" i="5"/>
  <c r="S74" i="1"/>
  <c r="AE74" i="1" s="1"/>
  <c r="R41" i="5"/>
  <c r="S42" i="1"/>
  <c r="AE42" i="1" s="1"/>
  <c r="S52" i="1"/>
  <c r="AE52" i="1" s="1"/>
  <c r="S87" i="1"/>
  <c r="AE87" i="1" s="1"/>
  <c r="J147" i="5"/>
  <c r="S75" i="1"/>
  <c r="AE75" i="1" s="1"/>
  <c r="E210" i="5"/>
  <c r="D9" i="4" s="1"/>
  <c r="S30" i="1"/>
  <c r="AE30" i="1" s="1"/>
  <c r="R95" i="5"/>
  <c r="E81" i="5"/>
  <c r="J84" i="1"/>
  <c r="S43" i="1"/>
  <c r="AE43" i="1" s="1"/>
  <c r="S53" i="1"/>
  <c r="AE53" i="1" s="1"/>
  <c r="R111" i="5"/>
  <c r="S76" i="1"/>
  <c r="AE76" i="1" s="1"/>
  <c r="I148" i="5"/>
  <c r="J148" i="5" s="1"/>
  <c r="S68" i="1"/>
  <c r="AE68" i="1" s="1"/>
  <c r="S89" i="1"/>
  <c r="AE89" i="1" s="1"/>
  <c r="J124" i="5"/>
  <c r="G126" i="5"/>
  <c r="S60" i="1"/>
  <c r="AE60" i="1" s="1"/>
  <c r="R185" i="5"/>
  <c r="J50" i="5"/>
  <c r="F36" i="5"/>
  <c r="F81" i="5"/>
  <c r="S29" i="1"/>
  <c r="AE29" i="1" s="1"/>
  <c r="S40" i="1"/>
  <c r="AE40" i="1" s="1"/>
  <c r="S50" i="1"/>
  <c r="AE50" i="1" s="1"/>
  <c r="P215" i="5"/>
  <c r="P14" i="4" s="1"/>
  <c r="N204" i="5"/>
  <c r="K69" i="1"/>
  <c r="F70" i="5"/>
  <c r="S23" i="1"/>
  <c r="AE23" i="1" s="1"/>
  <c r="J41" i="5"/>
  <c r="R203" i="5"/>
  <c r="J45" i="1"/>
  <c r="S48" i="1"/>
  <c r="AE48" i="1" s="1"/>
  <c r="N47" i="5"/>
  <c r="E47" i="5"/>
  <c r="J47" i="5" s="1"/>
  <c r="S34" i="1"/>
  <c r="AE34" i="1" s="1"/>
  <c r="M47" i="5"/>
  <c r="R34" i="5"/>
  <c r="S64" i="1"/>
  <c r="AE64" i="1" s="1"/>
  <c r="J174" i="5"/>
  <c r="F212" i="5"/>
  <c r="E11" i="4" s="1"/>
  <c r="S21" i="1"/>
  <c r="AE21" i="1" s="1"/>
  <c r="J66" i="5"/>
  <c r="G214" i="5"/>
  <c r="F13" i="4" s="1"/>
  <c r="S39" i="1"/>
  <c r="AE39" i="1" s="1"/>
  <c r="S49" i="1"/>
  <c r="AE49" i="1" s="1"/>
  <c r="O204" i="5"/>
  <c r="S113" i="1"/>
  <c r="AE113" i="1" s="1"/>
  <c r="P212" i="5"/>
  <c r="P11" i="4" s="1"/>
  <c r="S99" i="1"/>
  <c r="AE99" i="1" s="1"/>
  <c r="S63" i="1"/>
  <c r="AE63" i="1" s="1"/>
  <c r="P204" i="5"/>
  <c r="D204" i="5"/>
  <c r="E204" i="5"/>
  <c r="S136" i="1"/>
  <c r="AE136" i="1" s="1"/>
  <c r="R147" i="5"/>
  <c r="S138" i="1"/>
  <c r="AE138" i="1" s="1"/>
  <c r="S118" i="1"/>
  <c r="AE118" i="1" s="1"/>
  <c r="R123" i="1"/>
  <c r="H126" i="5"/>
  <c r="G210" i="5"/>
  <c r="F9" i="4" s="1"/>
  <c r="P115" i="5"/>
  <c r="J111" i="1"/>
  <c r="J111" i="5"/>
  <c r="S72" i="1"/>
  <c r="AE72" i="1" s="1"/>
  <c r="S71" i="1"/>
  <c r="AE71" i="1" s="1"/>
  <c r="J77" i="5"/>
  <c r="D81" i="5"/>
  <c r="J79" i="1"/>
  <c r="J69" i="1"/>
  <c r="S61" i="1"/>
  <c r="AE61" i="1" s="1"/>
  <c r="J32" i="5"/>
  <c r="D36" i="5"/>
  <c r="F210" i="5"/>
  <c r="E9" i="4" s="1"/>
  <c r="N214" i="5"/>
  <c r="N13" i="4" s="1"/>
  <c r="S18" i="1"/>
  <c r="AE18" i="1" s="1"/>
  <c r="E25" i="5"/>
  <c r="C7" i="6"/>
  <c r="D12" i="6" s="1"/>
  <c r="J25" i="1"/>
  <c r="J23" i="5"/>
  <c r="J21" i="5"/>
  <c r="S22" i="1"/>
  <c r="AE22" i="1" s="1"/>
  <c r="S20" i="1"/>
  <c r="AE20" i="1" s="1"/>
  <c r="F200" i="1"/>
  <c r="F201" i="1" s="1"/>
  <c r="F202" i="1" s="1"/>
  <c r="D8" i="4"/>
  <c r="AE148" i="1"/>
  <c r="J163" i="5"/>
  <c r="J171" i="5"/>
  <c r="J73" i="5"/>
  <c r="J95" i="5"/>
  <c r="J28" i="5"/>
  <c r="J103" i="5"/>
  <c r="D215" i="5"/>
  <c r="C14" i="4" s="1"/>
  <c r="S147" i="1"/>
  <c r="AE147" i="1" s="1"/>
  <c r="R58" i="5"/>
  <c r="J185" i="5"/>
  <c r="J152" i="5"/>
  <c r="S188" i="1"/>
  <c r="AE188" i="1" s="1"/>
  <c r="S19" i="1"/>
  <c r="AE19" i="1" s="1"/>
  <c r="Q200" i="1"/>
  <c r="Q201" i="1" s="1"/>
  <c r="S117" i="1"/>
  <c r="AE117" i="1" s="1"/>
  <c r="R201" i="5"/>
  <c r="S27" i="1"/>
  <c r="AE27" i="1" s="1"/>
  <c r="S92" i="1"/>
  <c r="AE92" i="1" s="1"/>
  <c r="R103" i="5"/>
  <c r="R193" i="5"/>
  <c r="E215" i="5"/>
  <c r="D14" i="4" s="1"/>
  <c r="S98" i="1"/>
  <c r="AE98" i="1" s="1"/>
  <c r="J64" i="5"/>
  <c r="G44" i="11"/>
  <c r="J39" i="5"/>
  <c r="E212" i="5"/>
  <c r="D11" i="4" s="1"/>
  <c r="H214" i="5"/>
  <c r="G13" i="4" s="1"/>
  <c r="L62" i="11"/>
  <c r="J55" i="1"/>
  <c r="K180" i="1"/>
  <c r="J140" i="5"/>
  <c r="I33" i="9"/>
  <c r="C40" i="6"/>
  <c r="D47" i="6" s="1"/>
  <c r="F84" i="5"/>
  <c r="J84" i="5" s="1"/>
  <c r="F204" i="5"/>
  <c r="D212" i="5"/>
  <c r="S38" i="1"/>
  <c r="S93" i="1"/>
  <c r="AE93" i="1" s="1"/>
  <c r="I50" i="9"/>
  <c r="R129" i="5"/>
  <c r="J35" i="1"/>
  <c r="J94" i="1"/>
  <c r="S154" i="1"/>
  <c r="AE154" i="1" s="1"/>
  <c r="D70" i="5"/>
  <c r="K25" i="1"/>
  <c r="I115" i="5"/>
  <c r="J75" i="5"/>
  <c r="E51" i="10"/>
  <c r="G51" i="10" s="1"/>
  <c r="G50" i="10" s="1"/>
  <c r="R84" i="1"/>
  <c r="R163" i="5"/>
  <c r="M36" i="5"/>
  <c r="R140" i="5"/>
  <c r="J30" i="5"/>
  <c r="R39" i="5"/>
  <c r="S82" i="1"/>
  <c r="AE82" i="1" s="1"/>
  <c r="G27" i="10"/>
  <c r="G34" i="10"/>
  <c r="G11" i="11"/>
  <c r="G18" i="11"/>
  <c r="G80" i="11"/>
  <c r="I214" i="5"/>
  <c r="H13" i="4" s="1"/>
  <c r="G204" i="5"/>
  <c r="R79" i="1"/>
  <c r="S119" i="1"/>
  <c r="AE119" i="1" s="1"/>
  <c r="S131" i="1"/>
  <c r="AE131" i="1" s="1"/>
  <c r="S81" i="1"/>
  <c r="T170" i="1"/>
  <c r="T180" i="1"/>
  <c r="T189" i="1" s="1"/>
  <c r="R160" i="5"/>
  <c r="R182" i="5"/>
  <c r="M214" i="5"/>
  <c r="M13" i="4" s="1"/>
  <c r="L36" i="5"/>
  <c r="R66" i="5"/>
  <c r="L204" i="5"/>
  <c r="D200" i="1"/>
  <c r="D201" i="1" s="1"/>
  <c r="D208" i="1" s="1"/>
  <c r="M208" i="1" s="1"/>
  <c r="J62" i="5"/>
  <c r="E8" i="4"/>
  <c r="E48" i="10"/>
  <c r="G48" i="10" s="1"/>
  <c r="G46" i="10" s="1"/>
  <c r="H209" i="5"/>
  <c r="H204" i="5"/>
  <c r="J197" i="5"/>
  <c r="G115" i="5"/>
  <c r="AE127" i="1"/>
  <c r="R133" i="1"/>
  <c r="K150" i="1"/>
  <c r="K160" i="1"/>
  <c r="K170" i="1"/>
  <c r="T55" i="1"/>
  <c r="L14" i="4"/>
  <c r="L28" i="5"/>
  <c r="R28" i="1"/>
  <c r="T35" i="1" s="1"/>
  <c r="M9" i="4"/>
  <c r="R69" i="1"/>
  <c r="S59" i="1"/>
  <c r="J17" i="5"/>
  <c r="S32" i="1"/>
  <c r="AE32" i="1" s="1"/>
  <c r="G72" i="11"/>
  <c r="S115" i="1"/>
  <c r="AE115" i="1" s="1"/>
  <c r="S129" i="1"/>
  <c r="AE129" i="1" s="1"/>
  <c r="K133" i="1"/>
  <c r="R45" i="1"/>
  <c r="E14" i="4"/>
  <c r="C29" i="6"/>
  <c r="D10" i="4"/>
  <c r="K111" i="1"/>
  <c r="S73" i="1"/>
  <c r="J79" i="5"/>
  <c r="J113" i="5"/>
  <c r="G17" i="10"/>
  <c r="G11" i="10" s="1"/>
  <c r="G42" i="10"/>
  <c r="H18" i="11"/>
  <c r="G107" i="5"/>
  <c r="J107" i="5" s="1"/>
  <c r="R170" i="1"/>
  <c r="T45" i="1"/>
  <c r="R174" i="5"/>
  <c r="I38" i="9"/>
  <c r="Q15" i="4"/>
  <c r="P210" i="5"/>
  <c r="P81" i="5"/>
  <c r="R79" i="5"/>
  <c r="P214" i="5"/>
  <c r="P13" i="4" s="1"/>
  <c r="J160" i="1"/>
  <c r="S163" i="1"/>
  <c r="I56" i="9"/>
  <c r="K45" i="1"/>
  <c r="K55" i="1"/>
  <c r="E200" i="1"/>
  <c r="O12" i="4"/>
  <c r="R213" i="5"/>
  <c r="P62" i="5"/>
  <c r="I46" i="9"/>
  <c r="R143" i="1"/>
  <c r="T143" i="1"/>
  <c r="K35" i="1"/>
  <c r="K79" i="1"/>
  <c r="K84" i="1"/>
  <c r="K94" i="1"/>
  <c r="R55" i="1"/>
  <c r="R94" i="1"/>
  <c r="T94" i="1"/>
  <c r="R150" i="1"/>
  <c r="R180" i="1"/>
  <c r="R171" i="5"/>
  <c r="R111" i="1"/>
  <c r="I120" i="5"/>
  <c r="J116" i="1"/>
  <c r="S116" i="1" s="1"/>
  <c r="AE116" i="1" s="1"/>
  <c r="R113" i="5"/>
  <c r="O115" i="5"/>
  <c r="O214" i="5"/>
  <c r="O13" i="4" s="1"/>
  <c r="H200" i="1"/>
  <c r="R211" i="5"/>
  <c r="N10" i="4"/>
  <c r="R10" i="4" s="1"/>
  <c r="M11" i="4"/>
  <c r="R77" i="5"/>
  <c r="M81" i="5"/>
  <c r="S114" i="1"/>
  <c r="AE114" i="1" s="1"/>
  <c r="S54" i="1"/>
  <c r="J180" i="1"/>
  <c r="S176" i="1"/>
  <c r="G65" i="11"/>
  <c r="S152" i="1"/>
  <c r="R160" i="1"/>
  <c r="R50" i="5"/>
  <c r="F74" i="9"/>
  <c r="I15" i="9"/>
  <c r="I18" i="9" s="1"/>
  <c r="I65" i="9"/>
  <c r="L8" i="4"/>
  <c r="R17" i="1"/>
  <c r="M70" i="5"/>
  <c r="L62" i="5"/>
  <c r="Q216" i="5"/>
  <c r="M216" i="5" l="1"/>
  <c r="R12" i="4"/>
  <c r="M8" i="4"/>
  <c r="R209" i="5"/>
  <c r="G40" i="10"/>
  <c r="R17" i="5"/>
  <c r="R204" i="5"/>
  <c r="S17" i="1"/>
  <c r="AE17" i="1" s="1"/>
  <c r="T25" i="1"/>
  <c r="R28" i="5"/>
  <c r="R200" i="1"/>
  <c r="D24" i="6"/>
  <c r="H92" i="11"/>
  <c r="D23" i="6"/>
  <c r="D22" i="6"/>
  <c r="J129" i="5"/>
  <c r="D25" i="6"/>
  <c r="G137" i="5"/>
  <c r="J137" i="5" s="1"/>
  <c r="J136" i="5"/>
  <c r="S150" i="1"/>
  <c r="AE150" i="1" s="1"/>
  <c r="J115" i="5"/>
  <c r="J81" i="5"/>
  <c r="R47" i="5"/>
  <c r="R36" i="5"/>
  <c r="R215" i="5"/>
  <c r="J70" i="5"/>
  <c r="J36" i="5"/>
  <c r="F15" i="4"/>
  <c r="F16" i="4" s="1"/>
  <c r="F17" i="4" s="1"/>
  <c r="R14" i="4"/>
  <c r="R81" i="5"/>
  <c r="D10" i="6"/>
  <c r="D216" i="5"/>
  <c r="D13" i="6"/>
  <c r="D11" i="6"/>
  <c r="R115" i="5"/>
  <c r="L214" i="5"/>
  <c r="R214" i="5" s="1"/>
  <c r="S143" i="1"/>
  <c r="AE143" i="1" s="1"/>
  <c r="I13" i="4"/>
  <c r="F216" i="5"/>
  <c r="F217" i="5" s="1"/>
  <c r="F218" i="5" s="1"/>
  <c r="N201" i="1"/>
  <c r="N202" i="1" s="1"/>
  <c r="P216" i="5"/>
  <c r="P217" i="5" s="1"/>
  <c r="P218" i="5" s="1"/>
  <c r="Q202" i="1"/>
  <c r="D14" i="6"/>
  <c r="D15" i="4"/>
  <c r="D16" i="4" s="1"/>
  <c r="D17" i="4" s="1"/>
  <c r="J25" i="5"/>
  <c r="S160" i="1"/>
  <c r="AE160" i="1" s="1"/>
  <c r="AE152" i="1"/>
  <c r="S170" i="1"/>
  <c r="AE170" i="1" s="1"/>
  <c r="AE163" i="1"/>
  <c r="S55" i="1"/>
  <c r="AE55" i="1" s="1"/>
  <c r="AE54" i="1"/>
  <c r="I201" i="5"/>
  <c r="J185" i="1"/>
  <c r="S185" i="1" s="1"/>
  <c r="AE185" i="1" s="1"/>
  <c r="D45" i="6"/>
  <c r="D43" i="6"/>
  <c r="D46" i="6"/>
  <c r="D44" i="6"/>
  <c r="E15" i="4"/>
  <c r="E16" i="4" s="1"/>
  <c r="E17" i="4" s="1"/>
  <c r="S84" i="1"/>
  <c r="AE84" i="1" s="1"/>
  <c r="AE81" i="1"/>
  <c r="K123" i="1"/>
  <c r="S79" i="1"/>
  <c r="AE79" i="1" s="1"/>
  <c r="AE73" i="1"/>
  <c r="J214" i="5"/>
  <c r="N70" i="5"/>
  <c r="N212" i="5"/>
  <c r="J123" i="1"/>
  <c r="G92" i="11"/>
  <c r="G93" i="11" s="1"/>
  <c r="G94" i="11" s="1"/>
  <c r="S111" i="1"/>
  <c r="AE111" i="1" s="1"/>
  <c r="AE103" i="1"/>
  <c r="S94" i="1"/>
  <c r="AE94" i="1" s="1"/>
  <c r="S45" i="1"/>
  <c r="AE45" i="1" s="1"/>
  <c r="AE38" i="1"/>
  <c r="S180" i="1"/>
  <c r="AE180" i="1" s="1"/>
  <c r="AE176" i="1"/>
  <c r="C11" i="4"/>
  <c r="I11" i="4" s="1"/>
  <c r="J212" i="5"/>
  <c r="E216" i="5"/>
  <c r="S69" i="1"/>
  <c r="AE69" i="1" s="1"/>
  <c r="AE59" i="1"/>
  <c r="D202" i="1"/>
  <c r="D209" i="1"/>
  <c r="M209" i="1" s="1"/>
  <c r="L23" i="4" s="1"/>
  <c r="D210" i="1"/>
  <c r="C22" i="4"/>
  <c r="E201" i="1"/>
  <c r="E208" i="1" s="1"/>
  <c r="N208" i="1" s="1"/>
  <c r="M15" i="4"/>
  <c r="O15" i="4"/>
  <c r="M201" i="1"/>
  <c r="M202" i="1" s="1"/>
  <c r="I74" i="9"/>
  <c r="I75" i="9" s="1"/>
  <c r="F77" i="9"/>
  <c r="I77" i="9" s="1"/>
  <c r="I79" i="9" s="1"/>
  <c r="R25" i="1"/>
  <c r="G216" i="5"/>
  <c r="R62" i="5"/>
  <c r="R8" i="4"/>
  <c r="AE124" i="1"/>
  <c r="H93" i="11"/>
  <c r="H94" i="11" s="1"/>
  <c r="H201" i="1"/>
  <c r="H209" i="1" s="1"/>
  <c r="Q209" i="1" s="1"/>
  <c r="O216" i="5"/>
  <c r="I199" i="5"/>
  <c r="G53" i="10"/>
  <c r="G54" i="10" s="1"/>
  <c r="G55" i="10" s="1"/>
  <c r="L70" i="5"/>
  <c r="L212" i="5"/>
  <c r="R35" i="1"/>
  <c r="S28" i="1"/>
  <c r="F208" i="1"/>
  <c r="O208" i="1" s="1"/>
  <c r="P9" i="4"/>
  <c r="R210" i="5"/>
  <c r="G8" i="4"/>
  <c r="G15" i="4" s="1"/>
  <c r="H216" i="5"/>
  <c r="S123" i="1"/>
  <c r="Q217" i="5"/>
  <c r="Q218" i="5" s="1"/>
  <c r="F209" i="1"/>
  <c r="O209" i="1" s="1"/>
  <c r="P201" i="1"/>
  <c r="D36" i="6"/>
  <c r="D32" i="6"/>
  <c r="D33" i="6"/>
  <c r="D35" i="6"/>
  <c r="D34" i="6"/>
  <c r="G200" i="1"/>
  <c r="J209" i="5"/>
  <c r="F210" i="1"/>
  <c r="O210" i="1" s="1"/>
  <c r="O201" i="1"/>
  <c r="I126" i="5"/>
  <c r="J126" i="5" s="1"/>
  <c r="I210" i="5"/>
  <c r="J120" i="5"/>
  <c r="R23" i="5"/>
  <c r="J118" i="5"/>
  <c r="Q16" i="4"/>
  <c r="Q17" i="4" s="1"/>
  <c r="S133" i="1"/>
  <c r="AE133" i="1" s="1"/>
  <c r="C24" i="4" l="1"/>
  <c r="M210" i="1"/>
  <c r="O211" i="1"/>
  <c r="N25" i="4" s="1"/>
  <c r="O212" i="1"/>
  <c r="N26" i="4" s="1"/>
  <c r="D213" i="1"/>
  <c r="S25" i="1"/>
  <c r="AE25" i="1" s="1"/>
  <c r="N23" i="4"/>
  <c r="N22" i="4"/>
  <c r="O202" i="1"/>
  <c r="P202" i="1"/>
  <c r="D217" i="5"/>
  <c r="D218" i="5" s="1"/>
  <c r="C19" i="6"/>
  <c r="L13" i="4"/>
  <c r="C8" i="6"/>
  <c r="L202" i="1"/>
  <c r="C41" i="6"/>
  <c r="R70" i="5"/>
  <c r="C15" i="4"/>
  <c r="C16" i="4" s="1"/>
  <c r="C17" i="4" s="1"/>
  <c r="AE123" i="1"/>
  <c r="I213" i="5"/>
  <c r="J201" i="5"/>
  <c r="N11" i="4"/>
  <c r="N15" i="4" s="1"/>
  <c r="N16" i="4" s="1"/>
  <c r="N17" i="4" s="1"/>
  <c r="N216" i="5"/>
  <c r="S35" i="1"/>
  <c r="AE35" i="1" s="1"/>
  <c r="AE28" i="1"/>
  <c r="E217" i="5"/>
  <c r="E218" i="5" s="1"/>
  <c r="D211" i="1"/>
  <c r="C23" i="4"/>
  <c r="H210" i="1"/>
  <c r="Q210" i="1" s="1"/>
  <c r="H208" i="1"/>
  <c r="H202" i="1"/>
  <c r="G23" i="4"/>
  <c r="I189" i="1"/>
  <c r="I196" i="5" s="1"/>
  <c r="J196" i="5" s="1"/>
  <c r="I203" i="5"/>
  <c r="I204" i="5" s="1"/>
  <c r="J204" i="5" s="1"/>
  <c r="J184" i="1"/>
  <c r="I200" i="1"/>
  <c r="D22" i="4"/>
  <c r="E24" i="4"/>
  <c r="E209" i="1"/>
  <c r="N209" i="1" s="1"/>
  <c r="G201" i="1"/>
  <c r="G209" i="1" s="1"/>
  <c r="P209" i="1" s="1"/>
  <c r="E23" i="4"/>
  <c r="R212" i="5"/>
  <c r="L11" i="4"/>
  <c r="L216" i="5"/>
  <c r="I80" i="9"/>
  <c r="O16" i="4"/>
  <c r="O17" i="4" s="1"/>
  <c r="E210" i="1"/>
  <c r="N210" i="1" s="1"/>
  <c r="H9" i="4"/>
  <c r="J210" i="5"/>
  <c r="O217" i="5"/>
  <c r="O218" i="5" s="1"/>
  <c r="I8" i="4"/>
  <c r="M16" i="4"/>
  <c r="M17" i="4" s="1"/>
  <c r="M18" i="4" s="1"/>
  <c r="N18" i="4" s="1"/>
  <c r="R9" i="4"/>
  <c r="P15" i="4"/>
  <c r="C30" i="6"/>
  <c r="H217" i="5"/>
  <c r="H218" i="5" s="1"/>
  <c r="F211" i="1"/>
  <c r="E22" i="4"/>
  <c r="I211" i="5"/>
  <c r="J199" i="5"/>
  <c r="G217" i="5"/>
  <c r="E202" i="1"/>
  <c r="G16" i="4"/>
  <c r="G17" i="4" s="1"/>
  <c r="M217" i="5"/>
  <c r="M218" i="5" s="1"/>
  <c r="M220" i="5" s="1"/>
  <c r="M221" i="5" s="1"/>
  <c r="R13" i="4" l="1"/>
  <c r="N24" i="4"/>
  <c r="G22" i="4"/>
  <c r="Q208" i="1"/>
  <c r="Q211" i="1"/>
  <c r="P25" i="4" s="1"/>
  <c r="Q212" i="1"/>
  <c r="P26" i="4" s="1"/>
  <c r="N211" i="1"/>
  <c r="M25" i="4" s="1"/>
  <c r="N212" i="1"/>
  <c r="M26" i="4" s="1"/>
  <c r="L24" i="4"/>
  <c r="M212" i="1"/>
  <c r="M211" i="1"/>
  <c r="P23" i="4"/>
  <c r="O23" i="4"/>
  <c r="L22" i="4"/>
  <c r="M22" i="4"/>
  <c r="M23" i="4"/>
  <c r="R216" i="5"/>
  <c r="G208" i="1"/>
  <c r="P208" i="1" s="1"/>
  <c r="O22" i="4" s="1"/>
  <c r="G210" i="1"/>
  <c r="N217" i="5"/>
  <c r="N218" i="5" s="1"/>
  <c r="N220" i="5" s="1"/>
  <c r="E211" i="1"/>
  <c r="H12" i="4"/>
  <c r="I12" i="4" s="1"/>
  <c r="J213" i="5"/>
  <c r="G202" i="1"/>
  <c r="P211" i="1" s="1"/>
  <c r="O25" i="4" s="1"/>
  <c r="G24" i="4"/>
  <c r="H211" i="1"/>
  <c r="F23" i="4"/>
  <c r="I201" i="1"/>
  <c r="I202" i="1" s="1"/>
  <c r="D24" i="4"/>
  <c r="I81" i="9"/>
  <c r="I82" i="9" s="1"/>
  <c r="D23" i="4"/>
  <c r="S184" i="1"/>
  <c r="J189" i="1"/>
  <c r="K189" i="1"/>
  <c r="J203" i="5"/>
  <c r="I215" i="5"/>
  <c r="I216" i="5" s="1"/>
  <c r="G218" i="5"/>
  <c r="P16" i="4"/>
  <c r="P17" i="4" s="1"/>
  <c r="L217" i="5"/>
  <c r="L218" i="5" s="1"/>
  <c r="J200" i="1"/>
  <c r="I9" i="4"/>
  <c r="H10" i="4"/>
  <c r="I10" i="4" s="1"/>
  <c r="J211" i="5"/>
  <c r="R11" i="4"/>
  <c r="L15" i="4"/>
  <c r="P24" i="4" l="1"/>
  <c r="M24" i="4"/>
  <c r="P212" i="1"/>
  <c r="R211" i="1"/>
  <c r="Q25" i="4" s="1"/>
  <c r="R212" i="1"/>
  <c r="F24" i="4"/>
  <c r="P210" i="1"/>
  <c r="S210" i="1" s="1"/>
  <c r="S211" i="1"/>
  <c r="L25" i="4"/>
  <c r="L26" i="4"/>
  <c r="P22" i="4"/>
  <c r="Q213" i="1"/>
  <c r="P27" i="4" s="1"/>
  <c r="F22" i="4"/>
  <c r="R217" i="5"/>
  <c r="R218" i="5" s="1"/>
  <c r="I208" i="1"/>
  <c r="R208" i="1" s="1"/>
  <c r="S208" i="1" s="1"/>
  <c r="G211" i="1"/>
  <c r="S189" i="1"/>
  <c r="AE189" i="1" s="1"/>
  <c r="AE184" i="1"/>
  <c r="I209" i="1"/>
  <c r="I217" i="5"/>
  <c r="J217" i="5" s="1"/>
  <c r="J216" i="5"/>
  <c r="J201" i="1"/>
  <c r="J210" i="1" s="1"/>
  <c r="H14" i="4"/>
  <c r="J215" i="5"/>
  <c r="I210" i="1"/>
  <c r="R210" i="1" s="1"/>
  <c r="R15" i="4"/>
  <c r="L16" i="4"/>
  <c r="R16" i="4" s="1"/>
  <c r="J209" i="1" l="1"/>
  <c r="R209" i="1"/>
  <c r="Q26" i="4"/>
  <c r="Q24" i="4"/>
  <c r="O26" i="4"/>
  <c r="O24" i="4"/>
  <c r="R213" i="1"/>
  <c r="Q27" i="4" s="1"/>
  <c r="Q22" i="4"/>
  <c r="S212" i="1"/>
  <c r="H22" i="4"/>
  <c r="J208" i="1"/>
  <c r="I218" i="5"/>
  <c r="H23" i="4"/>
  <c r="I211" i="1"/>
  <c r="L17" i="4"/>
  <c r="J202" i="1"/>
  <c r="H24" i="4"/>
  <c r="J218" i="5"/>
  <c r="I14" i="4"/>
  <c r="H15" i="4"/>
  <c r="J211" i="1" l="1"/>
  <c r="R17" i="4"/>
  <c r="L18" i="4"/>
  <c r="Q23" i="4"/>
  <c r="S209" i="1"/>
  <c r="H16" i="4"/>
  <c r="I16" i="4" s="1"/>
  <c r="I15" i="4"/>
  <c r="H17" i="4" l="1"/>
  <c r="I17" i="4" s="1"/>
  <c r="R201" i="1" l="1"/>
  <c r="R202" i="1" s="1"/>
  <c r="P213" i="1"/>
  <c r="O27" i="4" s="1"/>
  <c r="O213" i="1"/>
  <c r="N27" i="4" s="1"/>
  <c r="M213" i="1"/>
  <c r="L27" i="4" s="1"/>
  <c r="N213" i="1"/>
  <c r="M27" i="4" s="1"/>
  <c r="S213" i="1"/>
  <c r="D214" i="1" l="1"/>
  <c r="D217" i="1"/>
  <c r="L197" i="1" l="1"/>
  <c r="U197" i="1"/>
</calcChain>
</file>

<file path=xl/comments1.xml><?xml version="1.0" encoding="utf-8"?>
<comments xmlns="http://schemas.openxmlformats.org/spreadsheetml/2006/main">
  <authors>
    <author>Celine Polini (PSE)</author>
  </authors>
  <commentList>
    <comment ref="H19" authorId="0" shapeId="0">
      <text>
        <r>
          <rPr>
            <b/>
            <sz val="9"/>
            <color indexed="81"/>
            <rFont val="Tahoma"/>
            <family val="2"/>
          </rPr>
          <t>Celine Polini (PSE):</t>
        </r>
        <r>
          <rPr>
            <sz val="9"/>
            <color indexed="81"/>
            <rFont val="Tahoma"/>
            <family val="2"/>
          </rPr>
          <t xml:space="preserve">
+40 000</t>
        </r>
      </text>
    </comment>
    <comment ref="H73" authorId="0" shapeId="0">
      <text>
        <r>
          <rPr>
            <b/>
            <sz val="9"/>
            <color indexed="81"/>
            <rFont val="Tahoma"/>
            <family val="2"/>
          </rPr>
          <t>Celine Polini (PSE):</t>
        </r>
        <r>
          <rPr>
            <sz val="9"/>
            <color indexed="81"/>
            <rFont val="Tahoma"/>
            <family val="2"/>
          </rPr>
          <t xml:space="preserve">
comme discuté 40 000 de la voiture reportées sur le coordo international. 5 000 gardés sur non exp</t>
        </r>
      </text>
    </comment>
    <comment ref="H80" authorId="0" shapeId="0">
      <text>
        <r>
          <rPr>
            <b/>
            <sz val="9"/>
            <color indexed="81"/>
            <rFont val="Tahoma"/>
            <family val="2"/>
          </rPr>
          <t>Celine Polini (PSE):</t>
        </r>
        <r>
          <rPr>
            <sz val="9"/>
            <color indexed="81"/>
            <rFont val="Tahoma"/>
            <family val="2"/>
          </rPr>
          <t xml:space="preserve">
le total reste le meme mais a été 'reparti entre les 3 catégories pour correspondre aux standards FAO </t>
        </r>
      </text>
    </comment>
  </commentList>
</comments>
</file>

<file path=xl/sharedStrings.xml><?xml version="1.0" encoding="utf-8"?>
<sst xmlns="http://schemas.openxmlformats.org/spreadsheetml/2006/main" count="1402" uniqueCount="958">
  <si>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</si>
  <si>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</si>
  <si>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</si>
  <si>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</si>
  <si>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</si>
  <si>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</si>
  <si>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</si>
  <si>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</si>
  <si>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</si>
  <si>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</si>
  <si>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</si>
  <si>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</si>
  <si>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</si>
  <si>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</si>
  <si>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</si>
  <si>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</si>
  <si>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</si>
  <si>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</si>
  <si>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</si>
  <si>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</si>
  <si>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</si>
  <si>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</si>
  <si>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</si>
  <si>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</si>
  <si>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</si>
  <si>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</si>
  <si>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</si>
  <si>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</si>
  <si>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</si>
  <si>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</si>
  <si>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</si>
  <si>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</si>
  <si>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</si>
  <si>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</si>
  <si>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</si>
  <si>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</si>
  <si>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</si>
  <si>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</si>
  <si>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</si>
  <si>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</si>
  <si>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</si>
  <si>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</si>
  <si>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</si>
  <si>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</si>
  <si>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</si>
  <si>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</si>
  <si>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</si>
  <si>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</si>
  <si>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</si>
  <si>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</si>
  <si>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</si>
  <si>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</si>
  <si>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</si>
  <si>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</si>
  <si>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</si>
  <si>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</si>
  <si>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</si>
  <si>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</si>
  <si>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</si>
  <si>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</si>
  <si>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</si>
  <si>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</si>
  <si>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</si>
  <si>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</si>
  <si>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</si>
  <si>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</si>
  <si>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</si>
  <si>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</si>
  <si>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</si>
  <si>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</si>
  <si>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</si>
  <si>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</si>
  <si>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</si>
  <si>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</si>
  <si>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</si>
  <si>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</si>
  <si>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</si>
  <si>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</si>
  <si>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</si>
  <si>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</si>
  <si>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</si>
  <si>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</si>
  <si>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</si>
  <si>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</si>
  <si>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</si>
  <si>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</si>
  <si>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</si>
  <si>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</si>
  <si>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</si>
  <si>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</si>
  <si>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</si>
  <si>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</si>
  <si>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</si>
  <si>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</si>
  <si>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</si>
  <si>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</si>
  <si>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</si>
  <si>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</si>
  <si>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</si>
  <si>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</si>
  <si>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</si>
  <si>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</si>
  <si>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</si>
  <si>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</si>
  <si>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</si>
  <si>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</si>
  <si>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</si>
  <si>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</si>
  <si>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</si>
  <si>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</si>
  <si>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</si>
  <si>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</si>
  <si>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</si>
  <si>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</si>
  <si>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</si>
  <si>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</si>
  <si>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</si>
  <si>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</si>
  <si>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</si>
  <si>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</si>
  <si>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</si>
  <si>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</si>
  <si>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</si>
  <si>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</si>
  <si>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</si>
  <si>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</si>
  <si>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</si>
  <si>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</si>
  <si>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</si>
  <si>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</si>
  <si>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</si>
  <si>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</si>
  <si>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</si>
  <si>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</si>
  <si>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</si>
  <si>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</si>
  <si>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</si>
  <si>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</si>
  <si>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</si>
  <si>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</si>
  <si>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</si>
  <si>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</si>
  <si>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</si>
  <si>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</si>
  <si>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</si>
  <si>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</si>
  <si>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</si>
  <si>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</si>
  <si>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</si>
  <si>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</si>
  <si>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</si>
  <si>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</si>
  <si>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</si>
  <si>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</si>
  <si>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</si>
  <si>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</si>
  <si>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</si>
  <si>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</si>
  <si>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</si>
  <si>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</si>
  <si>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</si>
  <si>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</si>
  <si>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</si>
  <si>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</si>
  <si>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</si>
  <si>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</si>
  <si>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</si>
  <si>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</si>
  <si>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</si>
  <si>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</si>
  <si>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</si>
  <si>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</si>
  <si>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</si>
  <si>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</si>
  <si>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</si>
  <si>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</si>
  <si>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</si>
  <si>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</si>
  <si>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</si>
  <si>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</si>
  <si>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</si>
  <si>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</si>
  <si>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</si>
  <si>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</si>
  <si>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</si>
  <si>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</si>
  <si>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</si>
  <si>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</si>
  <si>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</si>
  <si>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</si>
  <si>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</si>
  <si>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</si>
  <si>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</si>
  <si>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</si>
  <si>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</si>
  <si>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</si>
  <si>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</si>
  <si>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</si>
  <si>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</si>
  <si>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</si>
  <si>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</si>
  <si>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</si>
  <si>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</si>
  <si>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</si>
  <si>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</si>
  <si>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</si>
  <si>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</si>
  <si>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</si>
  <si>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</si>
  <si>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</si>
  <si>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</si>
  <si>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</si>
  <si>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</si>
  <si>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</si>
  <si>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</si>
  <si>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</si>
  <si>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</si>
  <si>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</si>
  <si>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</si>
  <si>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</si>
  <si>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</si>
  <si>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</si>
  <si>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</si>
  <si>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</si>
  <si>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</si>
  <si>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</si>
  <si>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</si>
  <si>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</si>
  <si>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</si>
  <si>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</si>
  <si>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</si>
  <si>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</si>
  <si>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</si>
  <si>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</si>
  <si>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</si>
  <si>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</si>
  <si>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</si>
  <si>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</si>
  <si>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</si>
  <si>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</si>
  <si>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</si>
  <si>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</si>
  <si>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</si>
  <si>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</si>
  <si>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</si>
  <si>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</si>
  <si>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</si>
  <si>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</si>
  <si>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</si>
  <si>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</si>
  <si>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</si>
  <si>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</si>
  <si>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</si>
  <si>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</si>
  <si>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</si>
  <si>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</si>
  <si>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</si>
  <si>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</si>
  <si>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</si>
  <si>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</si>
  <si>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</si>
  <si>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</si>
  <si>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</si>
  <si>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</si>
  <si>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</si>
  <si>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</si>
  <si>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</si>
  <si>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</si>
  <si>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</si>
  <si>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</si>
  <si>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</si>
  <si>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</si>
  <si>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</si>
  <si>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</si>
  <si>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</si>
  <si>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</si>
  <si>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</si>
  <si>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</si>
  <si>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</si>
  <si>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</si>
  <si>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</si>
  <si>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</si>
  <si>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</si>
  <si>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</si>
  <si>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</si>
  <si>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</si>
  <si>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</si>
  <si>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</si>
  <si>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</si>
  <si>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</si>
  <si>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</si>
  <si>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</si>
  <si>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</si>
  <si>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</si>
  <si>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</si>
  <si>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</si>
  <si>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</si>
  <si>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</si>
  <si>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</si>
  <si>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</si>
  <si>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</si>
  <si>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</si>
  <si>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</si>
  <si>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</si>
  <si>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</si>
  <si>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</si>
  <si>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</si>
  <si>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</si>
  <si>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</si>
  <si>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</si>
  <si>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</si>
  <si>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</si>
  <si>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</si>
  <si>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</si>
  <si>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</si>
  <si>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</si>
  <si>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</si>
  <si>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</si>
  <si>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</si>
  <si>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</si>
  <si>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</si>
  <si>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</si>
  <si>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</si>
  <si>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</si>
  <si>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</si>
  <si>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</si>
  <si>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</si>
  <si>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</si>
  <si>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</si>
  <si>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</si>
  <si>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</si>
  <si>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</si>
  <si>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</si>
  <si>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</si>
  <si>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</si>
  <si>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</si>
  <si>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</si>
  <si>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</si>
  <si>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</si>
  <si>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</si>
  <si>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</si>
  <si>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</si>
  <si>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</si>
  <si>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</si>
  <si>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</si>
  <si>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</si>
  <si>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</si>
  <si>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</si>
  <si>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</si>
  <si>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</si>
  <si>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</si>
  <si>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</si>
  <si>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</si>
  <si>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</si>
  <si>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</si>
  <si>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</si>
  <si>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</si>
  <si>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</si>
  <si>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</si>
  <si>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</si>
  <si>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</si>
  <si>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</si>
  <si>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</si>
  <si>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</si>
  <si>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</si>
  <si>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</si>
  <si>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</si>
  <si>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</si>
  <si>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</si>
  <si>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</si>
  <si>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</si>
  <si>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</si>
  <si>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</si>
  <si>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</si>
  <si>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</si>
  <si>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</si>
  <si>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</si>
  <si>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</si>
  <si>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</si>
  <si>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</si>
  <si>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</si>
  <si>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</si>
  <si>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</si>
  <si>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</si>
  <si>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</si>
  <si>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</si>
  <si>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</si>
  <si>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</si>
  <si>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</si>
  <si>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</si>
  <si>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</si>
  <si>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</si>
  <si>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</si>
  <si>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</si>
  <si>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</si>
  <si>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</si>
  <si>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</si>
  <si>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</si>
  <si>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</si>
  <si>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</si>
  <si>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</si>
  <si>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</si>
  <si>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</si>
  <si>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</si>
  <si>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</si>
  <si>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</si>
  <si>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</si>
  <si>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</si>
  <si>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</si>
  <si>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</si>
  <si>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</si>
  <si>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</si>
  <si>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</si>
  <si>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</si>
  <si>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</si>
  <si>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</si>
  <si>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</si>
  <si>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</si>
  <si>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</si>
  <si>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</si>
  <si>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</si>
  <si>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</si>
  <si>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</si>
  <si>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</si>
  <si>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</si>
  <si>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</si>
  <si>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</si>
  <si>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</si>
  <si>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</si>
  <si>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</si>
  <si>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</si>
  <si>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</si>
  <si>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</si>
  <si>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</si>
  <si>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</si>
  <si>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</si>
  <si>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</si>
  <si>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</si>
  <si>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</si>
  <si>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</si>
  <si>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</si>
  <si>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</si>
  <si>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</si>
  <si>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</si>
  <si>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</si>
  <si>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</si>
  <si>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</si>
  <si>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</si>
  <si>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</si>
  <si>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</si>
  <si>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</si>
  <si>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</si>
  <si>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</si>
  <si>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</si>
  <si>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</si>
  <si>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</si>
  <si>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</si>
  <si>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</si>
  <si>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</si>
  <si>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</si>
  <si>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</si>
  <si>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</si>
  <si>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</si>
  <si>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</si>
  <si>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</si>
  <si>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</si>
  <si>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</si>
  <si>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</si>
  <si>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</si>
  <si>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</si>
  <si>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</si>
  <si>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</si>
  <si>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</si>
  <si>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</si>
  <si>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</si>
  <si>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</si>
  <si>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</si>
  <si>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</si>
  <si>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</si>
  <si>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</si>
  <si>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</si>
  <si>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</si>
  <si>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</si>
  <si>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</si>
  <si>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</si>
  <si>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</si>
  <si>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</si>
  <si>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</si>
  <si>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</si>
  <si>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</si>
  <si>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</si>
  <si>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</si>
  <si>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</si>
  <si>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</si>
  <si>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</si>
  <si>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</si>
  <si>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</si>
  <si>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</si>
  <si>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</si>
  <si>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</si>
  <si>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</si>
  <si>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</si>
  <si>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</si>
  <si>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</si>
  <si>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</si>
  <si>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</si>
  <si>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</si>
  <si>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</si>
  <si>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</si>
  <si>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</si>
  <si>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</si>
  <si>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</si>
  <si>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</si>
  <si>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</si>
  <si>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</si>
  <si>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</si>
  <si>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</si>
  <si>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</si>
  <si>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</si>
  <si>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</si>
  <si>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</si>
  <si>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</si>
  <si>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</si>
  <si>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</si>
  <si>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</si>
  <si>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</si>
  <si>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</si>
  <si>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</si>
  <si>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</si>
  <si>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</si>
  <si>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</si>
  <si>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</si>
  <si>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</si>
  <si>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</si>
  <si>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</si>
  <si>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</si>
  <si>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</si>
  <si>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</si>
  <si>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</si>
  <si>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</si>
  <si>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</si>
  <si>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</si>
  <si>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</si>
  <si>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</si>
  <si>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</si>
  <si>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</si>
  <si>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</si>
  <si>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</si>
  <si>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</si>
  <si>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</si>
  <si>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</si>
  <si>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</si>
  <si>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</si>
  <si>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</si>
  <si>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</si>
  <si>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</si>
  <si>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</si>
  <si>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</si>
  <si>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</si>
  <si>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</si>
  <si>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</si>
  <si>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</si>
  <si>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</si>
  <si>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</si>
  <si>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</si>
  <si>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</si>
  <si>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</si>
  <si>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</si>
  <si>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</si>
  <si>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</si>
  <si>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</si>
  <si>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</si>
  <si>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</si>
  <si>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</si>
  <si>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</si>
  <si>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</si>
  <si>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</si>
  <si>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</si>
  <si>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</si>
  <si>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</si>
  <si>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</si>
  <si>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</si>
  <si>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</si>
  <si>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</si>
  <si>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</si>
  <si>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</si>
  <si>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</si>
  <si>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</si>
  <si>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</si>
  <si>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</si>
  <si>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</si>
  <si>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</si>
  <si>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</si>
  <si>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</si>
  <si>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</si>
  <si>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</si>
  <si>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</si>
  <si>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</si>
  <si>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</si>
  <si>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</si>
  <si>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</si>
  <si>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</si>
  <si>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</si>
  <si>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</si>
  <si>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</si>
  <si>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</si>
  <si>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</si>
  <si>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</si>
  <si>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</si>
  <si>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</si>
  <si>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</si>
  <si>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</si>
  <si>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</si>
  <si>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</si>
  <si>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</si>
  <si>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</si>
  <si>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</si>
  <si>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</si>
  <si>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</si>
  <si>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</si>
  <si>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</si>
  <si>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</si>
  <si>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</si>
  <si>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</si>
  <si>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</si>
  <si>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</si>
  <si>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</si>
  <si>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</si>
  <si>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</si>
  <si>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</si>
  <si>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</si>
  <si>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</si>
  <si>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</si>
  <si>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</si>
  <si>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</si>
  <si>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</si>
  <si>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</si>
  <si>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</si>
  <si>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</si>
  <si>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</si>
  <si>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</si>
  <si>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</si>
  <si>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</si>
  <si>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</si>
  <si>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</si>
  <si>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</si>
  <si>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</si>
  <si>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</si>
  <si>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</si>
  <si>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</si>
  <si>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</si>
  <si>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</si>
  <si>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</si>
  <si>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</si>
  <si>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</si>
  <si>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</si>
  <si>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</si>
  <si>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</si>
  <si>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</si>
  <si>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</si>
  <si>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</si>
  <si>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</si>
  <si>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</si>
  <si>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</si>
  <si>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theme="1"/>
        <rFont val="Calibri"/>
        <family val="2"/>
        <scheme val="minor"/>
      </rPr>
      <t>Example of a detailed mapped budget (PBF/FAO) used to obtain OSP and Financial Clearances</t>
    </r>
    <r>
      <rPr>
        <sz val="11"/>
        <color theme="1"/>
        <rFont val="Calibri"/>
        <family val="2"/>
        <scheme val="minor"/>
      </rPr>
      <t xml:space="preserve">
**Please note that the various budget and expenditure codes/descriptions included in this budget are </t>
    </r>
    <r>
      <rPr>
        <u/>
        <sz val="11"/>
        <color theme="1"/>
        <rFont val="Calibri"/>
        <family val="2"/>
        <scheme val="minor"/>
      </rPr>
      <t>just examples.</t>
    </r>
    <r>
      <rPr>
        <sz val="11"/>
        <color theme="1"/>
        <rFont val="Calibri"/>
        <family val="2"/>
        <scheme val="minor"/>
      </rPr>
      <t xml:space="preserve"> Your particular project can/will use different codes based on the planned activities
*** The </t>
    </r>
    <r>
      <rPr>
        <sz val="11"/>
        <color rgb="FFFF0000"/>
        <rFont val="Calibri"/>
        <family val="2"/>
        <scheme val="minor"/>
      </rPr>
      <t>lines in red</t>
    </r>
    <r>
      <rPr>
        <sz val="11"/>
        <color theme="1"/>
        <rFont val="Calibri"/>
        <family val="2"/>
        <scheme val="minor"/>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</si>
  <si>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</si>
  <si>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</si>
  <si>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</si>
  <si>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</si>
  <si>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</si>
  <si>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</si>
  <si>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</si>
  <si>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</si>
  <si>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</si>
  <si>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</si>
  <si>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</si>
  <si>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</si>
  <si>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</si>
  <si>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</si>
  <si>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</si>
  <si>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</si>
  <si>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</si>
  <si>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</si>
  <si>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</si>
  <si>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</si>
  <si>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</si>
  <si>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</si>
  <si>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</si>
  <si>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</si>
  <si>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</si>
  <si>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</si>
  <si>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</si>
  <si>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</si>
  <si>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</si>
  <si>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</si>
  <si>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</si>
  <si>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</si>
  <si>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</si>
  <si>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</si>
  <si>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</si>
  <si>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</si>
  <si>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</si>
  <si>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</si>
  <si>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</si>
  <si>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</si>
  <si>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</si>
  <si>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</si>
  <si>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</si>
  <si>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</si>
  <si>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</si>
  <si>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</si>
  <si>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</si>
  <si>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</si>
  <si>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</si>
  <si>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</si>
  <si>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</si>
  <si>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</si>
  <si>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</si>
  <si>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</si>
  <si>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</si>
  <si>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</si>
  <si>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</si>
  <si>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</si>
  <si>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</si>
  <si>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</si>
  <si>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</si>
  <si>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</si>
  <si>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</si>
  <si>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</si>
  <si>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</si>
  <si>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</si>
  <si>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</si>
  <si>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</si>
  <si>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</si>
  <si>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</si>
  <si>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</si>
  <si>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</si>
  <si>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</si>
  <si>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</si>
  <si>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</si>
  <si>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</si>
  <si>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</si>
  <si>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</si>
  <si>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</si>
  <si>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</si>
  <si>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</si>
  <si>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</si>
  <si>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</si>
  <si>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scheme val="minor"/>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</si>
  <si>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</si>
  <si>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</si>
  <si>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</si>
  <si>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</si>
  <si>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</si>
  <si>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</si>
  <si>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</si>
  <si>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</si>
  <si>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</si>
  <si>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</si>
  <si>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</si>
  <si>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</si>
  <si>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</si>
  <si>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</si>
  <si>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</si>
  <si>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</si>
  <si>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</si>
  <si>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</si>
  <si>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</si>
  <si>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</si>
  <si>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</si>
  <si>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</si>
  <si>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</si>
  <si>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</si>
  <si>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</si>
  <si>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</si>
  <si>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</si>
  <si>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</si>
  <si>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</si>
  <si>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</si>
  <si>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</si>
  <si>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</si>
  <si>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</si>
  <si>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</si>
  <si>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</si>
  <si>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</si>
  <si>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</si>
  <si>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</si>
  <si>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</si>
  <si>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</si>
  <si>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</si>
  <si>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</si>
  <si>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</si>
  <si>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</si>
  <si>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</si>
  <si>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</si>
  <si>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</si>
  <si>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</si>
  <si>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</si>
  <si>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</si>
  <si>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</si>
  <si>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</si>
  <si>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</si>
  <si>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</si>
  <si>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</si>
  <si>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</si>
  <si>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</si>
  <si>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</si>
  <si>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</si>
  <si>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</si>
  <si>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</si>
  <si>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</si>
  <si>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</si>
  <si>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</si>
  <si>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</si>
  <si>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</si>
  <si>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</si>
  <si>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</si>
  <si>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</si>
  <si>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</si>
  <si>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</si>
  <si>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</si>
  <si>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</si>
  <si>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</si>
  <si>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</si>
  <si>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</si>
  <si>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</si>
  <si>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</si>
  <si>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</si>
  <si>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</si>
  <si>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</si>
  <si>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</si>
  <si>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</si>
  <si>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</si>
  <si>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</si>
  <si>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</si>
  <si>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</si>
  <si>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</si>
  <si>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</si>
  <si>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</si>
  <si>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</si>
  <si>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</si>
  <si>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</si>
  <si>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</si>
  <si>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</si>
  <si>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</si>
  <si>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</si>
  <si>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</si>
  <si>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</si>
  <si>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</si>
  <si>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</si>
  <si>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</si>
  <si>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</si>
  <si>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</si>
  <si>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</si>
  <si>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</si>
  <si>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</si>
  <si>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</si>
  <si>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</si>
  <si>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</si>
  <si>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</si>
  <si>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</si>
  <si>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</si>
  <si>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</si>
  <si>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</si>
  <si>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</si>
  <si>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</si>
  <si>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</si>
  <si>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</si>
  <si>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</si>
  <si>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</si>
  <si>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</si>
  <si>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</si>
  <si>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</si>
  <si>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</si>
  <si>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</si>
  <si>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</si>
  <si>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</si>
  <si>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</si>
  <si>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</si>
  <si>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</si>
  <si>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</si>
  <si>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</si>
  <si>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</si>
  <si>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</si>
  <si>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</si>
  <si>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</si>
  <si>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BUDGET APPROUVE</t>
  </si>
  <si>
    <t>variation</t>
  </si>
  <si>
    <t>NOUVEAU BUDGET</t>
  </si>
  <si>
    <t>Activité supprimée</t>
  </si>
  <si>
    <t>Variation en %</t>
  </si>
  <si>
    <t>Catégories</t>
  </si>
  <si>
    <t>Frais d'organisations des sessions, Frais de mission pour suivi et monitoring; Ressources additionnelle du fait de la covid et du contexte securitaire, ressources additionnelles requise pour l'activité</t>
  </si>
  <si>
    <t>Contrat de service pour travaux pour la mali et le Burkina, Mobilisation communitaire pour le Niger</t>
  </si>
  <si>
    <r>
      <t>Cartographier/</t>
    </r>
    <r>
      <rPr>
        <sz val="12"/>
        <color rgb="FFFF0000"/>
        <rFont val="Calibri"/>
        <family val="2"/>
        <scheme val="minor"/>
      </rPr>
      <t xml:space="preserve">Mettre à jour la cartographie des ressources pastorales et validation du rayon de couverture spatiale du suivi des mouvements transhumants dans l’espace transfrontalier </t>
    </r>
    <r>
      <rPr>
        <strike/>
        <sz val="12"/>
        <color theme="1"/>
        <rFont val="Calibri"/>
        <family val="2"/>
        <scheme val="minor"/>
      </rPr>
      <t>les transhumances dans les zones d’intervention</t>
    </r>
  </si>
  <si>
    <t xml:space="preserve"> Renforcer les capacités des acteurs nationaux en charge de la gestion de la transhumance sur l’outil de gestion de la transhumance</t>
  </si>
  <si>
    <t xml:space="preserve">Renforcer les capacités des acteurs sur l’analyse de l’indice de stabilité </t>
  </si>
  <si>
    <t>Intégration de l’analyse de l’index de stabilité de l’OIM dans le TTT pour réorienter les mouvements transhumants en cas de besoin</t>
  </si>
  <si>
    <t>Plaidoyer à l’endroit des autorités compétentes pour une participation et une implication des structures en charge de la transhumance dans la production et les réponses aux alertes ;</t>
  </si>
  <si>
    <t>Activite 2.1.9</t>
  </si>
  <si>
    <t>Activite 2.1.10</t>
  </si>
  <si>
    <t>Mettre en place et opérationnalisation d’un réseau transfrontalier de jeunes et de femmes leaders pour promouvoir la transhumance </t>
  </si>
  <si>
    <t>Mettre en place et opérationnaliser un observatoire transfrontalier de suivi de la transhumance et des conflits liés aux ressources pastorales</t>
  </si>
  <si>
    <t xml:space="preserve">Organiser des rencontres de cadrage et de partage d’expériences entre les différents cadres de concertation communale pour discuter de la transhumance </t>
  </si>
  <si>
    <t xml:space="preserve">Elaborer/ opérationnaliser des plans d’action des cadres de concertation </t>
  </si>
  <si>
    <t>Actualiser et vulgariser massivement les bonnes pratiques de gestion de la transhumance au niveau régional </t>
  </si>
  <si>
    <t>Elaborer /mettre à jour un guide de gestion sur la transhumance transfrontalière </t>
  </si>
  <si>
    <t xml:space="preserve">Renforcer les capacités des cadres de concertation en technique de médiation, de prévention et gestion des conflits </t>
  </si>
  <si>
    <t>Activite 3.1.9</t>
  </si>
  <si>
    <t>Activite 3.1.10</t>
  </si>
  <si>
    <t>Activite 3.1.11</t>
  </si>
  <si>
    <t>Activite 3.1.12</t>
  </si>
  <si>
    <t>Renforcement des capacités des comités de gestion des ressources et infrastructures pastorales réalisées ou réhabilités dans le cadre de la première phase en les dotant d’intrants, outils et de fonds de roulement pour mieux gérer et pérenniser les investissements existants</t>
  </si>
  <si>
    <t xml:space="preserve">Appui au développement de corridor transfrontalier de transhumances autour des investissant investissements réalisés au cours de la première phase </t>
  </si>
  <si>
    <t xml:space="preserve">Promotion d’une approche intégrée d’élaboration et de mise en œuvre de conventions de gestions des ressources et infrastructures pastorales </t>
  </si>
  <si>
    <t xml:space="preserve">Promotion de comités transfrontaliers de gestion des ressources pastorales partagées </t>
  </si>
  <si>
    <t>Activite 3.2.9</t>
  </si>
  <si>
    <t>Activite 3.2.10</t>
  </si>
  <si>
    <t xml:space="preserve">Renforcement de la production fourragère par les jeunes et les femmes comme activité génératrice d’autonomisation des jeunes et des femmes </t>
  </si>
  <si>
    <t xml:space="preserve">Appui au renforcement de la collaboration sur la surveillance transfrontalière des maladies le long des portes d’entrées et couloirs de passage nationaux des communes frontalières </t>
  </si>
  <si>
    <t xml:space="preserve">Promouvoir et appuyer l’organisation conjointe des campagnes de vaccination au niveau des postes d’entrée et de sortie entre communes transfrontalières pour renforcer la cohésion sociale entre les acteurs </t>
  </si>
  <si>
    <t>Formation des acteurs sur les directives volontaires applicables à la gouvernance des terres pastorales et le développement de corridors de transhumance transfrontaliers</t>
  </si>
  <si>
    <t>Les communautés pastorales sont résilientes grâce à une meilleure compréhension des dynamiques de l'espace pastoral</t>
  </si>
  <si>
    <t xml:space="preserve">Les connaissances des acteurs sur la capacité technique, environnementale, économique et social de l’espace pastoral à satisfaire les besoins des communautés pastorales sont améliorées </t>
  </si>
  <si>
    <t>Analyse de la viabilité pastorale et étude inventaire des valeurs directes et indirectes de l’économie pastorale</t>
  </si>
  <si>
    <t>Analyser les forces et faiblesses des systèmes traditionnel d’informations sur les ressources pastorales existants</t>
  </si>
  <si>
    <t>Renforcement des capacités des membres des STI et SCPA/RU sur la collecte et diffusion des données sur les ressources pastorales</t>
  </si>
  <si>
    <t xml:space="preserve">Traduire et diffuser les principaux textes législatifs et règlementaires sur la trashumance en langues locales   </t>
  </si>
  <si>
    <t xml:space="preserve"> Des procédures de de la rumeurs de la stigmatisation, la marginalisation et des plaintes sont mise en place et renforcées pour une pour une transhumance apaisée</t>
  </si>
  <si>
    <t xml:space="preserve"> Elaborer  et vulgariser les outils de collecte de la rumeur de la stigmatisation, la marginalisation et des plaintes;</t>
  </si>
  <si>
    <t xml:space="preserve"> Mettre en place le circuit de la remontée et du retour rumeurs de la stigmatisation, la marginalisation et des plaintes des transhumants ;</t>
  </si>
  <si>
    <t xml:space="preserve"> Mettre en place un système de documentation des rumeurs de la stigmatisation, la marginalisation et des plaintes </t>
  </si>
  <si>
    <t>Enquêtes de perception</t>
  </si>
  <si>
    <t>Troisième tranche</t>
  </si>
  <si>
    <t>Quatrième tranche</t>
  </si>
  <si>
    <t>Cinquième tranche</t>
  </si>
  <si>
    <t>Fourth tranche</t>
  </si>
  <si>
    <t>Fifth tranche</t>
  </si>
  <si>
    <t>Suivi équipe du projet</t>
  </si>
  <si>
    <t>planification et suivi avec le comité technique</t>
  </si>
  <si>
    <t>Frais d'organisation activités de plaidoyer, Frais de mission et expertise nationale et internationale</t>
  </si>
  <si>
    <t>Frais d'organisation de reunions d'élaboration des plans, appui à la mise œuvre des plans</t>
  </si>
  <si>
    <t>Frais de Protocole avec ALG et services techniques</t>
  </si>
  <si>
    <t>Fais de consultance</t>
  </si>
  <si>
    <t>Frais de protocole de mise en œuvre et suivi avec les services stechnqiues</t>
  </si>
  <si>
    <t>Achat d'intrants zootechniques, frais de distribution et frais de protocole avec les services techniques</t>
  </si>
  <si>
    <t>Frais de prestation pour le services de traduction et de diffusion</t>
  </si>
  <si>
    <t>Frais de consultance</t>
  </si>
  <si>
    <t>Frais d'organisation d'atelier de formation (location de salle, restauration, deplacement des participants)</t>
  </si>
  <si>
    <t>Frais d'organisation d'atelier de formation (restauration, deplacement des participants, Honoraires du Consultant-formateur )</t>
  </si>
  <si>
    <t>Frais de formation (location de salle, restauration, deplacement des participants), Achat d'intrant et fonds de roulement des COGES</t>
  </si>
  <si>
    <t>BUDGET INITIAL APPROUVE</t>
  </si>
  <si>
    <t>BUDGET INITIAL</t>
  </si>
  <si>
    <t>Niveau de depense/ engagement actuel 
(a remplir au moment des rapports de projet)</t>
  </si>
  <si>
    <t xml:space="preserve">Niveau de dépense/engagement actuelle pour action directe sur égalité des sexes et autonomisation des femmes (GEWE) (cas echeant) </t>
  </si>
  <si>
    <t>NIGER</t>
  </si>
  <si>
    <t>MALI</t>
  </si>
  <si>
    <t>RAPPORT ANNUEL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</si>
</sst>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quot;$&quot;* #,##0.00_);_(&quot;$&quot;* \(#,##0.00\);_(&quot;$&quot;* &quot;-&quot;??_);_(@_)"/>
    <numFmt numFmtId="165" formatCode="_(* #,##0.00_);_(* \(#,##0.00\);_(* &quot;-&quot;??_);_(@_)"/>
    <numFmt numFmtId="166" formatCode="_-* #,##0_-;\-* #,##0_-;_-* &quot;-&quot;??_-;_-@_-"/>
    <numFmt numFmtId="167" formatCode="0.000000000"/>
    <numFmt numFmtId="168" formatCode="_-* #,##0\ _€_-;\-* #,##0\ _€_-;_-* &quot;-&quot;??\ _€_-;_-@_-"/>
    <numFmt numFmtId="169" formatCode="_-* #,##0\ _F_B_-;\-* #,##0\ _F_B_-;_-* &quot;-&quot;??\ _F_B_-;_-@_-"/>
    <numFmt numFmtId="170" formatCode="_(&quot;$&quot;* #,##0_);_(&quot;$&quot;* \(#,##0\);_(&quot;$&quot;* &quot;-&quot;??_);_(@_)"/>
    <numFmt numFmtId="171" formatCode="_(&quot;$&quot;* #,##0.0_);_(&quot;$&quot;* \(#,##0.0\);_(&quot;$&quot;* &quot;-&quot;??_);_(@_)"/>
    <numFmt numFmtId="172" formatCode="_-* #,##0.00\ _C_F_A_-;\-* #,##0.00\ _C_F_A_-;_-* &quot;-&quot;??\ _C_F_A_-;_-@_-"/>
  </numFmts>
  <fonts count="6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u/>
      <sz val="11"/>
      <color theme="1"/>
      <name val="Calibri"/>
      <family val="2"/>
      <scheme val="minor"/>
    </font>
    <font>
      <b/>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scheme val="minor"/>
    </font>
    <font>
      <sz val="9"/>
      <color rgb="FFFF0000"/>
      <name val="Arial"/>
      <family val="2"/>
    </font>
    <font>
      <b/>
      <sz val="14"/>
      <color theme="1"/>
      <name val="Calibri"/>
      <family val="2"/>
      <scheme val="minor"/>
    </font>
    <font>
      <sz val="10"/>
      <name val="Arial"/>
      <family val="2"/>
    </font>
    <font>
      <sz val="10"/>
      <name val="Calibri"/>
      <family val="2"/>
      <scheme val="minor"/>
    </font>
    <font>
      <sz val="10"/>
      <color rgb="FF0070C0"/>
      <name val="Calibri"/>
      <family val="2"/>
      <scheme val="minor"/>
    </font>
    <font>
      <b/>
      <u/>
      <sz val="11"/>
      <color theme="1"/>
      <name val="Calibri"/>
      <family val="2"/>
      <scheme val="minor"/>
    </font>
    <font>
      <b/>
      <sz val="12"/>
      <color rgb="FF000000"/>
      <name val="Times New Roman"/>
      <family val="1"/>
    </font>
    <font>
      <sz val="12"/>
      <name val="Times New Roman"/>
      <family val="1"/>
    </font>
    <font>
      <sz val="12"/>
      <color rgb="FF000000"/>
      <name val="Times New Roman"/>
      <family val="1"/>
    </font>
    <font>
      <sz val="12"/>
      <color rgb="FFFF0000"/>
      <name val="Times New Roman"/>
      <family val="1"/>
    </font>
    <font>
      <b/>
      <sz val="12"/>
      <name val="Times New Roman"/>
      <family val="1"/>
    </font>
    <font>
      <b/>
      <sz val="12"/>
      <color rgb="FFFF0000"/>
      <name val="Times New Roman"/>
      <family val="1"/>
    </font>
    <font>
      <sz val="12"/>
      <color rgb="FF000000"/>
      <name val="Arial Narrow"/>
      <family val="2"/>
    </font>
    <font>
      <b/>
      <sz val="10"/>
      <color rgb="FF000000"/>
      <name val="Times New Roman"/>
      <family val="1"/>
    </font>
    <font>
      <sz val="1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b/>
      <sz val="10"/>
      <name val="Times New Roman"/>
      <family val="1"/>
    </font>
    <font>
      <sz val="10"/>
      <color rgb="FF000000"/>
      <name val="Arial Narrow"/>
      <family val="2"/>
    </font>
    <font>
      <sz val="9"/>
      <color indexed="81"/>
      <name val="Tahoma"/>
      <family val="2"/>
    </font>
    <font>
      <b/>
      <sz val="9"/>
      <color indexed="81"/>
      <name val="Tahoma"/>
      <family val="2"/>
    </font>
    <font>
      <sz val="12"/>
      <color rgb="FFFF0000"/>
      <name val="Calibri"/>
      <family val="2"/>
      <scheme val="minor"/>
    </font>
    <font>
      <b/>
      <sz val="12"/>
      <color rgb="FFFF0000"/>
      <name val="Calibri"/>
      <family val="2"/>
      <scheme val="minor"/>
    </font>
    <font>
      <sz val="12"/>
      <name val="Calibri"/>
      <family val="2"/>
      <scheme val="minor"/>
    </font>
    <font>
      <strike/>
      <sz val="12"/>
      <color theme="1"/>
      <name val="Calibri"/>
      <family val="2"/>
      <scheme val="minor"/>
    </font>
    <font>
      <sz val="12"/>
      <color rgb="FF000000"/>
      <name val="Calibri"/>
      <family val="2"/>
    </font>
    <font>
      <sz val="10"/>
      <color rgb="FFC00000"/>
      <name val="Times New Roman"/>
      <family val="1"/>
    </font>
    <font>
      <b/>
      <sz val="24"/>
      <color theme="1"/>
      <name val="Calibri"/>
      <family val="2"/>
      <scheme val="minor"/>
    </font>
    <font>
      <b/>
      <sz val="16"/>
      <color theme="1"/>
      <name val="Arial Black"/>
      <family val="2"/>
    </font>
    <font>
      <sz val="12"/>
      <color rgb="FF0070C0"/>
      <name val="Calibri"/>
      <family val="2"/>
      <scheme val="minor"/>
    </font>
    <font>
      <b/>
      <sz val="12"/>
      <color rgb="FF0070C0"/>
      <name val="Calibri"/>
      <family val="2"/>
      <scheme val="minor"/>
    </font>
    <font>
      <sz val="11"/>
      <color rgb="FF0070C0"/>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9" tint="0.79998168889431442"/>
        <bgColor indexed="64"/>
      </patternFill>
    </fill>
  </fills>
  <borders count="7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ck">
        <color auto="1"/>
      </right>
      <top style="medium">
        <color auto="1"/>
      </top>
      <bottom/>
      <diagonal/>
    </border>
    <border>
      <left/>
      <right style="thick">
        <color auto="1"/>
      </right>
      <top/>
      <bottom/>
      <diagonal/>
    </border>
    <border>
      <left/>
      <right style="thick">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rgb="FF7F7F7F"/>
      </bottom>
      <diagonal/>
    </border>
    <border>
      <left/>
      <right style="medium">
        <color auto="1"/>
      </right>
      <top style="thin">
        <color auto="1"/>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41" fontId="4" fillId="0" borderId="0" applyFont="0" applyFill="0" applyBorder="0" applyAlignment="0" applyProtection="0"/>
  </cellStyleXfs>
  <cellXfs count="917">
    <xf numFmtId="0" fontId="0" fillId="0" borderId="0" xfId="0"/>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1" fillId="3" borderId="0" xfId="0" applyFont="1" applyFill="1" applyAlignment="1">
      <alignment vertical="center" wrapText="1"/>
    </xf>
    <xf numFmtId="164" fontId="1" fillId="0" borderId="0" xfId="0" applyNumberFormat="1" applyFont="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1"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0" fontId="5" fillId="3" borderId="0" xfId="0" applyFont="1" applyFill="1" applyAlignment="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Alignment="1">
      <alignment vertical="center" wrapText="1"/>
    </xf>
    <xf numFmtId="0" fontId="0" fillId="3" borderId="0" xfId="0" applyFill="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1" fillId="0" borderId="0" xfId="0" applyFont="1" applyAlignment="1">
      <alignment wrapText="1"/>
    </xf>
    <xf numFmtId="0" fontId="2" fillId="0" borderId="0" xfId="0" applyFont="1" applyAlignment="1">
      <alignment wrapText="1"/>
    </xf>
    <xf numFmtId="9" fontId="1" fillId="3" borderId="0" xfId="2" applyFont="1" applyFill="1" applyBorder="1" applyAlignment="1">
      <alignment wrapText="1"/>
    </xf>
    <xf numFmtId="0" fontId="2" fillId="3" borderId="0" xfId="0" applyFont="1" applyFill="1" applyAlignment="1">
      <alignment horizontal="center" vertical="center" wrapText="1"/>
    </xf>
    <xf numFmtId="164" fontId="1" fillId="3" borderId="0" xfId="2" applyNumberFormat="1" applyFont="1" applyFill="1" applyBorder="1" applyAlignment="1">
      <alignment wrapText="1"/>
    </xf>
    <xf numFmtId="0" fontId="5" fillId="2" borderId="3" xfId="0" applyFont="1" applyFill="1" applyBorder="1" applyAlignment="1">
      <alignment horizontal="center" vertical="center" wrapText="1"/>
    </xf>
    <xf numFmtId="0" fontId="1"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164" fontId="1" fillId="2" borderId="3" xfId="0" applyNumberFormat="1" applyFont="1" applyFill="1" applyBorder="1" applyAlignment="1">
      <alignment horizontal="center" wrapText="1"/>
    </xf>
    <xf numFmtId="0" fontId="5" fillId="3" borderId="0" xfId="0" applyFont="1" applyFill="1" applyAlignment="1">
      <alignment wrapText="1"/>
    </xf>
    <xf numFmtId="164" fontId="1" fillId="4" borderId="3" xfId="1" applyFont="1" applyFill="1" applyBorder="1" applyAlignment="1" applyProtection="1">
      <alignment wrapText="1"/>
    </xf>
    <xf numFmtId="164" fontId="1" fillId="0" borderId="0" xfId="0" applyNumberFormat="1" applyFont="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lignment vertical="center"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Font="1" applyFill="1" applyBorder="1" applyAlignment="1">
      <alignment wrapText="1"/>
    </xf>
    <xf numFmtId="164" fontId="1" fillId="3" borderId="4" xfId="1" applyFont="1" applyFill="1" applyBorder="1" applyAlignment="1" applyProtection="1">
      <alignment wrapText="1"/>
    </xf>
    <xf numFmtId="164" fontId="1" fillId="3" borderId="1" xfId="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7"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2" fillId="2" borderId="10" xfId="0" applyFont="1" applyFill="1" applyBorder="1"/>
    <xf numFmtId="0" fontId="2" fillId="2" borderId="8" xfId="0" applyFont="1" applyFill="1" applyBorder="1"/>
    <xf numFmtId="0" fontId="2" fillId="2" borderId="3" xfId="0" applyFont="1" applyFill="1" applyBorder="1"/>
    <xf numFmtId="0" fontId="2"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lignment vertical="center" wrapText="1"/>
    </xf>
    <xf numFmtId="0" fontId="5" fillId="6" borderId="3" xfId="0" applyFont="1" applyFill="1" applyBorder="1" applyAlignment="1">
      <alignment vertical="center" wrapText="1"/>
    </xf>
    <xf numFmtId="0" fontId="1" fillId="2" borderId="3" xfId="0" applyFont="1" applyFill="1" applyBorder="1" applyAlignment="1">
      <alignment vertical="center" wrapText="1"/>
    </xf>
    <xf numFmtId="0" fontId="1" fillId="3" borderId="3" xfId="0" applyFont="1" applyFill="1" applyBorder="1" applyAlignment="1">
      <alignment vertical="center" wrapText="1"/>
    </xf>
    <xf numFmtId="0" fontId="2" fillId="2" borderId="8" xfId="0" applyFont="1" applyFill="1" applyBorder="1" applyAlignment="1">
      <alignment horizontal="left" vertical="center" wrapText="1"/>
    </xf>
    <xf numFmtId="9" fontId="1" fillId="2" borderId="9" xfId="2"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lignment vertical="center" wrapText="1"/>
    </xf>
    <xf numFmtId="0" fontId="7" fillId="2" borderId="54" xfId="0" applyFont="1" applyFill="1" applyBorder="1" applyAlignment="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6" fillId="0" borderId="0" xfId="0" applyFont="1" applyAlignment="1">
      <alignment horizontal="left" vertical="top" wrapText="1"/>
    </xf>
    <xf numFmtId="0" fontId="11" fillId="7" borderId="0" xfId="0" applyFont="1" applyFill="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1" fillId="7" borderId="3" xfId="0" applyFont="1" applyFill="1" applyBorder="1" applyAlignment="1" applyProtection="1">
      <alignment horizontal="center" vertical="center" wrapText="1"/>
      <protection locked="0"/>
    </xf>
    <xf numFmtId="164" fontId="1" fillId="3" borderId="0" xfId="2" applyNumberFormat="1" applyFont="1" applyFill="1" applyBorder="1" applyAlignment="1">
      <alignment vertical="center" wrapText="1"/>
    </xf>
    <xf numFmtId="164" fontId="1" fillId="2" borderId="31" xfId="1" applyFont="1" applyFill="1" applyBorder="1" applyAlignment="1" applyProtection="1">
      <alignment wrapText="1"/>
    </xf>
    <xf numFmtId="164" fontId="5" fillId="2" borderId="31" xfId="1" applyFont="1" applyFill="1" applyBorder="1" applyAlignment="1" applyProtection="1">
      <alignment wrapText="1"/>
    </xf>
    <xf numFmtId="164" fontId="5" fillId="2" borderId="32" xfId="1" applyFont="1" applyFill="1" applyBorder="1" applyAlignment="1">
      <alignment wrapText="1"/>
    </xf>
    <xf numFmtId="0" fontId="21" fillId="9" borderId="3" xfId="0" applyFont="1" applyFill="1" applyBorder="1" applyAlignment="1">
      <alignment horizontal="center" vertical="center" wrapText="1"/>
    </xf>
    <xf numFmtId="166" fontId="21" fillId="9" borderId="3" xfId="3" applyNumberFormat="1" applyFont="1" applyFill="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xf>
    <xf numFmtId="0" fontId="22" fillId="10" borderId="3" xfId="0" applyFont="1" applyFill="1" applyBorder="1" applyAlignment="1">
      <alignment horizontal="center" vertical="center" wrapText="1"/>
    </xf>
    <xf numFmtId="0" fontId="22" fillId="10" borderId="3" xfId="0" applyFont="1" applyFill="1" applyBorder="1" applyAlignment="1">
      <alignment vertical="center" wrapText="1"/>
    </xf>
    <xf numFmtId="166" fontId="22" fillId="10" borderId="3" xfId="3" applyNumberFormat="1" applyFont="1" applyFill="1" applyBorder="1" applyAlignment="1">
      <alignment vertical="center" wrapText="1"/>
    </xf>
    <xf numFmtId="0" fontId="22" fillId="11"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3" xfId="0" applyFont="1" applyFill="1" applyBorder="1" applyAlignment="1">
      <alignment vertical="center" wrapText="1"/>
    </xf>
    <xf numFmtId="166" fontId="23" fillId="11" borderId="3" xfId="3" applyNumberFormat="1" applyFont="1" applyFill="1" applyBorder="1" applyAlignment="1">
      <alignment horizontal="center" vertical="center" wrapText="1"/>
    </xf>
    <xf numFmtId="166" fontId="23" fillId="11" borderId="3" xfId="3" applyNumberFormat="1" applyFont="1" applyFill="1" applyBorder="1" applyAlignment="1">
      <alignment vertical="center" wrapText="1"/>
    </xf>
    <xf numFmtId="166" fontId="24" fillId="10" borderId="3" xfId="3" applyNumberFormat="1" applyFont="1" applyFill="1" applyBorder="1"/>
    <xf numFmtId="166" fontId="25" fillId="10" borderId="3" xfId="3" applyNumberFormat="1" applyFont="1" applyFill="1" applyBorder="1"/>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166" fontId="23" fillId="0" borderId="3" xfId="3" applyNumberFormat="1" applyFont="1" applyFill="1" applyBorder="1" applyAlignment="1">
      <alignment horizontal="center" vertical="center" wrapText="1"/>
    </xf>
    <xf numFmtId="166" fontId="24" fillId="0" borderId="3" xfId="3" applyNumberFormat="1" applyFont="1" applyBorder="1" applyAlignment="1">
      <alignment horizontal="center"/>
    </xf>
    <xf numFmtId="166" fontId="23" fillId="0" borderId="3" xfId="3" applyNumberFormat="1" applyFont="1" applyFill="1" applyBorder="1" applyAlignment="1">
      <alignment vertical="center" wrapText="1"/>
    </xf>
    <xf numFmtId="166" fontId="0" fillId="0" borderId="0" xfId="3" applyNumberFormat="1" applyFont="1"/>
    <xf numFmtId="166" fontId="24" fillId="11" borderId="3" xfId="3" applyNumberFormat="1" applyFont="1" applyFill="1" applyBorder="1" applyAlignment="1">
      <alignment horizontal="center"/>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vertical="center" wrapText="1"/>
    </xf>
    <xf numFmtId="0" fontId="27" fillId="0" borderId="3" xfId="0" applyFont="1" applyBorder="1" applyAlignment="1">
      <alignment vertical="center"/>
    </xf>
    <xf numFmtId="166" fontId="27" fillId="0" borderId="3" xfId="3" applyNumberFormat="1" applyFont="1" applyFill="1" applyBorder="1" applyAlignment="1">
      <alignment horizontal="center" vertical="center" wrapText="1"/>
    </xf>
    <xf numFmtId="166" fontId="27" fillId="0" borderId="3" xfId="3" applyNumberFormat="1" applyFont="1" applyBorder="1" applyAlignment="1">
      <alignment horizontal="center"/>
    </xf>
    <xf numFmtId="166" fontId="27" fillId="0" borderId="3" xfId="3" applyNumberFormat="1" applyFont="1" applyBorder="1" applyAlignment="1">
      <alignment horizontal="center" vertical="center"/>
    </xf>
    <xf numFmtId="0" fontId="28" fillId="0" borderId="3" xfId="0" applyFont="1" applyBorder="1" applyAlignment="1">
      <alignment horizontal="left" vertical="top" wrapText="1"/>
    </xf>
    <xf numFmtId="0" fontId="29" fillId="0" borderId="3" xfId="0" applyFont="1" applyBorder="1" applyAlignment="1">
      <alignment vertical="center" wrapText="1"/>
    </xf>
    <xf numFmtId="166" fontId="29" fillId="0" borderId="3" xfId="3" applyNumberFormat="1" applyFont="1" applyFill="1" applyBorder="1" applyAlignment="1">
      <alignment horizontal="center" vertical="center" wrapText="1"/>
    </xf>
    <xf numFmtId="166" fontId="29" fillId="0" borderId="3" xfId="3" applyNumberFormat="1" applyFont="1" applyFill="1" applyBorder="1" applyAlignment="1">
      <alignment horizontal="center" vertical="center"/>
    </xf>
    <xf numFmtId="0" fontId="28" fillId="0" borderId="3" xfId="0" applyFont="1" applyBorder="1" applyAlignment="1">
      <alignment vertical="top"/>
    </xf>
    <xf numFmtId="166" fontId="27" fillId="0" borderId="3" xfId="3" applyNumberFormat="1" applyFont="1" applyFill="1" applyBorder="1" applyAlignment="1">
      <alignment horizontal="center"/>
    </xf>
    <xf numFmtId="166" fontId="27" fillId="0" borderId="3" xfId="3" applyNumberFormat="1" applyFont="1" applyFill="1" applyBorder="1" applyAlignment="1">
      <alignment horizontal="center" vertical="center"/>
    </xf>
    <xf numFmtId="0" fontId="23" fillId="12" borderId="3" xfId="0" applyFont="1" applyFill="1" applyBorder="1" applyAlignment="1">
      <alignment vertical="center" wrapText="1"/>
    </xf>
    <xf numFmtId="0" fontId="22" fillId="12" borderId="3" xfId="0" applyFont="1" applyFill="1" applyBorder="1" applyAlignment="1">
      <alignment vertical="center" wrapText="1"/>
    </xf>
    <xf numFmtId="166" fontId="24" fillId="12" borderId="3" xfId="3" applyNumberFormat="1" applyFont="1" applyFill="1" applyBorder="1" applyAlignment="1">
      <alignment horizontal="center"/>
    </xf>
    <xf numFmtId="166" fontId="25" fillId="12" borderId="3" xfId="3" applyNumberFormat="1" applyFont="1" applyFill="1" applyBorder="1" applyAlignment="1">
      <alignment horizontal="center"/>
    </xf>
    <xf numFmtId="9" fontId="0" fillId="0" borderId="3" xfId="0" applyNumberFormat="1" applyBorder="1" applyAlignment="1">
      <alignment horizontal="center" vertical="top"/>
    </xf>
    <xf numFmtId="0" fontId="2" fillId="13" borderId="3" xfId="0" applyFont="1" applyFill="1" applyBorder="1" applyAlignment="1">
      <alignment horizontal="center"/>
    </xf>
    <xf numFmtId="166" fontId="24" fillId="10" borderId="3" xfId="3" applyNumberFormat="1" applyFont="1" applyFill="1" applyBorder="1" applyAlignment="1">
      <alignment horizontal="center"/>
    </xf>
    <xf numFmtId="166" fontId="24" fillId="3" borderId="3" xfId="3" applyNumberFormat="1" applyFont="1" applyFill="1" applyBorder="1" applyAlignment="1">
      <alignment horizontal="center" vertical="center"/>
    </xf>
    <xf numFmtId="166" fontId="24" fillId="0" borderId="3" xfId="3" applyNumberFormat="1" applyFont="1" applyBorder="1" applyAlignment="1">
      <alignment horizontal="center" vertical="center"/>
    </xf>
    <xf numFmtId="165" fontId="24" fillId="0" borderId="3" xfId="3" applyFont="1" applyFill="1" applyBorder="1" applyAlignment="1">
      <alignment horizontal="center" vertical="center"/>
    </xf>
    <xf numFmtId="166" fontId="24" fillId="0" borderId="3" xfId="3" applyNumberFormat="1" applyFont="1" applyFill="1" applyBorder="1" applyAlignment="1">
      <alignment horizontal="center" vertical="center"/>
    </xf>
    <xf numFmtId="166" fontId="27" fillId="3" borderId="3" xfId="3" applyNumberFormat="1" applyFont="1" applyFill="1" applyBorder="1" applyAlignment="1">
      <alignment horizontal="center" vertical="center"/>
    </xf>
    <xf numFmtId="0" fontId="0" fillId="0" borderId="3" xfId="0" applyBorder="1" applyAlignment="1">
      <alignment horizontal="center" vertical="top"/>
    </xf>
    <xf numFmtId="166" fontId="2" fillId="13" borderId="3" xfId="3" applyNumberFormat="1" applyFont="1" applyFill="1" applyBorder="1" applyAlignment="1">
      <alignment horizontal="center"/>
    </xf>
    <xf numFmtId="166" fontId="24" fillId="0" borderId="3" xfId="3" applyNumberFormat="1" applyFont="1" applyFill="1" applyBorder="1" applyAlignment="1">
      <alignment horizontal="left" vertical="center"/>
    </xf>
    <xf numFmtId="0" fontId="28" fillId="0" borderId="3" xfId="0" applyFont="1" applyBorder="1" applyAlignment="1">
      <alignment vertical="top" wrapText="1"/>
    </xf>
    <xf numFmtId="166" fontId="25" fillId="12" borderId="3" xfId="3" applyNumberFormat="1" applyFont="1" applyFill="1" applyBorder="1" applyAlignment="1">
      <alignment horizontal="center" vertical="center"/>
    </xf>
    <xf numFmtId="166" fontId="25" fillId="10" borderId="3" xfId="3" applyNumberFormat="1" applyFont="1" applyFill="1" applyBorder="1" applyAlignment="1">
      <alignment horizontal="center" vertical="center"/>
    </xf>
    <xf numFmtId="0" fontId="0" fillId="0" borderId="3" xfId="0" applyBorder="1" applyAlignment="1">
      <alignment vertical="top"/>
    </xf>
    <xf numFmtId="0" fontId="23" fillId="3" borderId="3" xfId="0" applyFont="1" applyFill="1" applyBorder="1" applyAlignment="1">
      <alignment horizontal="center" vertical="center" wrapText="1"/>
    </xf>
    <xf numFmtId="9" fontId="30" fillId="0" borderId="0" xfId="0" applyNumberFormat="1" applyFont="1" applyAlignment="1">
      <alignment horizontal="center" vertical="center"/>
    </xf>
    <xf numFmtId="0" fontId="2" fillId="0" borderId="0" xfId="0" applyFont="1" applyAlignment="1">
      <alignment horizontal="left" vertical="center"/>
    </xf>
    <xf numFmtId="0" fontId="27" fillId="3" borderId="3" xfId="0" applyFont="1" applyFill="1" applyBorder="1" applyAlignment="1">
      <alignment horizontal="center" vertical="center" wrapText="1"/>
    </xf>
    <xf numFmtId="166" fontId="26" fillId="3" borderId="3" xfId="3" applyNumberFormat="1" applyFont="1" applyFill="1" applyBorder="1" applyAlignment="1">
      <alignment horizontal="center" vertical="center"/>
    </xf>
    <xf numFmtId="10" fontId="28" fillId="0" borderId="3" xfId="0" applyNumberFormat="1" applyFont="1" applyBorder="1" applyAlignment="1">
      <alignment horizontal="center" vertical="top"/>
    </xf>
    <xf numFmtId="0" fontId="31" fillId="0" borderId="3" xfId="0" applyFont="1" applyBorder="1" applyAlignment="1">
      <alignment vertical="center" wrapText="1"/>
    </xf>
    <xf numFmtId="166" fontId="31" fillId="0" borderId="3" xfId="3" applyNumberFormat="1" applyFont="1" applyFill="1" applyBorder="1" applyAlignment="1">
      <alignment horizontal="center" vertical="center"/>
    </xf>
    <xf numFmtId="0" fontId="28" fillId="0" borderId="3" xfId="0" applyFont="1" applyBorder="1"/>
    <xf numFmtId="167" fontId="0" fillId="0" borderId="0" xfId="0" applyNumberFormat="1"/>
    <xf numFmtId="10" fontId="0" fillId="0" borderId="3" xfId="0" applyNumberFormat="1" applyBorder="1" applyAlignment="1">
      <alignment horizontal="center" vertical="top"/>
    </xf>
    <xf numFmtId="166" fontId="24" fillId="10" borderId="3" xfId="3" applyNumberFormat="1" applyFont="1" applyFill="1" applyBorder="1" applyAlignment="1">
      <alignment vertical="center"/>
    </xf>
    <xf numFmtId="0" fontId="0" fillId="0" borderId="3" xfId="0" applyBorder="1" applyAlignment="1">
      <alignment horizontal="center" vertical="center"/>
    </xf>
    <xf numFmtId="166" fontId="24" fillId="0" borderId="3" xfId="3" applyNumberFormat="1" applyFont="1" applyFill="1" applyBorder="1" applyAlignment="1">
      <alignment vertical="center"/>
    </xf>
    <xf numFmtId="10" fontId="30" fillId="0" borderId="0" xfId="0" applyNumberFormat="1" applyFont="1" applyAlignment="1">
      <alignment horizontal="center" vertical="center"/>
    </xf>
    <xf numFmtId="0" fontId="2" fillId="0" borderId="0" xfId="0" applyFont="1" applyAlignment="1">
      <alignment horizontal="center" vertical="center" wrapText="1"/>
    </xf>
    <xf numFmtId="3" fontId="0" fillId="0" borderId="0" xfId="0" applyNumberFormat="1"/>
    <xf numFmtId="166" fontId="24" fillId="10" borderId="3" xfId="3" applyNumberFormat="1" applyFont="1" applyFill="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vertical="center" wrapText="1"/>
    </xf>
    <xf numFmtId="165" fontId="24" fillId="0" borderId="3" xfId="3" applyFont="1" applyBorder="1" applyAlignment="1">
      <alignment horizontal="center" vertical="center"/>
    </xf>
    <xf numFmtId="0" fontId="28" fillId="0" borderId="3" xfId="0" applyFont="1" applyBorder="1" applyAlignment="1">
      <alignment horizontal="left" vertical="top"/>
    </xf>
    <xf numFmtId="0" fontId="28" fillId="0" borderId="5" xfId="0" applyFont="1" applyBorder="1" applyAlignment="1">
      <alignment horizontal="left" vertical="top"/>
    </xf>
    <xf numFmtId="165" fontId="27" fillId="0" borderId="3" xfId="3" applyFont="1" applyBorder="1" applyAlignment="1">
      <alignment horizontal="center" vertical="center"/>
    </xf>
    <xf numFmtId="0" fontId="23" fillId="3" borderId="3" xfId="0" applyFont="1" applyFill="1" applyBorder="1" applyAlignment="1">
      <alignment vertical="center" wrapText="1"/>
    </xf>
    <xf numFmtId="0" fontId="21" fillId="10" borderId="3" xfId="0" applyFont="1" applyFill="1" applyBorder="1" applyAlignment="1">
      <alignment vertical="center" wrapText="1"/>
    </xf>
    <xf numFmtId="166" fontId="31" fillId="10" borderId="3" xfId="3"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1" fillId="0" borderId="3" xfId="0" applyFont="1" applyBorder="1" applyAlignment="1">
      <alignment vertical="center"/>
    </xf>
    <xf numFmtId="0" fontId="31" fillId="12" borderId="3" xfId="0" applyFont="1" applyFill="1" applyBorder="1" applyAlignment="1">
      <alignment vertical="center" wrapText="1"/>
    </xf>
    <xf numFmtId="0" fontId="21" fillId="12" borderId="3" xfId="0" applyFont="1" applyFill="1" applyBorder="1" applyAlignment="1">
      <alignment vertical="center" wrapText="1"/>
    </xf>
    <xf numFmtId="166" fontId="31" fillId="12" borderId="3" xfId="3" applyNumberFormat="1" applyFont="1" applyFill="1" applyBorder="1" applyAlignment="1">
      <alignment horizontal="center" vertical="center"/>
    </xf>
    <xf numFmtId="166" fontId="21" fillId="12" borderId="3" xfId="3" applyNumberFormat="1" applyFont="1" applyFill="1" applyBorder="1" applyAlignment="1">
      <alignment horizontal="center" vertical="center"/>
    </xf>
    <xf numFmtId="9" fontId="33" fillId="0" borderId="3" xfId="0" applyNumberFormat="1" applyFont="1" applyBorder="1" applyAlignment="1">
      <alignment horizontal="center" vertical="top"/>
    </xf>
    <xf numFmtId="0" fontId="22" fillId="10" borderId="3" xfId="0" applyFont="1" applyFill="1" applyBorder="1" applyAlignment="1">
      <alignment horizontal="left" vertical="center" wrapText="1"/>
    </xf>
    <xf numFmtId="4" fontId="0" fillId="0" borderId="0" xfId="0" applyNumberFormat="1"/>
    <xf numFmtId="0" fontId="26" fillId="3" borderId="3" xfId="0" applyFont="1" applyFill="1" applyBorder="1" applyAlignment="1">
      <alignment horizontal="center" vertical="center" wrapText="1"/>
    </xf>
    <xf numFmtId="166" fontId="26" fillId="12" borderId="3" xfId="3" applyNumberFormat="1" applyFont="1" applyFill="1" applyBorder="1" applyAlignment="1">
      <alignment horizontal="center" vertical="center"/>
    </xf>
    <xf numFmtId="0" fontId="0" fillId="12" borderId="3" xfId="0" applyFill="1" applyBorder="1"/>
    <xf numFmtId="0" fontId="0" fillId="14" borderId="3" xfId="0" applyFill="1" applyBorder="1"/>
    <xf numFmtId="0" fontId="22" fillId="14" borderId="3" xfId="0" applyFont="1" applyFill="1" applyBorder="1" applyAlignment="1">
      <alignment vertical="center" wrapText="1"/>
    </xf>
    <xf numFmtId="166" fontId="25" fillId="14" borderId="3" xfId="3" applyNumberFormat="1" applyFont="1" applyFill="1" applyBorder="1" applyAlignment="1">
      <alignment horizontal="center" vertical="center"/>
    </xf>
    <xf numFmtId="3" fontId="0" fillId="0" borderId="3" xfId="0" applyNumberFormat="1" applyBorder="1" applyAlignment="1">
      <alignment horizontal="center" vertical="top"/>
    </xf>
    <xf numFmtId="0" fontId="2" fillId="0" borderId="3" xfId="0" applyFont="1" applyBorder="1" applyAlignment="1">
      <alignment horizontal="center" vertical="center" wrapText="1"/>
    </xf>
    <xf numFmtId="0" fontId="2" fillId="13" borderId="3" xfId="0" applyFont="1" applyFill="1" applyBorder="1" applyAlignment="1">
      <alignment horizontal="center" vertical="center"/>
    </xf>
    <xf numFmtId="0" fontId="0" fillId="0" borderId="3" xfId="0" applyBorder="1"/>
    <xf numFmtId="0" fontId="22" fillId="15" borderId="3" xfId="0" applyFont="1" applyFill="1" applyBorder="1" applyAlignment="1">
      <alignment vertical="center" wrapText="1"/>
    </xf>
    <xf numFmtId="166" fontId="25" fillId="15" borderId="3"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xf numFmtId="1" fontId="0" fillId="0" borderId="0" xfId="0" applyNumberFormat="1" applyAlignment="1">
      <alignment vertical="center"/>
    </xf>
    <xf numFmtId="168" fontId="0" fillId="0" borderId="0" xfId="3" applyNumberFormat="1" applyFont="1" applyAlignment="1"/>
    <xf numFmtId="3" fontId="21" fillId="9" borderId="3" xfId="0" applyNumberFormat="1" applyFont="1" applyFill="1" applyBorder="1" applyAlignment="1">
      <alignment horizontal="center" vertical="center" wrapText="1"/>
    </xf>
    <xf numFmtId="0" fontId="35" fillId="10" borderId="8"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3" xfId="0" applyFont="1" applyFill="1" applyBorder="1" applyAlignment="1">
      <alignment horizontal="left" vertical="center"/>
    </xf>
    <xf numFmtId="169" fontId="35" fillId="10" borderId="3" xfId="3" applyNumberFormat="1" applyFont="1" applyFill="1" applyBorder="1" applyAlignment="1">
      <alignment horizontal="center" vertical="center"/>
    </xf>
    <xf numFmtId="1" fontId="35" fillId="10" borderId="3" xfId="3" applyNumberFormat="1" applyFont="1" applyFill="1" applyBorder="1" applyAlignment="1">
      <alignment horizontal="center" vertical="center"/>
    </xf>
    <xf numFmtId="168" fontId="35" fillId="10" borderId="9" xfId="3" applyNumberFormat="1" applyFont="1" applyFill="1" applyBorder="1" applyAlignment="1">
      <alignment horizontal="center" vertical="center"/>
    </xf>
    <xf numFmtId="0" fontId="36" fillId="2" borderId="3" xfId="0" applyFont="1" applyFill="1" applyBorder="1" applyAlignment="1">
      <alignment horizontal="center" vertical="center"/>
    </xf>
    <xf numFmtId="0" fontId="35" fillId="2" borderId="3" xfId="0" applyFont="1" applyFill="1" applyBorder="1" applyAlignment="1">
      <alignment horizontal="left" vertical="center"/>
    </xf>
    <xf numFmtId="169" fontId="35" fillId="2" borderId="3" xfId="3" applyNumberFormat="1" applyFont="1" applyFill="1" applyBorder="1" applyAlignment="1">
      <alignment horizontal="center" vertical="center"/>
    </xf>
    <xf numFmtId="1" fontId="35" fillId="2" borderId="3" xfId="3" applyNumberFormat="1" applyFont="1" applyFill="1" applyBorder="1" applyAlignment="1">
      <alignment horizontal="center" vertical="center"/>
    </xf>
    <xf numFmtId="168" fontId="35" fillId="2" borderId="9" xfId="3" applyNumberFormat="1"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lignment horizontal="left" vertical="center"/>
    </xf>
    <xf numFmtId="168" fontId="37" fillId="3" borderId="3" xfId="3" applyNumberFormat="1" applyFont="1" applyFill="1" applyBorder="1" applyAlignment="1">
      <alignment horizontal="center" vertical="center"/>
    </xf>
    <xf numFmtId="168" fontId="38" fillId="0" borderId="9" xfId="3" applyNumberFormat="1" applyFont="1" applyFill="1" applyBorder="1" applyAlignment="1">
      <alignment horizontal="center" vertical="center"/>
    </xf>
    <xf numFmtId="168" fontId="39" fillId="8" borderId="3" xfId="3" applyNumberFormat="1" applyFont="1" applyFill="1" applyBorder="1" applyAlignment="1">
      <alignment horizontal="center" vertical="center" wrapText="1"/>
    </xf>
    <xf numFmtId="0" fontId="0" fillId="0" borderId="0" xfId="0" applyAlignment="1">
      <alignment vertical="center" wrapText="1"/>
    </xf>
    <xf numFmtId="168" fontId="35" fillId="2" borderId="3" xfId="3" applyNumberFormat="1" applyFont="1" applyFill="1" applyBorder="1" applyAlignment="1">
      <alignment horizontal="center" vertical="center"/>
    </xf>
    <xf numFmtId="168" fontId="37" fillId="0" borderId="9" xfId="3" applyNumberFormat="1" applyFont="1" applyFill="1" applyBorder="1" applyAlignment="1">
      <alignment horizontal="center" vertical="center"/>
    </xf>
    <xf numFmtId="168" fontId="0" fillId="0" borderId="0" xfId="0" applyNumberFormat="1" applyAlignment="1">
      <alignment vertical="center"/>
    </xf>
    <xf numFmtId="0" fontId="39" fillId="12" borderId="3" xfId="0" applyFont="1" applyFill="1" applyBorder="1" applyAlignment="1">
      <alignment horizontal="center" vertical="center"/>
    </xf>
    <xf numFmtId="0" fontId="39" fillId="12" borderId="3" xfId="0" applyFont="1" applyFill="1" applyBorder="1" applyAlignment="1">
      <alignment horizontal="left" vertical="center"/>
    </xf>
    <xf numFmtId="168" fontId="39" fillId="12" borderId="3" xfId="3" applyNumberFormat="1" applyFont="1" applyFill="1" applyBorder="1" applyAlignment="1">
      <alignment horizontal="center" vertical="center"/>
    </xf>
    <xf numFmtId="168" fontId="40" fillId="12" borderId="9" xfId="3" applyNumberFormat="1" applyFont="1" applyFill="1" applyBorder="1" applyAlignment="1">
      <alignment horizontal="center" vertical="center"/>
    </xf>
    <xf numFmtId="0" fontId="35" fillId="16" borderId="3" xfId="0" applyFont="1" applyFill="1" applyBorder="1" applyAlignment="1">
      <alignment horizontal="center" vertical="center"/>
    </xf>
    <xf numFmtId="168" fontId="37" fillId="2" borderId="3" xfId="3" applyNumberFormat="1" applyFont="1" applyFill="1" applyBorder="1" applyAlignment="1">
      <alignment horizontal="center" vertical="center"/>
    </xf>
    <xf numFmtId="168" fontId="35" fillId="4" borderId="9" xfId="3" applyNumberFormat="1" applyFont="1" applyFill="1" applyBorder="1" applyAlignment="1">
      <alignment horizontal="center" vertical="center" wrapText="1"/>
    </xf>
    <xf numFmtId="0" fontId="37" fillId="0" borderId="3" xfId="0" applyFont="1" applyBorder="1" applyAlignment="1">
      <alignment horizontal="left" vertical="center" wrapText="1"/>
    </xf>
    <xf numFmtId="168" fontId="37" fillId="0" borderId="3" xfId="3" applyNumberFormat="1" applyFont="1" applyFill="1" applyBorder="1" applyAlignment="1">
      <alignment horizontal="center" vertical="center"/>
    </xf>
    <xf numFmtId="0" fontId="37" fillId="0" borderId="3" xfId="0" applyFont="1" applyBorder="1" applyAlignment="1">
      <alignment horizontal="left" vertical="center"/>
    </xf>
    <xf numFmtId="168" fontId="39" fillId="12" borderId="9" xfId="3" applyNumberFormat="1" applyFont="1" applyFill="1" applyBorder="1" applyAlignment="1">
      <alignment horizontal="center" vertical="center"/>
    </xf>
    <xf numFmtId="0" fontId="39" fillId="2" borderId="3" xfId="0" applyFont="1" applyFill="1" applyBorder="1" applyAlignment="1">
      <alignment horizontal="center" vertical="center"/>
    </xf>
    <xf numFmtId="0" fontId="39" fillId="2" borderId="3" xfId="0" applyFont="1" applyFill="1" applyBorder="1" applyAlignment="1">
      <alignment horizontal="left" vertical="center"/>
    </xf>
    <xf numFmtId="168" fontId="39" fillId="2" borderId="3" xfId="3" applyNumberFormat="1" applyFont="1" applyFill="1" applyBorder="1" applyAlignment="1">
      <alignment horizontal="center" vertical="center"/>
    </xf>
    <xf numFmtId="168" fontId="39" fillId="2" borderId="9" xfId="3" applyNumberFormat="1" applyFont="1" applyFill="1" applyBorder="1" applyAlignment="1">
      <alignment horizontal="center" vertical="center"/>
    </xf>
    <xf numFmtId="0" fontId="36" fillId="3" borderId="3" xfId="0" applyFont="1" applyFill="1" applyBorder="1" applyAlignment="1">
      <alignment horizontal="left" vertical="center"/>
    </xf>
    <xf numFmtId="168" fontId="36" fillId="3" borderId="3" xfId="3" applyNumberFormat="1" applyFont="1" applyFill="1" applyBorder="1" applyAlignment="1">
      <alignment horizontal="center" vertical="center"/>
    </xf>
    <xf numFmtId="0" fontId="35" fillId="2" borderId="3" xfId="0" applyFont="1" applyFill="1" applyBorder="1" applyAlignment="1">
      <alignment horizontal="center" vertical="center"/>
    </xf>
    <xf numFmtId="0" fontId="2" fillId="0" borderId="0" xfId="0" applyFont="1" applyAlignment="1">
      <alignment vertical="center"/>
    </xf>
    <xf numFmtId="0" fontId="37" fillId="3" borderId="3" xfId="0" applyFont="1" applyFill="1" applyBorder="1" applyAlignment="1">
      <alignment horizontal="left" vertical="center" wrapText="1"/>
    </xf>
    <xf numFmtId="0" fontId="39" fillId="2" borderId="2" xfId="0" applyFont="1" applyFill="1" applyBorder="1" applyAlignment="1">
      <alignment horizontal="center" vertical="center"/>
    </xf>
    <xf numFmtId="0" fontId="39" fillId="12" borderId="2" xfId="0" applyFont="1" applyFill="1" applyBorder="1" applyAlignment="1">
      <alignment horizontal="center" vertical="center"/>
    </xf>
    <xf numFmtId="0" fontId="37" fillId="0" borderId="2" xfId="0" applyFont="1" applyBorder="1" applyAlignment="1">
      <alignment horizontal="center" vertical="center"/>
    </xf>
    <xf numFmtId="0" fontId="39" fillId="0" borderId="3" xfId="0" applyFont="1" applyBorder="1" applyAlignment="1">
      <alignment horizontal="left" vertical="center"/>
    </xf>
    <xf numFmtId="0" fontId="37" fillId="12" borderId="2" xfId="0" applyFont="1" applyFill="1" applyBorder="1" applyAlignment="1">
      <alignment horizontal="center" vertical="center"/>
    </xf>
    <xf numFmtId="168" fontId="37" fillId="12" borderId="3" xfId="3" applyNumberFormat="1" applyFont="1" applyFill="1" applyBorder="1" applyAlignment="1">
      <alignment horizontal="center" vertical="center"/>
    </xf>
    <xf numFmtId="168" fontId="37" fillId="12" borderId="9" xfId="3" applyNumberFormat="1" applyFont="1" applyFill="1" applyBorder="1" applyAlignment="1">
      <alignment horizontal="center" vertical="center"/>
    </xf>
    <xf numFmtId="168" fontId="41" fillId="0" borderId="3" xfId="3" applyNumberFormat="1" applyFont="1" applyFill="1" applyBorder="1" applyAlignment="1">
      <alignment vertical="center"/>
    </xf>
    <xf numFmtId="0" fontId="35" fillId="17" borderId="2" xfId="0" applyFont="1" applyFill="1" applyBorder="1" applyAlignment="1">
      <alignment horizontal="center" vertical="center"/>
    </xf>
    <xf numFmtId="0" fontId="35" fillId="17" borderId="3" xfId="0" applyFont="1" applyFill="1" applyBorder="1" applyAlignment="1">
      <alignment horizontal="left" vertical="center"/>
    </xf>
    <xf numFmtId="168" fontId="35" fillId="7" borderId="3" xfId="3" applyNumberFormat="1" applyFont="1" applyFill="1" applyBorder="1" applyAlignment="1">
      <alignment horizontal="center" vertical="center"/>
    </xf>
    <xf numFmtId="168" fontId="35" fillId="7" borderId="9" xfId="3" applyNumberFormat="1" applyFont="1" applyFill="1" applyBorder="1" applyAlignment="1">
      <alignment horizontal="center" vertical="center"/>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168" fontId="39" fillId="0" borderId="3" xfId="3" applyNumberFormat="1" applyFont="1" applyFill="1" applyBorder="1" applyAlignment="1">
      <alignment horizontal="center" vertical="center"/>
    </xf>
    <xf numFmtId="168" fontId="35" fillId="0" borderId="3" xfId="3" applyNumberFormat="1" applyFont="1" applyFill="1" applyBorder="1" applyAlignment="1">
      <alignment horizontal="center" vertical="center"/>
    </xf>
    <xf numFmtId="168" fontId="39" fillId="0" borderId="9" xfId="3" applyNumberFormat="1" applyFont="1" applyFill="1" applyBorder="1" applyAlignment="1">
      <alignment horizontal="center" vertical="center"/>
    </xf>
    <xf numFmtId="0" fontId="35" fillId="17" borderId="8" xfId="0" applyFont="1" applyFill="1" applyBorder="1" applyAlignment="1">
      <alignment horizontal="center" vertical="center"/>
    </xf>
    <xf numFmtId="168" fontId="39" fillId="17" borderId="13" xfId="3" applyNumberFormat="1" applyFont="1" applyFill="1" applyBorder="1" applyAlignment="1">
      <alignment horizontal="center" vertical="center"/>
    </xf>
    <xf numFmtId="168" fontId="39" fillId="17" borderId="14" xfId="3" applyNumberFormat="1" applyFont="1" applyFill="1" applyBorder="1" applyAlignment="1">
      <alignment horizontal="center" vertical="center"/>
    </xf>
    <xf numFmtId="168" fontId="0" fillId="0" borderId="0" xfId="3" applyNumberFormat="1" applyFont="1" applyAlignment="1">
      <alignment vertical="center"/>
    </xf>
    <xf numFmtId="0" fontId="20" fillId="0" borderId="0" xfId="0" applyFont="1"/>
    <xf numFmtId="0" fontId="34" fillId="0" borderId="0" xfId="0" applyFont="1"/>
    <xf numFmtId="0" fontId="42" fillId="0" borderId="6" xfId="0" applyFont="1" applyBorder="1" applyAlignment="1">
      <alignment horizontal="justify" vertical="top" wrapText="1"/>
    </xf>
    <xf numFmtId="0" fontId="42" fillId="0" borderId="25" xfId="0" applyFont="1" applyBorder="1" applyAlignment="1">
      <alignment horizontal="justify" vertical="center" wrapText="1"/>
    </xf>
    <xf numFmtId="0" fontId="42" fillId="0" borderId="6" xfId="0" applyFont="1" applyBorder="1" applyAlignment="1">
      <alignment horizontal="justify" vertical="center" wrapText="1"/>
    </xf>
    <xf numFmtId="0" fontId="42" fillId="4" borderId="6" xfId="0" applyFont="1" applyFill="1" applyBorder="1" applyAlignment="1">
      <alignment horizontal="center" vertical="center" wrapText="1"/>
    </xf>
    <xf numFmtId="0" fontId="42" fillId="10" borderId="6" xfId="0" applyFont="1" applyFill="1" applyBorder="1" applyAlignment="1">
      <alignment horizontal="left" vertical="center" wrapText="1"/>
    </xf>
    <xf numFmtId="169" fontId="42" fillId="10" borderId="60" xfId="3" applyNumberFormat="1" applyFont="1" applyFill="1" applyBorder="1" applyAlignment="1">
      <alignment horizontal="center" vertical="top" wrapText="1"/>
    </xf>
    <xf numFmtId="169" fontId="42" fillId="10" borderId="61" xfId="3" applyNumberFormat="1" applyFont="1" applyFill="1" applyBorder="1" applyAlignment="1">
      <alignment horizontal="center" vertical="top" wrapText="1"/>
    </xf>
    <xf numFmtId="169" fontId="42" fillId="10" borderId="62" xfId="3" applyNumberFormat="1" applyFont="1" applyFill="1" applyBorder="1" applyAlignment="1">
      <alignment horizontal="center" vertical="top" wrapText="1"/>
    </xf>
    <xf numFmtId="169" fontId="42" fillId="10" borderId="6" xfId="3" applyNumberFormat="1" applyFont="1" applyFill="1" applyBorder="1" applyAlignment="1">
      <alignment horizontal="center" vertical="top" wrapText="1"/>
    </xf>
    <xf numFmtId="0" fontId="43" fillId="2" borderId="63" xfId="0" applyFont="1" applyFill="1" applyBorder="1" applyAlignment="1">
      <alignment horizontal="center" wrapText="1"/>
    </xf>
    <xf numFmtId="0" fontId="42" fillId="2" borderId="53" xfId="0" applyFont="1" applyFill="1" applyBorder="1" applyAlignment="1">
      <alignment horizontal="left" vertical="center" wrapText="1"/>
    </xf>
    <xf numFmtId="169" fontId="42" fillId="2" borderId="52" xfId="3" applyNumberFormat="1" applyFont="1" applyFill="1" applyBorder="1" applyAlignment="1">
      <alignment horizontal="center" vertical="center" wrapText="1"/>
    </xf>
    <xf numFmtId="169" fontId="42" fillId="2" borderId="38" xfId="3" applyNumberFormat="1" applyFont="1" applyFill="1" applyBorder="1" applyAlignment="1">
      <alignment horizontal="center" vertical="center" wrapText="1"/>
    </xf>
    <xf numFmtId="169" fontId="42" fillId="2" borderId="46" xfId="3" applyNumberFormat="1" applyFont="1" applyFill="1" applyBorder="1" applyAlignment="1">
      <alignment horizontal="center" vertical="center" wrapText="1"/>
    </xf>
    <xf numFmtId="168" fontId="42" fillId="2" borderId="53" xfId="3" applyNumberFormat="1" applyFont="1" applyFill="1" applyBorder="1" applyAlignment="1">
      <alignment horizontal="center" vertical="center" wrapText="1"/>
    </xf>
    <xf numFmtId="0" fontId="43" fillId="0" borderId="53" xfId="0" applyFont="1" applyBorder="1" applyAlignment="1">
      <alignment horizontal="center" wrapText="1"/>
    </xf>
    <xf numFmtId="0" fontId="44" fillId="3" borderId="53" xfId="0" applyFont="1" applyFill="1" applyBorder="1" applyAlignment="1">
      <alignment horizontal="left" vertical="center" wrapText="1"/>
    </xf>
    <xf numFmtId="169" fontId="44" fillId="3" borderId="35" xfId="3" applyNumberFormat="1" applyFont="1" applyFill="1" applyBorder="1" applyAlignment="1">
      <alignment horizontal="center" vertical="center" wrapText="1"/>
    </xf>
    <xf numFmtId="169" fontId="44" fillId="3" borderId="38" xfId="3" applyNumberFormat="1" applyFont="1" applyFill="1" applyBorder="1" applyAlignment="1">
      <alignment horizontal="center" vertical="center" wrapText="1"/>
    </xf>
    <xf numFmtId="169" fontId="44" fillId="3" borderId="46" xfId="3" applyNumberFormat="1" applyFont="1" applyFill="1" applyBorder="1" applyAlignment="1">
      <alignment horizontal="center" vertical="center" wrapText="1"/>
    </xf>
    <xf numFmtId="169" fontId="44" fillId="3" borderId="54" xfId="3" applyNumberFormat="1" applyFont="1" applyFill="1" applyBorder="1" applyAlignment="1">
      <alignment horizontal="center" vertical="center" wrapText="1"/>
    </xf>
    <xf numFmtId="0" fontId="43" fillId="19" borderId="53" xfId="0" applyFont="1" applyFill="1" applyBorder="1" applyAlignment="1">
      <alignment horizontal="center" wrapText="1"/>
    </xf>
    <xf numFmtId="0" fontId="43" fillId="19" borderId="22" xfId="0" applyFont="1" applyFill="1" applyBorder="1" applyAlignment="1">
      <alignment horizontal="left" vertical="center" wrapText="1"/>
    </xf>
    <xf numFmtId="169" fontId="43" fillId="19" borderId="2" xfId="3" applyNumberFormat="1" applyFont="1" applyFill="1" applyBorder="1" applyAlignment="1">
      <alignment horizontal="center" vertical="center" wrapText="1"/>
    </xf>
    <xf numFmtId="169" fontId="43" fillId="19" borderId="38" xfId="3" applyNumberFormat="1" applyFont="1" applyFill="1" applyBorder="1" applyAlignment="1">
      <alignment horizontal="center" vertical="center" wrapText="1"/>
    </xf>
    <xf numFmtId="169" fontId="43" fillId="19" borderId="46" xfId="3" applyNumberFormat="1" applyFont="1" applyFill="1" applyBorder="1" applyAlignment="1">
      <alignment horizontal="center" vertical="center" wrapText="1"/>
    </xf>
    <xf numFmtId="169" fontId="44" fillId="4" borderId="54" xfId="3" applyNumberFormat="1" applyFont="1" applyFill="1" applyBorder="1" applyAlignment="1">
      <alignment horizontal="center" vertical="center" wrapText="1"/>
    </xf>
    <xf numFmtId="0" fontId="43" fillId="20" borderId="53" xfId="0" applyFont="1" applyFill="1" applyBorder="1" applyAlignment="1">
      <alignment horizontal="center" wrapText="1"/>
    </xf>
    <xf numFmtId="0" fontId="45" fillId="20" borderId="64" xfId="0" applyFont="1" applyFill="1" applyBorder="1" applyAlignment="1">
      <alignment vertical="center" wrapText="1"/>
    </xf>
    <xf numFmtId="169" fontId="46" fillId="20" borderId="52" xfId="3" applyNumberFormat="1" applyFont="1" applyFill="1" applyBorder="1" applyAlignment="1">
      <alignment horizontal="center" vertical="center" wrapText="1"/>
    </xf>
    <xf numFmtId="169" fontId="46" fillId="20" borderId="38" xfId="3" applyNumberFormat="1" applyFont="1" applyFill="1" applyBorder="1" applyAlignment="1">
      <alignment horizontal="center" vertical="center" wrapText="1"/>
    </xf>
    <xf numFmtId="169" fontId="46" fillId="20" borderId="46" xfId="3" applyNumberFormat="1" applyFont="1" applyFill="1" applyBorder="1" applyAlignment="1">
      <alignment horizontal="center" vertical="center" wrapText="1"/>
    </xf>
    <xf numFmtId="169" fontId="46" fillId="20" borderId="54" xfId="3" applyNumberFormat="1" applyFont="1" applyFill="1" applyBorder="1" applyAlignment="1">
      <alignment horizontal="center" vertical="center" wrapText="1"/>
    </xf>
    <xf numFmtId="0" fontId="43" fillId="2" borderId="54" xfId="0" applyFont="1" applyFill="1" applyBorder="1" applyAlignment="1">
      <alignment horizontal="center" wrapText="1"/>
    </xf>
    <xf numFmtId="0" fontId="42" fillId="2" borderId="54" xfId="0" applyFont="1" applyFill="1" applyBorder="1" applyAlignment="1">
      <alignment horizontal="left" vertical="center" wrapText="1"/>
    </xf>
    <xf numFmtId="169" fontId="42" fillId="2" borderId="2" xfId="3" applyNumberFormat="1" applyFont="1" applyFill="1" applyBorder="1" applyAlignment="1">
      <alignment horizontal="center" vertical="center" wrapText="1"/>
    </xf>
    <xf numFmtId="169" fontId="42" fillId="2" borderId="3" xfId="3" applyNumberFormat="1" applyFont="1" applyFill="1" applyBorder="1" applyAlignment="1">
      <alignment horizontal="center" vertical="center" wrapText="1"/>
    </xf>
    <xf numFmtId="169" fontId="42" fillId="2" borderId="4" xfId="3" applyNumberFormat="1" applyFont="1" applyFill="1" applyBorder="1" applyAlignment="1">
      <alignment horizontal="center" vertical="center" wrapText="1"/>
    </xf>
    <xf numFmtId="168" fontId="42" fillId="2" borderId="54" xfId="3" applyNumberFormat="1" applyFont="1" applyFill="1" applyBorder="1" applyAlignment="1">
      <alignment horizontal="center" vertical="center" wrapText="1"/>
    </xf>
    <xf numFmtId="0" fontId="43" fillId="19" borderId="54" xfId="0" applyFont="1" applyFill="1" applyBorder="1" applyAlignment="1">
      <alignment horizontal="center" wrapText="1"/>
    </xf>
    <xf numFmtId="0" fontId="44" fillId="19" borderId="54" xfId="0" applyFont="1" applyFill="1" applyBorder="1" applyAlignment="1">
      <alignment horizontal="left" vertical="center" wrapText="1"/>
    </xf>
    <xf numFmtId="169" fontId="44" fillId="19" borderId="2" xfId="3" applyNumberFormat="1" applyFont="1" applyFill="1" applyBorder="1" applyAlignment="1">
      <alignment horizontal="center" vertical="center" wrapText="1"/>
    </xf>
    <xf numFmtId="169" fontId="44" fillId="19" borderId="3" xfId="3" applyNumberFormat="1" applyFont="1" applyFill="1" applyBorder="1" applyAlignment="1">
      <alignment horizontal="center" vertical="center" wrapText="1"/>
    </xf>
    <xf numFmtId="169" fontId="44" fillId="19" borderId="4" xfId="3" applyNumberFormat="1" applyFont="1" applyFill="1" applyBorder="1" applyAlignment="1">
      <alignment horizontal="center" vertical="center" wrapText="1"/>
    </xf>
    <xf numFmtId="168" fontId="44" fillId="19" borderId="53" xfId="3" applyNumberFormat="1" applyFont="1" applyFill="1" applyBorder="1" applyAlignment="1">
      <alignment horizontal="center" vertical="center" wrapText="1"/>
    </xf>
    <xf numFmtId="0" fontId="43" fillId="20" borderId="54" xfId="0" applyFont="1" applyFill="1" applyBorder="1" applyAlignment="1">
      <alignment horizontal="center" wrapText="1"/>
    </xf>
    <xf numFmtId="0" fontId="46" fillId="20" borderId="53" xfId="0" applyFont="1" applyFill="1" applyBorder="1" applyAlignment="1">
      <alignment horizontal="left" vertical="center" wrapText="1"/>
    </xf>
    <xf numFmtId="169" fontId="46" fillId="20" borderId="2" xfId="3" applyNumberFormat="1" applyFont="1" applyFill="1" applyBorder="1" applyAlignment="1">
      <alignment horizontal="center" vertical="center" wrapText="1"/>
    </xf>
    <xf numFmtId="169" fontId="46" fillId="20" borderId="3" xfId="3" applyNumberFormat="1" applyFont="1" applyFill="1" applyBorder="1" applyAlignment="1">
      <alignment horizontal="center" vertical="center" wrapText="1"/>
    </xf>
    <xf numFmtId="169" fontId="46" fillId="20" borderId="4" xfId="3" applyNumberFormat="1" applyFont="1" applyFill="1" applyBorder="1" applyAlignment="1">
      <alignment horizontal="center" vertical="center" wrapText="1"/>
    </xf>
    <xf numFmtId="168" fontId="46" fillId="20" borderId="53" xfId="3" applyNumberFormat="1" applyFont="1" applyFill="1" applyBorder="1" applyAlignment="1">
      <alignment horizontal="center" vertical="center" wrapText="1"/>
    </xf>
    <xf numFmtId="169" fontId="42" fillId="2" borderId="57" xfId="3" applyNumberFormat="1" applyFont="1" applyFill="1" applyBorder="1" applyAlignment="1">
      <alignment horizontal="center" vertical="center" wrapText="1"/>
    </xf>
    <xf numFmtId="169" fontId="42" fillId="2" borderId="54" xfId="3" applyNumberFormat="1" applyFont="1" applyFill="1" applyBorder="1" applyAlignment="1">
      <alignment horizontal="center" vertical="center" wrapText="1"/>
    </xf>
    <xf numFmtId="0" fontId="44" fillId="0" borderId="54" xfId="0" applyFont="1" applyBorder="1" applyAlignment="1">
      <alignment horizontal="left" vertical="center" wrapText="1" indent="2"/>
    </xf>
    <xf numFmtId="0" fontId="44" fillId="0" borderId="53" xfId="0" applyFont="1" applyBorder="1" applyAlignment="1">
      <alignment horizontal="left" vertical="center" wrapText="1"/>
    </xf>
    <xf numFmtId="169" fontId="44" fillId="3" borderId="65" xfId="3" applyNumberFormat="1" applyFont="1" applyFill="1" applyBorder="1" applyAlignment="1">
      <alignment horizontal="center" vertical="center" wrapText="1"/>
    </xf>
    <xf numFmtId="169" fontId="44" fillId="3" borderId="7" xfId="3" applyNumberFormat="1" applyFont="1" applyFill="1" applyBorder="1" applyAlignment="1">
      <alignment horizontal="center" vertical="center" wrapText="1"/>
    </xf>
    <xf numFmtId="169" fontId="44" fillId="3" borderId="53" xfId="3" applyNumberFormat="1" applyFont="1" applyFill="1" applyBorder="1" applyAlignment="1">
      <alignment horizontal="left" vertical="center" wrapText="1"/>
    </xf>
    <xf numFmtId="169" fontId="44" fillId="3" borderId="2" xfId="3" applyNumberFormat="1" applyFont="1" applyFill="1" applyBorder="1" applyAlignment="1">
      <alignment horizontal="center" vertical="center" wrapText="1"/>
    </xf>
    <xf numFmtId="169" fontId="44" fillId="0" borderId="1" xfId="3" applyNumberFormat="1" applyFont="1" applyFill="1" applyBorder="1" applyAlignment="1">
      <alignment horizontal="center" vertical="center" wrapText="1"/>
    </xf>
    <xf numFmtId="169" fontId="44" fillId="3" borderId="4" xfId="3" applyNumberFormat="1" applyFont="1" applyFill="1" applyBorder="1" applyAlignment="1">
      <alignment horizontal="center" vertical="center" wrapText="1"/>
    </xf>
    <xf numFmtId="169" fontId="44" fillId="3" borderId="47" xfId="3" applyNumberFormat="1" applyFont="1" applyFill="1" applyBorder="1" applyAlignment="1">
      <alignment horizontal="center" vertical="center" wrapText="1"/>
    </xf>
    <xf numFmtId="169" fontId="44" fillId="0" borderId="4" xfId="3" applyNumberFormat="1" applyFont="1" applyFill="1" applyBorder="1" applyAlignment="1">
      <alignment horizontal="center" vertical="center" wrapText="1"/>
    </xf>
    <xf numFmtId="169" fontId="44" fillId="0" borderId="53" xfId="3" applyNumberFormat="1" applyFont="1" applyFill="1" applyBorder="1" applyAlignment="1">
      <alignment horizontal="left" vertical="center" wrapText="1"/>
    </xf>
    <xf numFmtId="169" fontId="44" fillId="0" borderId="35" xfId="3" applyNumberFormat="1" applyFont="1" applyFill="1" applyBorder="1" applyAlignment="1">
      <alignment horizontal="center" vertical="center" wrapText="1"/>
    </xf>
    <xf numFmtId="169" fontId="44" fillId="0" borderId="46" xfId="3" applyNumberFormat="1" applyFont="1" applyFill="1" applyBorder="1" applyAlignment="1">
      <alignment horizontal="center" vertical="center" wrapText="1"/>
    </xf>
    <xf numFmtId="0" fontId="44" fillId="3" borderId="54" xfId="0" applyFont="1" applyFill="1" applyBorder="1" applyAlignment="1">
      <alignment horizontal="left" vertical="center" wrapText="1" indent="2"/>
    </xf>
    <xf numFmtId="0" fontId="47" fillId="0" borderId="66" xfId="0" applyFont="1" applyBorder="1" applyAlignment="1">
      <alignment vertical="center" wrapText="1"/>
    </xf>
    <xf numFmtId="2" fontId="48" fillId="0" borderId="18" xfId="0" applyNumberFormat="1" applyFont="1" applyBorder="1" applyAlignment="1">
      <alignment vertical="center" wrapText="1"/>
    </xf>
    <xf numFmtId="0" fontId="44" fillId="20" borderId="54" xfId="0" applyFont="1" applyFill="1" applyBorder="1" applyAlignment="1">
      <alignment horizontal="left" vertical="center" wrapText="1" indent="2"/>
    </xf>
    <xf numFmtId="169" fontId="46" fillId="20" borderId="54" xfId="3" applyNumberFormat="1" applyFont="1" applyFill="1" applyBorder="1" applyAlignment="1">
      <alignment horizontal="left" vertical="center" wrapText="1"/>
    </xf>
    <xf numFmtId="169" fontId="46" fillId="20" borderId="1"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169" fontId="44" fillId="2" borderId="60" xfId="3" applyNumberFormat="1" applyFont="1" applyFill="1" applyBorder="1" applyAlignment="1">
      <alignment horizontal="center" vertical="top" wrapText="1"/>
    </xf>
    <xf numFmtId="169" fontId="44" fillId="2" borderId="61" xfId="3" applyNumberFormat="1" applyFont="1" applyFill="1" applyBorder="1" applyAlignment="1">
      <alignment horizontal="center" vertical="top" wrapText="1"/>
    </xf>
    <xf numFmtId="169" fontId="44" fillId="2" borderId="62" xfId="3" applyNumberFormat="1" applyFont="1" applyFill="1" applyBorder="1" applyAlignment="1">
      <alignment horizontal="center" vertical="top" wrapText="1"/>
    </xf>
    <xf numFmtId="169" fontId="42" fillId="2" borderId="23" xfId="3" applyNumberFormat="1" applyFont="1" applyFill="1" applyBorder="1" applyAlignment="1">
      <alignment horizontal="center" vertical="top" wrapText="1"/>
    </xf>
    <xf numFmtId="0" fontId="46" fillId="3" borderId="53" xfId="0" applyFont="1" applyFill="1" applyBorder="1" applyAlignment="1">
      <alignment horizontal="center"/>
    </xf>
    <xf numFmtId="0" fontId="43" fillId="3" borderId="53" xfId="0" applyFont="1" applyFill="1" applyBorder="1" applyAlignment="1">
      <alignment horizontal="left"/>
    </xf>
    <xf numFmtId="0" fontId="43" fillId="3" borderId="51" xfId="0" applyFont="1" applyFill="1" applyBorder="1" applyAlignment="1">
      <alignment horizontal="center"/>
    </xf>
    <xf numFmtId="0" fontId="43" fillId="3" borderId="46" xfId="0" applyFont="1" applyFill="1" applyBorder="1" applyAlignment="1">
      <alignment horizontal="center"/>
    </xf>
    <xf numFmtId="168" fontId="43" fillId="3" borderId="46" xfId="3" applyNumberFormat="1" applyFont="1" applyFill="1" applyBorder="1" applyAlignment="1">
      <alignment horizontal="right"/>
    </xf>
    <xf numFmtId="168" fontId="43" fillId="3" borderId="53" xfId="3" applyNumberFormat="1" applyFont="1" applyFill="1" applyBorder="1" applyAlignment="1">
      <alignment horizontal="right"/>
    </xf>
    <xf numFmtId="0" fontId="43" fillId="3" borderId="54" xfId="0" applyFont="1" applyFill="1" applyBorder="1" applyAlignment="1">
      <alignment horizontal="left"/>
    </xf>
    <xf numFmtId="169" fontId="49" fillId="2" borderId="54" xfId="3" applyNumberFormat="1" applyFont="1" applyFill="1" applyBorder="1" applyAlignment="1">
      <alignment horizontal="left" vertical="center" wrapText="1"/>
    </xf>
    <xf numFmtId="169" fontId="46" fillId="2" borderId="2" xfId="3" applyNumberFormat="1" applyFont="1" applyFill="1" applyBorder="1" applyAlignment="1">
      <alignment horizontal="center" vertical="center" wrapText="1"/>
    </xf>
    <xf numFmtId="169" fontId="46" fillId="2" borderId="3" xfId="3" applyNumberFormat="1" applyFont="1" applyFill="1" applyBorder="1" applyAlignment="1">
      <alignment horizontal="center" vertical="center" wrapText="1"/>
    </xf>
    <xf numFmtId="169" fontId="46" fillId="2" borderId="4" xfId="3" applyNumberFormat="1" applyFont="1" applyFill="1" applyBorder="1" applyAlignment="1">
      <alignment horizontal="center" vertical="center" wrapText="1"/>
    </xf>
    <xf numFmtId="169" fontId="49" fillId="2" borderId="54" xfId="3" applyNumberFormat="1" applyFont="1" applyFill="1" applyBorder="1" applyAlignment="1">
      <alignment horizontal="center" vertical="center" wrapText="1"/>
    </xf>
    <xf numFmtId="169" fontId="46" fillId="0" borderId="54" xfId="3" applyNumberFormat="1" applyFont="1" applyFill="1" applyBorder="1" applyAlignment="1">
      <alignment horizontal="center" vertical="center" wrapText="1"/>
    </xf>
    <xf numFmtId="169" fontId="43" fillId="0" borderId="54" xfId="3" applyNumberFormat="1" applyFont="1" applyFill="1" applyBorder="1" applyAlignment="1">
      <alignment horizontal="left" vertical="center" wrapText="1"/>
    </xf>
    <xf numFmtId="169" fontId="46" fillId="0" borderId="2" xfId="3" applyNumberFormat="1" applyFont="1" applyFill="1" applyBorder="1" applyAlignment="1">
      <alignment horizontal="center" vertical="center" wrapText="1"/>
    </xf>
    <xf numFmtId="169" fontId="46" fillId="0" borderId="3" xfId="3" applyNumberFormat="1" applyFont="1" applyFill="1" applyBorder="1" applyAlignment="1">
      <alignment horizontal="center" vertical="center" wrapText="1"/>
    </xf>
    <xf numFmtId="169" fontId="46" fillId="0" borderId="4" xfId="3" applyNumberFormat="1" applyFont="1" applyFill="1" applyBorder="1" applyAlignment="1">
      <alignment horizontal="center" vertical="center" wrapText="1"/>
    </xf>
    <xf numFmtId="169" fontId="43" fillId="0" borderId="54" xfId="3" applyNumberFormat="1" applyFont="1" applyFill="1" applyBorder="1" applyAlignment="1">
      <alignment horizontal="center" vertical="center" wrapText="1"/>
    </xf>
    <xf numFmtId="0" fontId="49" fillId="2" borderId="23" xfId="0" applyFont="1" applyFill="1" applyBorder="1" applyAlignment="1">
      <alignment horizontal="left" vertical="center" wrapText="1"/>
    </xf>
    <xf numFmtId="169" fontId="49" fillId="2" borderId="67" xfId="3" applyNumberFormat="1" applyFont="1" applyFill="1" applyBorder="1" applyAlignment="1">
      <alignment horizontal="center" vertical="top" wrapText="1"/>
    </xf>
    <xf numFmtId="169" fontId="49" fillId="2" borderId="32" xfId="3" applyNumberFormat="1" applyFont="1" applyFill="1" applyBorder="1" applyAlignment="1">
      <alignment horizontal="center" vertical="top" wrapText="1"/>
    </xf>
    <xf numFmtId="169" fontId="49" fillId="2" borderId="68" xfId="3" applyNumberFormat="1" applyFont="1" applyFill="1" applyBorder="1" applyAlignment="1">
      <alignment horizontal="center" vertical="top" wrapText="1"/>
    </xf>
    <xf numFmtId="169" fontId="49" fillId="2" borderId="23" xfId="3" applyNumberFormat="1" applyFont="1" applyFill="1" applyBorder="1" applyAlignment="1">
      <alignment horizontal="center" vertical="top" wrapText="1"/>
    </xf>
    <xf numFmtId="0" fontId="44" fillId="3" borderId="54" xfId="0" applyFont="1" applyFill="1" applyBorder="1" applyAlignment="1">
      <alignment horizontal="left" vertical="center" wrapText="1"/>
    </xf>
    <xf numFmtId="169" fontId="44" fillId="3" borderId="2" xfId="3" applyNumberFormat="1" applyFont="1" applyFill="1" applyBorder="1" applyAlignment="1">
      <alignment horizontal="center" vertical="top" wrapText="1"/>
    </xf>
    <xf numFmtId="169" fontId="44" fillId="0" borderId="3" xfId="3" applyNumberFormat="1" applyFont="1" applyFill="1" applyBorder="1" applyAlignment="1">
      <alignment horizontal="center" vertical="top" wrapText="1"/>
    </xf>
    <xf numFmtId="169" fontId="44" fillId="3" borderId="4" xfId="3" applyNumberFormat="1" applyFont="1" applyFill="1" applyBorder="1" applyAlignment="1">
      <alignment horizontal="center" vertical="top" wrapText="1"/>
    </xf>
    <xf numFmtId="169" fontId="44" fillId="3" borderId="54" xfId="3" applyNumberFormat="1" applyFont="1" applyFill="1" applyBorder="1" applyAlignment="1">
      <alignment horizontal="center" vertical="top" wrapText="1"/>
    </xf>
    <xf numFmtId="169" fontId="44" fillId="3" borderId="52" xfId="3" applyNumberFormat="1" applyFont="1" applyFill="1" applyBorder="1" applyAlignment="1">
      <alignment horizontal="center" vertical="top" wrapText="1"/>
    </xf>
    <xf numFmtId="169" fontId="44" fillId="0" borderId="38" xfId="3" applyNumberFormat="1" applyFont="1" applyFill="1" applyBorder="1" applyAlignment="1">
      <alignment horizontal="center" vertical="top" wrapText="1"/>
    </xf>
    <xf numFmtId="169" fontId="44" fillId="3" borderId="46" xfId="3" applyNumberFormat="1" applyFont="1" applyFill="1" applyBorder="1" applyAlignment="1">
      <alignment horizontal="center" vertical="top" wrapText="1"/>
    </xf>
    <xf numFmtId="168" fontId="43" fillId="3" borderId="54" xfId="3" applyNumberFormat="1" applyFont="1" applyFill="1" applyBorder="1" applyAlignment="1">
      <alignment horizontal="right"/>
    </xf>
    <xf numFmtId="0" fontId="44" fillId="20" borderId="53" xfId="0" applyFont="1" applyFill="1" applyBorder="1" applyAlignment="1">
      <alignment horizontal="left" vertical="center" wrapText="1"/>
    </xf>
    <xf numFmtId="0" fontId="45" fillId="20" borderId="53" xfId="0" applyFont="1" applyFill="1" applyBorder="1" applyAlignment="1">
      <alignment vertical="center" wrapText="1"/>
    </xf>
    <xf numFmtId="169" fontId="46" fillId="20" borderId="52" xfId="3" applyNumberFormat="1" applyFont="1" applyFill="1" applyBorder="1" applyAlignment="1">
      <alignment horizontal="center" vertical="top" wrapText="1"/>
    </xf>
    <xf numFmtId="169" fontId="46" fillId="20" borderId="38" xfId="3" applyNumberFormat="1" applyFont="1" applyFill="1" applyBorder="1" applyAlignment="1">
      <alignment horizontal="center" vertical="top" wrapText="1"/>
    </xf>
    <xf numFmtId="169" fontId="46" fillId="20" borderId="46" xfId="3" applyNumberFormat="1" applyFont="1" applyFill="1" applyBorder="1" applyAlignment="1">
      <alignment horizontal="center" vertical="top" wrapText="1"/>
    </xf>
    <xf numFmtId="169" fontId="46" fillId="20" borderId="53" xfId="3" applyNumberFormat="1" applyFont="1" applyFill="1" applyBorder="1" applyAlignment="1">
      <alignment horizontal="center" vertical="top" wrapText="1"/>
    </xf>
    <xf numFmtId="0" fontId="44" fillId="20" borderId="22" xfId="0" applyFont="1" applyFill="1" applyBorder="1" applyAlignment="1">
      <alignment horizontal="left" vertical="center" wrapText="1"/>
    </xf>
    <xf numFmtId="0" fontId="45" fillId="20" borderId="22" xfId="0" applyFont="1" applyFill="1" applyBorder="1" applyAlignment="1">
      <alignment vertical="center" wrapText="1"/>
    </xf>
    <xf numFmtId="169" fontId="46" fillId="20" borderId="58" xfId="3" applyNumberFormat="1" applyFont="1" applyFill="1" applyBorder="1" applyAlignment="1">
      <alignment horizontal="center" vertical="top" wrapText="1"/>
    </xf>
    <xf numFmtId="169" fontId="46" fillId="20" borderId="55" xfId="3" applyNumberFormat="1" applyFont="1" applyFill="1" applyBorder="1" applyAlignment="1">
      <alignment horizontal="center" vertical="top" wrapText="1"/>
    </xf>
    <xf numFmtId="169" fontId="46" fillId="20" borderId="69" xfId="3" applyNumberFormat="1" applyFont="1" applyFill="1" applyBorder="1" applyAlignment="1">
      <alignment horizontal="center" vertical="top" wrapText="1"/>
    </xf>
    <xf numFmtId="169" fontId="46" fillId="20" borderId="22" xfId="3" applyNumberFormat="1" applyFont="1" applyFill="1" applyBorder="1" applyAlignment="1">
      <alignment horizontal="center" vertical="top" wrapText="1"/>
    </xf>
    <xf numFmtId="0" fontId="49" fillId="2" borderId="6" xfId="0" applyFont="1" applyFill="1" applyBorder="1" applyAlignment="1">
      <alignment horizontal="left" vertical="center" wrapText="1"/>
    </xf>
    <xf numFmtId="169" fontId="49" fillId="2" borderId="60" xfId="3" applyNumberFormat="1" applyFont="1" applyFill="1" applyBorder="1" applyAlignment="1">
      <alignment horizontal="center" vertical="top" wrapText="1"/>
    </xf>
    <xf numFmtId="169" fontId="49" fillId="2" borderId="61" xfId="3" applyNumberFormat="1" applyFont="1" applyFill="1" applyBorder="1" applyAlignment="1">
      <alignment horizontal="center" vertical="top" wrapText="1"/>
    </xf>
    <xf numFmtId="169" fontId="49" fillId="2" borderId="62" xfId="3" applyNumberFormat="1" applyFont="1" applyFill="1" applyBorder="1" applyAlignment="1">
      <alignment horizontal="center" vertical="top" wrapText="1"/>
    </xf>
    <xf numFmtId="169" fontId="49" fillId="2" borderId="6" xfId="3" applyNumberFormat="1" applyFont="1" applyFill="1" applyBorder="1" applyAlignment="1">
      <alignment horizontal="center" vertical="top" wrapText="1"/>
    </xf>
    <xf numFmtId="169" fontId="0" fillId="0" borderId="0" xfId="0" applyNumberFormat="1"/>
    <xf numFmtId="169" fontId="43" fillId="0" borderId="54" xfId="3" applyNumberFormat="1" applyFont="1" applyFill="1" applyBorder="1" applyAlignment="1">
      <alignment horizontal="center" vertical="top" wrapText="1"/>
    </xf>
    <xf numFmtId="0" fontId="44" fillId="20" borderId="53" xfId="0" applyFont="1" applyFill="1" applyBorder="1" applyAlignment="1">
      <alignment horizontal="left" vertical="top" wrapText="1"/>
    </xf>
    <xf numFmtId="0" fontId="45" fillId="20" borderId="53" xfId="0" applyFont="1" applyFill="1" applyBorder="1" applyAlignment="1">
      <alignment vertical="top" wrapText="1"/>
    </xf>
    <xf numFmtId="169" fontId="42" fillId="2" borderId="6" xfId="3" applyNumberFormat="1" applyFont="1" applyFill="1" applyBorder="1" applyAlignment="1">
      <alignment horizontal="center" vertical="top" wrapText="1"/>
    </xf>
    <xf numFmtId="0" fontId="44" fillId="3" borderId="63" xfId="0" applyFont="1" applyFill="1" applyBorder="1" applyAlignment="1">
      <alignment horizontal="left" vertical="center" wrapText="1"/>
    </xf>
    <xf numFmtId="0" fontId="44" fillId="20" borderId="54" xfId="0" applyFont="1" applyFill="1" applyBorder="1" applyAlignment="1">
      <alignment horizontal="left" vertical="center" wrapText="1"/>
    </xf>
    <xf numFmtId="0" fontId="46" fillId="20" borderId="54" xfId="0" applyFont="1" applyFill="1" applyBorder="1" applyAlignment="1">
      <alignment horizontal="left" vertical="top" wrapText="1"/>
    </xf>
    <xf numFmtId="169" fontId="46" fillId="20" borderId="2" xfId="3" applyNumberFormat="1" applyFont="1" applyFill="1" applyBorder="1" applyAlignment="1">
      <alignment horizontal="center" vertical="top" wrapText="1"/>
    </xf>
    <xf numFmtId="169" fontId="46" fillId="20" borderId="3" xfId="3" applyNumberFormat="1" applyFont="1" applyFill="1" applyBorder="1" applyAlignment="1">
      <alignment horizontal="center" vertical="top" wrapText="1"/>
    </xf>
    <xf numFmtId="169" fontId="46" fillId="20" borderId="4" xfId="3" applyNumberFormat="1" applyFont="1" applyFill="1" applyBorder="1" applyAlignment="1">
      <alignment horizontal="center" vertical="top" wrapText="1"/>
    </xf>
    <xf numFmtId="169" fontId="46" fillId="20" borderId="54" xfId="3" applyNumberFormat="1" applyFont="1" applyFill="1" applyBorder="1" applyAlignment="1">
      <alignment horizontal="center" vertical="top" wrapText="1"/>
    </xf>
    <xf numFmtId="0" fontId="46" fillId="20" borderId="54" xfId="0" applyFont="1" applyFill="1" applyBorder="1" applyAlignment="1">
      <alignment horizontal="left" vertical="center" wrapText="1"/>
    </xf>
    <xf numFmtId="0" fontId="49" fillId="0" borderId="22" xfId="0" applyFont="1" applyBorder="1" applyAlignment="1">
      <alignment horizontal="left" vertical="center" wrapText="1"/>
    </xf>
    <xf numFmtId="0" fontId="43" fillId="3" borderId="53" xfId="0" applyFont="1" applyFill="1" applyBorder="1" applyAlignment="1">
      <alignment horizontal="left" vertical="center" wrapText="1"/>
    </xf>
    <xf numFmtId="169" fontId="43" fillId="3" borderId="52" xfId="3" applyNumberFormat="1" applyFont="1" applyFill="1" applyBorder="1" applyAlignment="1">
      <alignment horizontal="center" vertical="top" wrapText="1"/>
    </xf>
    <xf numFmtId="169" fontId="43" fillId="3" borderId="38" xfId="3" applyNumberFormat="1" applyFont="1" applyFill="1" applyBorder="1" applyAlignment="1">
      <alignment horizontal="center" vertical="top" wrapText="1"/>
    </xf>
    <xf numFmtId="169" fontId="43" fillId="3" borderId="46" xfId="3" applyNumberFormat="1" applyFont="1" applyFill="1" applyBorder="1" applyAlignment="1">
      <alignment horizontal="center" vertical="top" wrapText="1"/>
    </xf>
    <xf numFmtId="169" fontId="43" fillId="3" borderId="53" xfId="3" applyNumberFormat="1" applyFont="1" applyFill="1" applyBorder="1" applyAlignment="1">
      <alignment horizontal="center" vertical="top" wrapText="1"/>
    </xf>
    <xf numFmtId="0" fontId="44" fillId="0" borderId="54" xfId="0" applyFont="1" applyBorder="1" applyAlignment="1">
      <alignment horizontal="left" vertical="center" wrapText="1"/>
    </xf>
    <xf numFmtId="169" fontId="44" fillId="3" borderId="3" xfId="3" applyNumberFormat="1" applyFont="1" applyFill="1" applyBorder="1" applyAlignment="1">
      <alignment horizontal="center" vertical="top" wrapText="1"/>
    </xf>
    <xf numFmtId="0" fontId="46" fillId="20" borderId="54" xfId="0" applyFont="1" applyFill="1" applyBorder="1" applyAlignment="1">
      <alignment horizontal="left" wrapText="1"/>
    </xf>
    <xf numFmtId="169" fontId="44" fillId="20" borderId="35" xfId="3" applyNumberFormat="1" applyFont="1" applyFill="1" applyBorder="1" applyAlignment="1">
      <alignment horizontal="center" vertical="top" wrapText="1"/>
    </xf>
    <xf numFmtId="0" fontId="44" fillId="0" borderId="63" xfId="0" applyFont="1" applyBorder="1" applyAlignment="1">
      <alignment horizontal="left" vertical="center" wrapText="1"/>
    </xf>
    <xf numFmtId="0" fontId="43" fillId="0" borderId="53" xfId="0" applyFont="1" applyBorder="1" applyAlignment="1">
      <alignment horizontal="left" vertical="center" wrapText="1"/>
    </xf>
    <xf numFmtId="169" fontId="44" fillId="0" borderId="52" xfId="3" applyNumberFormat="1" applyFont="1" applyFill="1" applyBorder="1" applyAlignment="1">
      <alignment horizontal="center" vertical="top" wrapText="1"/>
    </xf>
    <xf numFmtId="169" fontId="44" fillId="0" borderId="46" xfId="3" applyNumberFormat="1" applyFont="1" applyFill="1" applyBorder="1" applyAlignment="1">
      <alignment horizontal="center" vertical="top" wrapText="1"/>
    </xf>
    <xf numFmtId="169" fontId="44" fillId="0" borderId="54" xfId="3" applyNumberFormat="1" applyFont="1" applyFill="1" applyBorder="1" applyAlignment="1">
      <alignment horizontal="center" vertical="top" wrapText="1"/>
    </xf>
    <xf numFmtId="0" fontId="43" fillId="0" borderId="54" xfId="0" applyFont="1" applyBorder="1" applyAlignment="1">
      <alignment horizontal="left" vertical="center" wrapText="1"/>
    </xf>
    <xf numFmtId="169" fontId="44" fillId="0" borderId="2" xfId="3" applyNumberFormat="1" applyFont="1" applyFill="1" applyBorder="1" applyAlignment="1">
      <alignment horizontal="center" vertical="top" wrapText="1"/>
    </xf>
    <xf numFmtId="169" fontId="44" fillId="0" borderId="4" xfId="3" applyNumberFormat="1" applyFont="1" applyFill="1" applyBorder="1" applyAlignment="1">
      <alignment horizontal="center" vertical="top" wrapText="1"/>
    </xf>
    <xf numFmtId="0" fontId="44" fillId="0" borderId="70" xfId="0" applyFont="1" applyBorder="1" applyAlignment="1">
      <alignment horizontal="left" vertical="center" wrapText="1"/>
    </xf>
    <xf numFmtId="0" fontId="43" fillId="0" borderId="71" xfId="0" applyFont="1" applyBorder="1" applyAlignment="1">
      <alignment horizontal="left" vertical="center" wrapText="1"/>
    </xf>
    <xf numFmtId="169" fontId="44" fillId="0" borderId="57" xfId="3" applyNumberFormat="1" applyFont="1" applyFill="1" applyBorder="1" applyAlignment="1">
      <alignment horizontal="center" vertical="top" wrapText="1"/>
    </xf>
    <xf numFmtId="169" fontId="44" fillId="0" borderId="5" xfId="3" applyNumberFormat="1" applyFont="1" applyFill="1" applyBorder="1" applyAlignment="1">
      <alignment horizontal="center" vertical="top" wrapText="1"/>
    </xf>
    <xf numFmtId="169" fontId="44" fillId="0" borderId="39" xfId="3" applyNumberFormat="1" applyFont="1" applyFill="1" applyBorder="1" applyAlignment="1">
      <alignment horizontal="center" vertical="top" wrapText="1"/>
    </xf>
    <xf numFmtId="0" fontId="49" fillId="2" borderId="66" xfId="0" applyFont="1" applyFill="1" applyBorder="1" applyAlignment="1">
      <alignment horizontal="left" vertical="center" wrapText="1"/>
    </xf>
    <xf numFmtId="169" fontId="49" fillId="2" borderId="72" xfId="3" applyNumberFormat="1" applyFont="1" applyFill="1" applyBorder="1" applyAlignment="1">
      <alignment horizontal="center" vertical="center" wrapText="1"/>
    </xf>
    <xf numFmtId="169" fontId="49" fillId="2" borderId="73" xfId="3" applyNumberFormat="1" applyFont="1" applyFill="1" applyBorder="1" applyAlignment="1">
      <alignment horizontal="center" vertical="center" wrapText="1"/>
    </xf>
    <xf numFmtId="169" fontId="49" fillId="2" borderId="66" xfId="3" applyNumberFormat="1" applyFont="1" applyFill="1" applyBorder="1" applyAlignment="1">
      <alignment horizontal="center" vertical="center" wrapText="1"/>
    </xf>
    <xf numFmtId="0" fontId="44" fillId="0" borderId="22" xfId="0" applyFont="1" applyBorder="1" applyAlignment="1">
      <alignment horizontal="left" vertical="center" wrapText="1"/>
    </xf>
    <xf numFmtId="169" fontId="50" fillId="0" borderId="58" xfId="3" applyNumberFormat="1" applyFont="1" applyFill="1" applyBorder="1" applyAlignment="1">
      <alignment vertical="center" wrapText="1"/>
    </xf>
    <xf numFmtId="169" fontId="50" fillId="0" borderId="3" xfId="3" applyNumberFormat="1" applyFont="1" applyFill="1" applyBorder="1" applyAlignment="1">
      <alignment vertical="center" wrapText="1"/>
    </xf>
    <xf numFmtId="169" fontId="50" fillId="0" borderId="4" xfId="3" applyNumberFormat="1" applyFont="1" applyFill="1" applyBorder="1" applyAlignment="1">
      <alignment vertical="center" wrapText="1"/>
    </xf>
    <xf numFmtId="169" fontId="43" fillId="3" borderId="54" xfId="3" applyNumberFormat="1" applyFont="1" applyFill="1" applyBorder="1" applyAlignment="1">
      <alignment horizontal="center" vertical="center" wrapText="1"/>
    </xf>
    <xf numFmtId="169" fontId="43" fillId="3" borderId="70" xfId="3" applyNumberFormat="1" applyFont="1" applyFill="1" applyBorder="1" applyAlignment="1">
      <alignment horizontal="center" vertical="center" wrapText="1"/>
    </xf>
    <xf numFmtId="0" fontId="46" fillId="20" borderId="71" xfId="0" applyFont="1" applyFill="1" applyBorder="1" applyAlignment="1">
      <alignment horizontal="left" vertical="top" wrapText="1"/>
    </xf>
    <xf numFmtId="169" fontId="44" fillId="3" borderId="0" xfId="3"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169" fontId="49" fillId="2" borderId="74" xfId="3" applyNumberFormat="1" applyFont="1" applyFill="1" applyBorder="1" applyAlignment="1">
      <alignment horizontal="center" vertical="top" wrapText="1"/>
    </xf>
    <xf numFmtId="0" fontId="46" fillId="20" borderId="22" xfId="0" applyFont="1" applyFill="1" applyBorder="1" applyAlignment="1">
      <alignment horizontal="left" vertical="top" wrapText="1"/>
    </xf>
    <xf numFmtId="169" fontId="46" fillId="20" borderId="51" xfId="3" applyNumberFormat="1" applyFont="1" applyFill="1" applyBorder="1" applyAlignment="1">
      <alignment horizontal="center" vertical="top" wrapText="1"/>
    </xf>
    <xf numFmtId="169" fontId="46" fillId="20" borderId="63" xfId="3" applyNumberFormat="1" applyFont="1" applyFill="1" applyBorder="1" applyAlignment="1">
      <alignment horizontal="center" vertical="top" wrapText="1"/>
    </xf>
    <xf numFmtId="0" fontId="42" fillId="17" borderId="6" xfId="0" applyFont="1" applyFill="1" applyBorder="1" applyAlignment="1">
      <alignment horizontal="left" vertical="center" wrapText="1"/>
    </xf>
    <xf numFmtId="169" fontId="42" fillId="7" borderId="60" xfId="3" applyNumberFormat="1" applyFont="1" applyFill="1" applyBorder="1" applyAlignment="1">
      <alignment horizontal="center" vertical="top" wrapText="1"/>
    </xf>
    <xf numFmtId="169" fontId="42" fillId="7" borderId="61" xfId="3" applyNumberFormat="1" applyFont="1" applyFill="1" applyBorder="1" applyAlignment="1">
      <alignment horizontal="center" vertical="top" wrapText="1"/>
    </xf>
    <xf numFmtId="169" fontId="42" fillId="7" borderId="62" xfId="3" applyNumberFormat="1" applyFont="1" applyFill="1" applyBorder="1" applyAlignment="1">
      <alignment horizontal="center" vertical="top" wrapText="1"/>
    </xf>
    <xf numFmtId="169" fontId="42" fillId="7" borderId="6" xfId="3" applyNumberFormat="1" applyFont="1" applyFill="1" applyBorder="1" applyAlignment="1">
      <alignment horizontal="center" vertical="top" wrapText="1"/>
    </xf>
    <xf numFmtId="169" fontId="49" fillId="17" borderId="6" xfId="3" applyNumberFormat="1" applyFont="1" applyFill="1" applyBorder="1" applyAlignment="1">
      <alignment horizontal="center" vertical="top" wrapText="1"/>
    </xf>
    <xf numFmtId="0" fontId="49" fillId="0" borderId="6" xfId="0" applyFont="1" applyBorder="1" applyAlignment="1">
      <alignment horizontal="left" vertical="center" wrapText="1"/>
    </xf>
    <xf numFmtId="0" fontId="49" fillId="0" borderId="60" xfId="0" applyFont="1" applyBorder="1" applyAlignment="1">
      <alignment horizontal="center" vertical="top" wrapText="1"/>
    </xf>
    <xf numFmtId="0" fontId="49" fillId="0" borderId="61" xfId="0" applyFont="1" applyBorder="1" applyAlignment="1">
      <alignment horizontal="center" vertical="top" wrapText="1"/>
    </xf>
    <xf numFmtId="169" fontId="42" fillId="0" borderId="62" xfId="3" applyNumberFormat="1" applyFont="1" applyFill="1" applyBorder="1" applyAlignment="1">
      <alignment horizontal="center" vertical="top" wrapText="1"/>
    </xf>
    <xf numFmtId="169" fontId="49" fillId="0" borderId="6" xfId="3" applyNumberFormat="1" applyFont="1" applyFill="1" applyBorder="1" applyAlignment="1">
      <alignment horizontal="center" vertical="top" wrapText="1"/>
    </xf>
    <xf numFmtId="169" fontId="49" fillId="17" borderId="60" xfId="3" applyNumberFormat="1" applyFont="1" applyFill="1" applyBorder="1" applyAlignment="1">
      <alignment horizontal="center" vertical="top" wrapText="1"/>
    </xf>
    <xf numFmtId="169" fontId="49" fillId="17" borderId="61" xfId="3" applyNumberFormat="1" applyFont="1" applyFill="1" applyBorder="1" applyAlignment="1">
      <alignment horizontal="center" vertical="top" wrapText="1"/>
    </xf>
    <xf numFmtId="169" fontId="49" fillId="17" borderId="62" xfId="3" applyNumberFormat="1" applyFont="1" applyFill="1" applyBorder="1" applyAlignment="1">
      <alignment horizontal="center" vertical="top" wrapText="1"/>
    </xf>
    <xf numFmtId="169" fontId="42" fillId="10" borderId="76" xfId="3" applyNumberFormat="1" applyFont="1" applyFill="1" applyBorder="1" applyAlignment="1">
      <alignment horizontal="center" vertical="top" wrapText="1"/>
    </xf>
    <xf numFmtId="169" fontId="42" fillId="2" borderId="37" xfId="3" applyNumberFormat="1" applyFont="1" applyFill="1" applyBorder="1" applyAlignment="1">
      <alignment horizontal="center" vertical="center" wrapText="1"/>
    </xf>
    <xf numFmtId="169" fontId="44" fillId="3" borderId="37" xfId="3" applyNumberFormat="1" applyFont="1" applyFill="1" applyBorder="1" applyAlignment="1">
      <alignment horizontal="center" vertical="center" wrapText="1"/>
    </xf>
    <xf numFmtId="169" fontId="43" fillId="19" borderId="37" xfId="3" applyNumberFormat="1" applyFont="1" applyFill="1" applyBorder="1" applyAlignment="1">
      <alignment horizontal="center" vertical="center" wrapText="1"/>
    </xf>
    <xf numFmtId="169" fontId="46" fillId="20" borderId="37" xfId="3" applyNumberFormat="1" applyFont="1" applyFill="1" applyBorder="1" applyAlignment="1">
      <alignment horizontal="center" vertical="center" wrapText="1"/>
    </xf>
    <xf numFmtId="169" fontId="42" fillId="2" borderId="9" xfId="3" applyNumberFormat="1" applyFont="1" applyFill="1" applyBorder="1" applyAlignment="1">
      <alignment horizontal="center" vertical="center" wrapText="1"/>
    </xf>
    <xf numFmtId="169" fontId="44" fillId="19" borderId="9" xfId="3" applyNumberFormat="1" applyFont="1" applyFill="1" applyBorder="1" applyAlignment="1">
      <alignment horizontal="center" vertical="center" wrapText="1"/>
    </xf>
    <xf numFmtId="169" fontId="46" fillId="20" borderId="9" xfId="3" applyNumberFormat="1" applyFont="1" applyFill="1" applyBorder="1" applyAlignment="1">
      <alignment horizontal="center" vertical="center" wrapText="1"/>
    </xf>
    <xf numFmtId="169" fontId="44" fillId="3" borderId="9" xfId="3" applyNumberFormat="1" applyFont="1" applyFill="1" applyBorder="1" applyAlignment="1">
      <alignment horizontal="center" vertical="center" wrapText="1"/>
    </xf>
    <xf numFmtId="169" fontId="44" fillId="0" borderId="9" xfId="3" applyNumberFormat="1" applyFont="1" applyFill="1" applyBorder="1" applyAlignment="1">
      <alignment horizontal="center" vertical="center" wrapText="1"/>
    </xf>
    <xf numFmtId="169" fontId="44" fillId="0" borderId="37" xfId="3" applyNumberFormat="1" applyFont="1" applyFill="1" applyBorder="1" applyAlignment="1">
      <alignment horizontal="center" vertical="center" wrapText="1"/>
    </xf>
    <xf numFmtId="169" fontId="44" fillId="2" borderId="76" xfId="3" applyNumberFormat="1" applyFont="1" applyFill="1" applyBorder="1" applyAlignment="1">
      <alignment horizontal="center" vertical="top" wrapText="1"/>
    </xf>
    <xf numFmtId="168" fontId="43" fillId="3" borderId="37" xfId="3" applyNumberFormat="1" applyFont="1" applyFill="1" applyBorder="1" applyAlignment="1">
      <alignment horizontal="right"/>
    </xf>
    <xf numFmtId="169" fontId="46" fillId="2" borderId="9" xfId="3" applyNumberFormat="1" applyFont="1" applyFill="1" applyBorder="1" applyAlignment="1">
      <alignment horizontal="center" vertical="center" wrapText="1"/>
    </xf>
    <xf numFmtId="169" fontId="46" fillId="0" borderId="9" xfId="3" applyNumberFormat="1" applyFont="1" applyFill="1" applyBorder="1" applyAlignment="1">
      <alignment horizontal="center" vertical="center" wrapText="1"/>
    </xf>
    <xf numFmtId="169" fontId="49" fillId="2" borderId="33" xfId="3" applyNumberFormat="1" applyFont="1" applyFill="1" applyBorder="1" applyAlignment="1">
      <alignment horizontal="center" vertical="top" wrapText="1"/>
    </xf>
    <xf numFmtId="169" fontId="44" fillId="3" borderId="9" xfId="3" applyNumberFormat="1" applyFont="1" applyFill="1" applyBorder="1" applyAlignment="1">
      <alignment horizontal="center" vertical="top" wrapText="1"/>
    </xf>
    <xf numFmtId="169" fontId="44" fillId="3" borderId="37" xfId="3" applyNumberFormat="1" applyFont="1" applyFill="1" applyBorder="1" applyAlignment="1">
      <alignment horizontal="center" vertical="top" wrapText="1"/>
    </xf>
    <xf numFmtId="169" fontId="46" fillId="20" borderId="37" xfId="3" applyNumberFormat="1" applyFont="1" applyFill="1" applyBorder="1" applyAlignment="1">
      <alignment horizontal="center" vertical="top" wrapText="1"/>
    </xf>
    <xf numFmtId="169" fontId="46" fillId="20" borderId="28" xfId="3" applyNumberFormat="1" applyFont="1" applyFill="1" applyBorder="1" applyAlignment="1">
      <alignment horizontal="center" vertical="top" wrapText="1"/>
    </xf>
    <xf numFmtId="169" fontId="49" fillId="2" borderId="76" xfId="3" applyNumberFormat="1" applyFont="1" applyFill="1" applyBorder="1" applyAlignment="1">
      <alignment horizontal="center" vertical="top" wrapText="1"/>
    </xf>
    <xf numFmtId="169" fontId="46" fillId="20" borderId="9" xfId="3" applyNumberFormat="1" applyFont="1" applyFill="1" applyBorder="1" applyAlignment="1">
      <alignment horizontal="center" vertical="top" wrapText="1"/>
    </xf>
    <xf numFmtId="169" fontId="43" fillId="3" borderId="37" xfId="3" applyNumberFormat="1" applyFont="1" applyFill="1" applyBorder="1" applyAlignment="1">
      <alignment horizontal="center" vertical="top" wrapText="1"/>
    </xf>
    <xf numFmtId="169" fontId="44" fillId="0" borderId="37" xfId="3" applyNumberFormat="1" applyFont="1" applyFill="1" applyBorder="1" applyAlignment="1">
      <alignment horizontal="center" vertical="top" wrapText="1"/>
    </xf>
    <xf numFmtId="169" fontId="44" fillId="0" borderId="9" xfId="3" applyNumberFormat="1" applyFont="1" applyFill="1" applyBorder="1" applyAlignment="1">
      <alignment horizontal="center" vertical="top" wrapText="1"/>
    </xf>
    <xf numFmtId="169" fontId="44" fillId="0" borderId="30" xfId="3" applyNumberFormat="1" applyFont="1" applyFill="1" applyBorder="1" applyAlignment="1">
      <alignment horizontal="center" vertical="top" wrapText="1"/>
    </xf>
    <xf numFmtId="169" fontId="49" fillId="2" borderId="77" xfId="3" applyNumberFormat="1" applyFont="1" applyFill="1" applyBorder="1" applyAlignment="1">
      <alignment horizontal="center" vertical="center" wrapText="1"/>
    </xf>
    <xf numFmtId="169" fontId="50" fillId="0" borderId="9" xfId="3" applyNumberFormat="1" applyFont="1" applyFill="1" applyBorder="1" applyAlignment="1">
      <alignment vertical="center" wrapText="1"/>
    </xf>
    <xf numFmtId="0" fontId="49" fillId="2" borderId="8" xfId="0" applyFont="1" applyFill="1" applyBorder="1" applyAlignment="1">
      <alignment horizontal="left" vertical="center" wrapText="1"/>
    </xf>
    <xf numFmtId="169" fontId="42" fillId="7" borderId="76" xfId="3" applyNumberFormat="1" applyFont="1" applyFill="1" applyBorder="1" applyAlignment="1">
      <alignment horizontal="center" vertical="top" wrapText="1"/>
    </xf>
    <xf numFmtId="169" fontId="42" fillId="0" borderId="76" xfId="3" applyNumberFormat="1" applyFont="1" applyFill="1" applyBorder="1" applyAlignment="1">
      <alignment horizontal="center" vertical="top" wrapText="1"/>
    </xf>
    <xf numFmtId="169" fontId="49" fillId="17" borderId="76" xfId="3" applyNumberFormat="1" applyFont="1" applyFill="1" applyBorder="1" applyAlignment="1">
      <alignment horizontal="center" vertical="top" wrapText="1"/>
    </xf>
    <xf numFmtId="164" fontId="0" fillId="0" borderId="0" xfId="0" applyNumberFormat="1" applyAlignment="1">
      <alignment wrapText="1"/>
    </xf>
    <xf numFmtId="170" fontId="5" fillId="0" borderId="3" xfId="1" applyNumberFormat="1" applyFont="1" applyBorder="1" applyAlignment="1" applyProtection="1">
      <alignment horizontal="center" vertical="center" wrapText="1"/>
      <protection locked="0"/>
    </xf>
    <xf numFmtId="170" fontId="1" fillId="2" borderId="13" xfId="1" applyNumberFormat="1" applyFont="1" applyFill="1" applyBorder="1" applyAlignment="1" applyProtection="1">
      <alignment vertical="center" wrapText="1"/>
    </xf>
    <xf numFmtId="170" fontId="1" fillId="2" borderId="32" xfId="1" applyNumberFormat="1" applyFont="1" applyFill="1" applyBorder="1" applyAlignment="1">
      <alignment wrapText="1"/>
    </xf>
    <xf numFmtId="170" fontId="5" fillId="2" borderId="32" xfId="1" applyNumberFormat="1" applyFont="1" applyFill="1" applyBorder="1" applyAlignment="1">
      <alignment wrapText="1"/>
    </xf>
    <xf numFmtId="170" fontId="1" fillId="2" borderId="3" xfId="1" applyNumberFormat="1" applyFont="1" applyFill="1" applyBorder="1" applyAlignment="1">
      <alignment vertical="center" wrapText="1"/>
    </xf>
    <xf numFmtId="170" fontId="1" fillId="2" borderId="13" xfId="1" applyNumberFormat="1" applyFont="1" applyFill="1" applyBorder="1" applyAlignment="1">
      <alignment vertical="center" wrapText="1"/>
    </xf>
    <xf numFmtId="170" fontId="5" fillId="2" borderId="38" xfId="0" applyNumberFormat="1" applyFont="1" applyFill="1" applyBorder="1" applyAlignment="1">
      <alignment wrapText="1"/>
    </xf>
    <xf numFmtId="170" fontId="5" fillId="2" borderId="3" xfId="1" applyNumberFormat="1" applyFont="1" applyFill="1" applyBorder="1" applyAlignment="1">
      <alignment wrapText="1"/>
    </xf>
    <xf numFmtId="170" fontId="5" fillId="2" borderId="13" xfId="0" applyNumberFormat="1" applyFont="1" applyFill="1" applyBorder="1" applyAlignment="1">
      <alignment wrapText="1"/>
    </xf>
    <xf numFmtId="170" fontId="1" fillId="2" borderId="32" xfId="0" applyNumberFormat="1" applyFont="1" applyFill="1" applyBorder="1" applyAlignment="1">
      <alignment wrapText="1"/>
    </xf>
    <xf numFmtId="170" fontId="5" fillId="2" borderId="3" xfId="0" applyNumberFormat="1" applyFont="1" applyFill="1" applyBorder="1" applyAlignment="1">
      <alignment wrapText="1"/>
    </xf>
    <xf numFmtId="170" fontId="1" fillId="2" borderId="3" xfId="1" applyNumberFormat="1" applyFont="1" applyFill="1" applyBorder="1" applyAlignment="1" applyProtection="1">
      <alignment vertical="center" wrapText="1"/>
    </xf>
    <xf numFmtId="170" fontId="1" fillId="2" borderId="5" xfId="1" applyNumberFormat="1" applyFont="1" applyFill="1" applyBorder="1" applyAlignment="1" applyProtection="1">
      <alignment vertical="center" wrapText="1"/>
    </xf>
    <xf numFmtId="170" fontId="5" fillId="2" borderId="3" xfId="0" applyNumberFormat="1" applyFont="1" applyFill="1" applyBorder="1" applyAlignment="1">
      <alignment vertical="center" wrapText="1"/>
    </xf>
    <xf numFmtId="170" fontId="1" fillId="2" borderId="33" xfId="0" applyNumberFormat="1" applyFont="1" applyFill="1" applyBorder="1" applyAlignment="1">
      <alignment wrapText="1"/>
    </xf>
    <xf numFmtId="170" fontId="1" fillId="2" borderId="37" xfId="0" applyNumberFormat="1" applyFont="1" applyFill="1" applyBorder="1" applyAlignment="1">
      <alignment wrapText="1"/>
    </xf>
    <xf numFmtId="170" fontId="5" fillId="2" borderId="37" xfId="0" applyNumberFormat="1" applyFont="1" applyFill="1" applyBorder="1" applyAlignment="1">
      <alignment wrapText="1"/>
    </xf>
    <xf numFmtId="170" fontId="5" fillId="2" borderId="8" xfId="0" applyNumberFormat="1" applyFont="1" applyFill="1" applyBorder="1" applyAlignment="1">
      <alignment vertical="center" wrapText="1"/>
    </xf>
    <xf numFmtId="170" fontId="5" fillId="2" borderId="9" xfId="0" applyNumberFormat="1" applyFont="1" applyFill="1" applyBorder="1" applyAlignment="1">
      <alignment vertical="center" wrapText="1"/>
    </xf>
    <xf numFmtId="170" fontId="5" fillId="3" borderId="0" xfId="0" applyNumberFormat="1" applyFont="1" applyFill="1" applyAlignment="1" applyProtection="1">
      <alignment vertical="center" wrapText="1"/>
      <protection locked="0"/>
    </xf>
    <xf numFmtId="170" fontId="5" fillId="0" borderId="0" xfId="0" applyNumberFormat="1" applyFont="1" applyAlignment="1" applyProtection="1">
      <alignment vertical="center" wrapText="1"/>
      <protection locked="0"/>
    </xf>
    <xf numFmtId="170" fontId="1" fillId="2" borderId="12" xfId="0" applyNumberFormat="1" applyFont="1" applyFill="1" applyBorder="1" applyAlignment="1">
      <alignment vertical="center" wrapText="1"/>
    </xf>
    <xf numFmtId="170" fontId="1" fillId="2" borderId="14" xfId="1" applyNumberFormat="1" applyFont="1" applyFill="1" applyBorder="1" applyAlignment="1" applyProtection="1">
      <alignment vertical="center" wrapText="1"/>
    </xf>
    <xf numFmtId="170" fontId="0" fillId="0" borderId="0" xfId="0" applyNumberFormat="1" applyAlignment="1">
      <alignment wrapText="1"/>
    </xf>
    <xf numFmtId="170" fontId="1" fillId="3" borderId="0" xfId="0" applyNumberFormat="1" applyFont="1" applyFill="1" applyAlignment="1">
      <alignment vertical="center" wrapText="1"/>
    </xf>
    <xf numFmtId="170" fontId="1" fillId="2" borderId="8" xfId="0" applyNumberFormat="1" applyFont="1" applyFill="1" applyBorder="1" applyAlignment="1">
      <alignment horizontal="center" vertical="center" wrapText="1"/>
    </xf>
    <xf numFmtId="170" fontId="1" fillId="2" borderId="3" xfId="1" applyNumberFormat="1" applyFont="1" applyFill="1" applyBorder="1" applyAlignment="1" applyProtection="1">
      <alignment horizontal="center" vertical="center" wrapText="1"/>
    </xf>
    <xf numFmtId="170" fontId="1" fillId="2" borderId="3" xfId="0" applyNumberFormat="1" applyFont="1" applyFill="1" applyBorder="1" applyAlignment="1">
      <alignment horizontal="center" vertical="center" wrapText="1"/>
    </xf>
    <xf numFmtId="170" fontId="1" fillId="2" borderId="8" xfId="0" applyNumberFormat="1" applyFont="1" applyFill="1" applyBorder="1" applyAlignment="1">
      <alignment vertical="center" wrapText="1"/>
    </xf>
    <xf numFmtId="170" fontId="1" fillId="2" borderId="4" xfId="1" applyNumberFormat="1" applyFont="1" applyFill="1" applyBorder="1" applyAlignment="1" applyProtection="1">
      <alignment vertical="center" wrapText="1"/>
    </xf>
    <xf numFmtId="170" fontId="1" fillId="2" borderId="34" xfId="0" applyNumberFormat="1" applyFont="1" applyFill="1" applyBorder="1" applyAlignment="1">
      <alignment vertical="center" wrapText="1"/>
    </xf>
    <xf numFmtId="170" fontId="1" fillId="2" borderId="39" xfId="1" applyNumberFormat="1" applyFont="1" applyFill="1" applyBorder="1" applyAlignment="1" applyProtection="1">
      <alignment vertical="center" wrapText="1"/>
    </xf>
    <xf numFmtId="170" fontId="2" fillId="2" borderId="27" xfId="0" applyNumberFormat="1" applyFont="1" applyFill="1" applyBorder="1" applyAlignment="1">
      <alignment horizontal="left" vertical="center" wrapText="1"/>
    </xf>
    <xf numFmtId="170" fontId="1" fillId="2" borderId="16" xfId="0" applyNumberFormat="1" applyFont="1" applyFill="1" applyBorder="1" applyAlignment="1">
      <alignment vertical="center" wrapText="1"/>
    </xf>
    <xf numFmtId="170" fontId="2" fillId="2" borderId="8" xfId="0" applyNumberFormat="1" applyFont="1" applyFill="1" applyBorder="1" applyAlignment="1">
      <alignment horizontal="left" vertical="center" wrapText="1"/>
    </xf>
    <xf numFmtId="170" fontId="1" fillId="2" borderId="9" xfId="2" applyNumberFormat="1" applyFont="1" applyFill="1" applyBorder="1" applyAlignment="1" applyProtection="1">
      <alignment wrapText="1"/>
    </xf>
    <xf numFmtId="0" fontId="3" fillId="7" borderId="0" xfId="0" applyFont="1" applyFill="1" applyAlignment="1">
      <alignment horizontal="left" vertical="center" wrapText="1"/>
    </xf>
    <xf numFmtId="0" fontId="1" fillId="2" borderId="2" xfId="0" applyFont="1" applyFill="1" applyBorder="1" applyAlignment="1">
      <alignment horizontal="center" vertical="center" wrapText="1"/>
    </xf>
    <xf numFmtId="164" fontId="5" fillId="7" borderId="3" xfId="1" applyFont="1" applyFill="1" applyBorder="1" applyAlignment="1" applyProtection="1">
      <alignment horizontal="center" vertical="center" wrapText="1"/>
    </xf>
    <xf numFmtId="164" fontId="1" fillId="7" borderId="3" xfId="1" applyFont="1" applyFill="1" applyBorder="1" applyAlignment="1" applyProtection="1">
      <alignment horizontal="center" vertical="center" wrapText="1"/>
    </xf>
    <xf numFmtId="164" fontId="1" fillId="7" borderId="5" xfId="1" applyFont="1" applyFill="1" applyBorder="1" applyAlignment="1" applyProtection="1">
      <alignment horizontal="center" vertical="center" wrapText="1"/>
    </xf>
    <xf numFmtId="164" fontId="5" fillId="7" borderId="3" xfId="1" applyFont="1" applyFill="1" applyBorder="1" applyAlignment="1" applyProtection="1">
      <alignment vertical="center" wrapText="1"/>
    </xf>
    <xf numFmtId="164" fontId="1" fillId="7" borderId="3" xfId="1" applyFont="1" applyFill="1" applyBorder="1" applyAlignment="1" applyProtection="1">
      <alignment vertical="center" wrapText="1"/>
    </xf>
    <xf numFmtId="0" fontId="1" fillId="7" borderId="3" xfId="1" applyNumberFormat="1" applyFont="1" applyFill="1" applyBorder="1" applyAlignment="1" applyProtection="1">
      <alignment horizontal="center" vertical="center" wrapText="1"/>
    </xf>
    <xf numFmtId="0" fontId="1" fillId="7" borderId="46" xfId="1" applyNumberFormat="1" applyFont="1" applyFill="1" applyBorder="1" applyAlignment="1" applyProtection="1">
      <alignment horizontal="center" vertical="center" wrapText="1"/>
    </xf>
    <xf numFmtId="170" fontId="5" fillId="7" borderId="9" xfId="0" applyNumberFormat="1" applyFont="1" applyFill="1" applyBorder="1" applyAlignment="1">
      <alignment vertical="center" wrapText="1"/>
    </xf>
    <xf numFmtId="170" fontId="1" fillId="7" borderId="14" xfId="1" applyNumberFormat="1" applyFont="1" applyFill="1" applyBorder="1" applyAlignment="1" applyProtection="1">
      <alignment vertical="center" wrapText="1"/>
    </xf>
    <xf numFmtId="164" fontId="1" fillId="7" borderId="8" xfId="1" applyFont="1" applyFill="1" applyBorder="1" applyAlignment="1" applyProtection="1">
      <alignment horizontal="center" vertical="center" wrapText="1"/>
    </xf>
    <xf numFmtId="0" fontId="1" fillId="7" borderId="8" xfId="1" applyNumberFormat="1" applyFont="1" applyFill="1" applyBorder="1" applyAlignment="1" applyProtection="1">
      <alignment horizontal="center" vertical="center" wrapText="1"/>
    </xf>
    <xf numFmtId="164" fontId="1" fillId="7" borderId="13" xfId="0" applyNumberFormat="1" applyFont="1" applyFill="1" applyBorder="1" applyAlignment="1">
      <alignment horizontal="center" wrapText="1"/>
    </xf>
    <xf numFmtId="164" fontId="1" fillId="7" borderId="13" xfId="0" applyNumberFormat="1" applyFont="1" applyFill="1" applyBorder="1" applyAlignment="1">
      <alignment wrapText="1"/>
    </xf>
    <xf numFmtId="164" fontId="1" fillId="7" borderId="4" xfId="0" applyNumberFormat="1" applyFont="1" applyFill="1" applyBorder="1" applyAlignment="1">
      <alignment wrapText="1"/>
    </xf>
    <xf numFmtId="164" fontId="1" fillId="7" borderId="3" xfId="1" applyFont="1" applyFill="1" applyBorder="1" applyAlignment="1">
      <alignment wrapText="1"/>
    </xf>
    <xf numFmtId="164" fontId="1" fillId="7" borderId="3" xfId="0" applyNumberFormat="1" applyFont="1" applyFill="1" applyBorder="1" applyAlignment="1">
      <alignment wrapText="1"/>
    </xf>
    <xf numFmtId="164" fontId="1" fillId="7" borderId="5" xfId="0" applyNumberFormat="1" applyFont="1" applyFill="1" applyBorder="1" applyAlignment="1">
      <alignment wrapText="1"/>
    </xf>
    <xf numFmtId="164" fontId="1" fillId="7" borderId="5" xfId="1" applyFont="1" applyFill="1" applyBorder="1" applyAlignment="1">
      <alignment wrapText="1"/>
    </xf>
    <xf numFmtId="164" fontId="1" fillId="7" borderId="3" xfId="0" applyNumberFormat="1" applyFont="1" applyFill="1" applyBorder="1" applyAlignment="1">
      <alignment horizontal="center" wrapText="1"/>
    </xf>
    <xf numFmtId="164" fontId="5" fillId="7" borderId="38" xfId="0" applyNumberFormat="1" applyFont="1" applyFill="1" applyBorder="1" applyAlignment="1">
      <alignment wrapText="1"/>
    </xf>
    <xf numFmtId="170" fontId="5" fillId="7" borderId="38" xfId="0" applyNumberFormat="1" applyFont="1" applyFill="1" applyBorder="1" applyAlignment="1">
      <alignment wrapText="1"/>
    </xf>
    <xf numFmtId="164" fontId="1" fillId="7" borderId="37" xfId="0" applyNumberFormat="1" applyFont="1" applyFill="1" applyBorder="1" applyAlignment="1">
      <alignment wrapText="1"/>
    </xf>
    <xf numFmtId="164" fontId="5" fillId="7" borderId="3" xfId="1" applyFont="1" applyFill="1" applyBorder="1" applyAlignment="1">
      <alignment wrapText="1"/>
    </xf>
    <xf numFmtId="170" fontId="5" fillId="7" borderId="3" xfId="1" applyNumberFormat="1" applyFont="1" applyFill="1" applyBorder="1" applyAlignment="1">
      <alignment wrapText="1"/>
    </xf>
    <xf numFmtId="164" fontId="5" fillId="7" borderId="13" xfId="0" applyNumberFormat="1" applyFont="1" applyFill="1" applyBorder="1" applyAlignment="1">
      <alignment wrapText="1"/>
    </xf>
    <xf numFmtId="170" fontId="5" fillId="7" borderId="13" xfId="0" applyNumberFormat="1" applyFont="1" applyFill="1" applyBorder="1" applyAlignment="1">
      <alignment wrapText="1"/>
    </xf>
    <xf numFmtId="164" fontId="1" fillId="7" borderId="32" xfId="0" applyNumberFormat="1" applyFont="1" applyFill="1" applyBorder="1" applyAlignment="1">
      <alignment wrapText="1"/>
    </xf>
    <xf numFmtId="170" fontId="1" fillId="7" borderId="32" xfId="0" applyNumberFormat="1" applyFont="1" applyFill="1" applyBorder="1" applyAlignment="1">
      <alignment wrapText="1"/>
    </xf>
    <xf numFmtId="164" fontId="1" fillId="2" borderId="38" xfId="1" applyFont="1" applyFill="1" applyBorder="1" applyAlignment="1" applyProtection="1">
      <alignment horizontal="center" vertical="center" wrapText="1"/>
    </xf>
    <xf numFmtId="0" fontId="9" fillId="7" borderId="0" xfId="0" applyFont="1" applyFill="1" applyAlignment="1">
      <alignment horizontal="left" wrapText="1"/>
    </xf>
    <xf numFmtId="0" fontId="1" fillId="7" borderId="38" xfId="0" applyFont="1" applyFill="1" applyBorder="1" applyAlignment="1" applyProtection="1">
      <alignment horizontal="center" vertical="center" wrapText="1"/>
      <protection locked="0"/>
    </xf>
    <xf numFmtId="164" fontId="53" fillId="0" borderId="3" xfId="1" applyFont="1" applyBorder="1" applyAlignment="1" applyProtection="1">
      <alignment horizontal="center" vertical="center" wrapText="1"/>
      <protection locked="0"/>
    </xf>
    <xf numFmtId="164" fontId="53" fillId="0" borderId="3" xfId="0" applyNumberFormat="1" applyFont="1" applyBorder="1" applyAlignment="1" applyProtection="1">
      <alignment wrapText="1"/>
      <protection locked="0"/>
    </xf>
    <xf numFmtId="0" fontId="53" fillId="0" borderId="0" xfId="0" applyFont="1" applyAlignment="1">
      <alignment wrapText="1"/>
    </xf>
    <xf numFmtId="164" fontId="53" fillId="3" borderId="3" xfId="1" applyFont="1" applyFill="1" applyBorder="1" applyAlignment="1" applyProtection="1">
      <alignment horizontal="center" vertical="center" wrapText="1"/>
      <protection locked="0"/>
    </xf>
    <xf numFmtId="164" fontId="54" fillId="3" borderId="1" xfId="1" applyFont="1" applyFill="1" applyBorder="1" applyAlignment="1">
      <alignment wrapText="1"/>
    </xf>
    <xf numFmtId="0" fontId="53" fillId="3" borderId="1" xfId="0" applyFont="1" applyFill="1" applyBorder="1" applyAlignment="1">
      <alignment wrapText="1"/>
    </xf>
    <xf numFmtId="0" fontId="53" fillId="3" borderId="0" xfId="0" applyFont="1" applyFill="1" applyAlignment="1">
      <alignment wrapText="1"/>
    </xf>
    <xf numFmtId="164" fontId="54" fillId="0" borderId="0" xfId="0" applyNumberFormat="1" applyFont="1" applyAlignment="1">
      <alignment wrapText="1"/>
    </xf>
    <xf numFmtId="0" fontId="1" fillId="7" borderId="3" xfId="0" applyFont="1" applyFill="1" applyBorder="1" applyAlignment="1">
      <alignment horizontal="center" vertical="center" wrapText="1"/>
    </xf>
    <xf numFmtId="164" fontId="54" fillId="7" borderId="5" xfId="1" applyFont="1" applyFill="1" applyBorder="1" applyAlignment="1" applyProtection="1">
      <alignment horizontal="center" vertical="center" wrapText="1"/>
    </xf>
    <xf numFmtId="164" fontId="5" fillId="0" borderId="3" xfId="1" applyFont="1" applyFill="1" applyBorder="1" applyAlignment="1" applyProtection="1">
      <alignment horizontal="center" vertical="center" wrapText="1"/>
      <protection locked="0"/>
    </xf>
    <xf numFmtId="0" fontId="1" fillId="7" borderId="11" xfId="0" applyFont="1" applyFill="1" applyBorder="1" applyAlignment="1">
      <alignment horizontal="center" wrapText="1"/>
    </xf>
    <xf numFmtId="0" fontId="1" fillId="7" borderId="38" xfId="0" applyFont="1" applyFill="1" applyBorder="1" applyAlignment="1">
      <alignment horizontal="center" wrapText="1"/>
    </xf>
    <xf numFmtId="0" fontId="7" fillId="7" borderId="8" xfId="0" applyFont="1" applyFill="1" applyBorder="1" applyAlignment="1">
      <alignment vertical="center" wrapText="1"/>
    </xf>
    <xf numFmtId="170" fontId="1" fillId="7" borderId="37" xfId="0" applyNumberFormat="1" applyFont="1" applyFill="1" applyBorder="1" applyAlignment="1">
      <alignment wrapText="1"/>
    </xf>
    <xf numFmtId="0" fontId="7" fillId="7" borderId="8" xfId="0" applyFont="1" applyFill="1" applyBorder="1" applyAlignment="1" applyProtection="1">
      <alignment vertical="center" wrapText="1"/>
      <protection locked="0"/>
    </xf>
    <xf numFmtId="0" fontId="7" fillId="7" borderId="12" xfId="0" applyFont="1" applyFill="1" applyBorder="1" applyAlignment="1">
      <alignment vertical="center" wrapText="1"/>
    </xf>
    <xf numFmtId="164" fontId="1" fillId="7" borderId="31" xfId="1" applyFont="1" applyFill="1" applyBorder="1" applyAlignment="1" applyProtection="1">
      <alignment wrapText="1"/>
    </xf>
    <xf numFmtId="170" fontId="1" fillId="7" borderId="32" xfId="1" applyNumberFormat="1" applyFont="1" applyFill="1" applyBorder="1" applyAlignment="1">
      <alignment wrapText="1"/>
    </xf>
    <xf numFmtId="164" fontId="5" fillId="7" borderId="31" xfId="1" applyFont="1" applyFill="1" applyBorder="1" applyAlignment="1" applyProtection="1">
      <alignment wrapText="1"/>
    </xf>
    <xf numFmtId="170" fontId="5" fillId="7" borderId="32" xfId="1" applyNumberFormat="1" applyFont="1" applyFill="1" applyBorder="1" applyAlignment="1">
      <alignment wrapText="1"/>
    </xf>
    <xf numFmtId="170" fontId="5" fillId="7" borderId="37" xfId="0" applyNumberFormat="1" applyFont="1" applyFill="1" applyBorder="1" applyAlignment="1">
      <alignment wrapText="1"/>
    </xf>
    <xf numFmtId="0" fontId="1" fillId="7" borderId="8"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8" xfId="0" applyFont="1" applyFill="1" applyBorder="1" applyAlignment="1">
      <alignment vertical="center" wrapText="1"/>
    </xf>
    <xf numFmtId="164" fontId="1" fillId="7" borderId="3" xfId="1" applyFont="1" applyFill="1" applyBorder="1" applyAlignment="1">
      <alignment vertical="center" wrapText="1"/>
    </xf>
    <xf numFmtId="9" fontId="1" fillId="7" borderId="9" xfId="2" applyFont="1" applyFill="1" applyBorder="1" applyAlignment="1">
      <alignment vertical="center" wrapText="1"/>
    </xf>
    <xf numFmtId="0" fontId="0" fillId="0" borderId="3" xfId="0" applyBorder="1" applyAlignment="1">
      <alignment wrapText="1"/>
    </xf>
    <xf numFmtId="9" fontId="0" fillId="0" borderId="3" xfId="2" applyFont="1" applyBorder="1" applyAlignment="1">
      <alignment wrapText="1"/>
    </xf>
    <xf numFmtId="9" fontId="0" fillId="20" borderId="3" xfId="2"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9" fontId="1" fillId="2" borderId="14" xfId="2" applyFont="1" applyFill="1" applyBorder="1" applyAlignment="1" applyProtection="1">
      <alignment vertical="center" wrapText="1"/>
    </xf>
    <xf numFmtId="0" fontId="5" fillId="3" borderId="3" xfId="0" applyFont="1" applyFill="1" applyBorder="1" applyAlignment="1" applyProtection="1">
      <alignment horizontal="left" vertical="top" wrapText="1"/>
      <protection locked="0"/>
    </xf>
    <xf numFmtId="0" fontId="5" fillId="0" borderId="0" xfId="0" applyFont="1" applyAlignment="1">
      <alignment horizontal="justify" vertical="center"/>
    </xf>
    <xf numFmtId="164" fontId="53" fillId="7" borderId="3" xfId="1" applyFont="1" applyFill="1" applyBorder="1" applyAlignment="1" applyProtection="1">
      <alignment horizontal="center" vertical="center" wrapText="1"/>
    </xf>
    <xf numFmtId="9" fontId="53" fillId="0" borderId="3" xfId="2" applyFont="1" applyBorder="1" applyAlignment="1" applyProtection="1">
      <alignment horizontal="center" vertical="center" wrapText="1"/>
      <protection locked="0"/>
    </xf>
    <xf numFmtId="49" fontId="53" fillId="0" borderId="3" xfId="1" applyNumberFormat="1" applyFont="1" applyBorder="1" applyAlignment="1" applyProtection="1">
      <alignment horizontal="left" wrapText="1"/>
      <protection locked="0"/>
    </xf>
    <xf numFmtId="0" fontId="53" fillId="0" borderId="3" xfId="0" applyFont="1" applyBorder="1" applyAlignment="1">
      <alignment horizontal="justify" vertical="center"/>
    </xf>
    <xf numFmtId="0" fontId="53" fillId="0" borderId="3" xfId="0" applyFont="1" applyBorder="1" applyAlignment="1">
      <alignment wrapText="1"/>
    </xf>
    <xf numFmtId="9" fontId="53" fillId="3" borderId="3" xfId="2" applyFont="1" applyFill="1" applyBorder="1" applyAlignment="1" applyProtection="1">
      <alignment horizontal="center" vertical="center" wrapText="1"/>
      <protection locked="0"/>
    </xf>
    <xf numFmtId="49" fontId="53" fillId="3" borderId="3" xfId="1" applyNumberFormat="1" applyFont="1" applyFill="1" applyBorder="1" applyAlignment="1" applyProtection="1">
      <alignment horizontal="left" wrapText="1"/>
      <protection locked="0"/>
    </xf>
    <xf numFmtId="0" fontId="53" fillId="0" borderId="3" xfId="0" applyFont="1" applyBorder="1" applyAlignment="1">
      <alignment vertical="top" wrapText="1"/>
    </xf>
    <xf numFmtId="0" fontId="53" fillId="0" borderId="3" xfId="0" applyFont="1" applyBorder="1" applyAlignment="1" applyProtection="1">
      <alignment horizontal="left" vertical="top" wrapText="1"/>
      <protection locked="0"/>
    </xf>
    <xf numFmtId="164" fontId="54" fillId="2" borderId="3" xfId="1" applyFont="1" applyFill="1" applyBorder="1" applyAlignment="1" applyProtection="1">
      <alignment horizontal="center" vertical="center" wrapText="1"/>
    </xf>
    <xf numFmtId="164" fontId="55" fillId="7" borderId="38" xfId="0" applyNumberFormat="1" applyFont="1" applyFill="1" applyBorder="1" applyAlignment="1">
      <alignment wrapText="1"/>
    </xf>
    <xf numFmtId="170" fontId="55" fillId="7" borderId="38" xfId="0" applyNumberFormat="1" applyFont="1" applyFill="1" applyBorder="1" applyAlignment="1">
      <alignment wrapText="1"/>
    </xf>
    <xf numFmtId="164" fontId="55" fillId="7" borderId="3" xfId="0" applyNumberFormat="1" applyFont="1" applyFill="1" applyBorder="1" applyAlignment="1">
      <alignment wrapText="1"/>
    </xf>
    <xf numFmtId="170" fontId="55" fillId="7" borderId="3" xfId="0" applyNumberFormat="1" applyFont="1" applyFill="1" applyBorder="1" applyAlignment="1">
      <alignment wrapText="1"/>
    </xf>
    <xf numFmtId="164" fontId="55" fillId="3" borderId="3" xfId="1" applyFont="1" applyFill="1" applyBorder="1" applyAlignment="1" applyProtection="1">
      <alignment horizontal="center" vertical="center" wrapText="1"/>
      <protection locked="0"/>
    </xf>
    <xf numFmtId="164" fontId="55" fillId="0" borderId="3" xfId="0" applyNumberFormat="1" applyFont="1" applyBorder="1" applyAlignment="1" applyProtection="1">
      <alignment wrapText="1"/>
      <protection locked="0"/>
    </xf>
    <xf numFmtId="164" fontId="53" fillId="0" borderId="3" xfId="1" applyFont="1" applyBorder="1" applyAlignment="1" applyProtection="1">
      <alignment vertical="center" wrapText="1"/>
      <protection locked="0"/>
    </xf>
    <xf numFmtId="164" fontId="53" fillId="3" borderId="38" xfId="1" applyFont="1" applyFill="1" applyBorder="1" applyAlignment="1" applyProtection="1">
      <alignment horizontal="center" vertical="center" wrapText="1"/>
      <protection locked="0"/>
    </xf>
    <xf numFmtId="0" fontId="54" fillId="2" borderId="3" xfId="0" applyFont="1" applyFill="1" applyBorder="1" applyAlignment="1">
      <alignment vertical="center" wrapText="1"/>
    </xf>
    <xf numFmtId="170" fontId="53" fillId="7" borderId="3" xfId="0" applyNumberFormat="1" applyFont="1" applyFill="1" applyBorder="1" applyAlignment="1">
      <alignment vertical="center" wrapText="1"/>
    </xf>
    <xf numFmtId="170" fontId="54" fillId="7" borderId="13" xfId="1" applyNumberFormat="1" applyFont="1" applyFill="1" applyBorder="1" applyAlignment="1" applyProtection="1">
      <alignment vertical="center" wrapText="1"/>
    </xf>
    <xf numFmtId="164" fontId="57" fillId="0" borderId="3" xfId="1" applyFont="1" applyFill="1" applyBorder="1" applyAlignment="1" applyProtection="1">
      <alignment vertical="center" wrapText="1"/>
      <protection locked="0"/>
    </xf>
    <xf numFmtId="164" fontId="54" fillId="7" borderId="3" xfId="1" applyFont="1" applyFill="1" applyBorder="1" applyAlignment="1">
      <alignment wrapText="1"/>
    </xf>
    <xf numFmtId="164" fontId="54" fillId="7" borderId="3" xfId="0" applyNumberFormat="1" applyFont="1" applyFill="1" applyBorder="1" applyAlignment="1">
      <alignment wrapText="1"/>
    </xf>
    <xf numFmtId="164" fontId="54" fillId="7" borderId="13" xfId="0" applyNumberFormat="1" applyFont="1" applyFill="1" applyBorder="1" applyAlignment="1">
      <alignment wrapText="1"/>
    </xf>
    <xf numFmtId="164" fontId="53" fillId="0" borderId="38" xfId="0" applyNumberFormat="1" applyFont="1" applyBorder="1" applyAlignment="1" applyProtection="1">
      <alignment wrapText="1"/>
      <protection locked="0"/>
    </xf>
    <xf numFmtId="164" fontId="46" fillId="21" borderId="3" xfId="1" applyFont="1" applyFill="1" applyBorder="1" applyAlignment="1" applyProtection="1">
      <alignment horizontal="center" vertical="center" wrapText="1"/>
      <protection locked="0"/>
    </xf>
    <xf numFmtId="164" fontId="58" fillId="0" borderId="3" xfId="1" applyFont="1" applyFill="1" applyBorder="1" applyAlignment="1" applyProtection="1">
      <alignment horizontal="center" vertical="center" wrapText="1"/>
      <protection locked="0"/>
    </xf>
    <xf numFmtId="164" fontId="46" fillId="0" borderId="3" xfId="1" applyFont="1" applyFill="1" applyBorder="1" applyAlignment="1" applyProtection="1">
      <alignment horizontal="center" vertical="center" wrapText="1"/>
      <protection locked="0"/>
    </xf>
    <xf numFmtId="41" fontId="1" fillId="3" borderId="0" xfId="4" applyFont="1" applyFill="1" applyBorder="1" applyAlignment="1">
      <alignment wrapText="1"/>
    </xf>
    <xf numFmtId="170" fontId="53" fillId="7" borderId="8" xfId="0" applyNumberFormat="1" applyFont="1" applyFill="1" applyBorder="1" applyAlignment="1">
      <alignment vertical="center" wrapText="1"/>
    </xf>
    <xf numFmtId="170" fontId="54" fillId="7" borderId="12" xfId="1" applyNumberFormat="1" applyFont="1" applyFill="1" applyBorder="1" applyAlignment="1" applyProtection="1">
      <alignment vertical="center" wrapText="1"/>
    </xf>
    <xf numFmtId="170" fontId="1" fillId="7" borderId="8" xfId="0" applyNumberFormat="1" applyFont="1" applyFill="1" applyBorder="1" applyAlignment="1">
      <alignment horizontal="center" vertical="center" wrapText="1"/>
    </xf>
    <xf numFmtId="170" fontId="1" fillId="7" borderId="3" xfId="1" applyNumberFormat="1" applyFont="1" applyFill="1" applyBorder="1" applyAlignment="1" applyProtection="1">
      <alignment horizontal="center" vertical="center" wrapText="1"/>
    </xf>
    <xf numFmtId="170" fontId="1" fillId="7" borderId="3" xfId="0" applyNumberFormat="1" applyFont="1" applyFill="1" applyBorder="1" applyAlignment="1">
      <alignment horizontal="center" vertical="center" wrapText="1"/>
    </xf>
    <xf numFmtId="170" fontId="1" fillId="7" borderId="8" xfId="0" applyNumberFormat="1" applyFont="1" applyFill="1" applyBorder="1" applyAlignment="1">
      <alignment vertical="center" wrapText="1"/>
    </xf>
    <xf numFmtId="170" fontId="1" fillId="7" borderId="3" xfId="1" applyNumberFormat="1" applyFont="1" applyFill="1" applyBorder="1" applyAlignment="1" applyProtection="1">
      <alignment vertical="center" wrapText="1"/>
    </xf>
    <xf numFmtId="170" fontId="1" fillId="7" borderId="4" xfId="1" applyNumberFormat="1" applyFont="1" applyFill="1" applyBorder="1" applyAlignment="1" applyProtection="1">
      <alignment vertical="center" wrapText="1"/>
    </xf>
    <xf numFmtId="9" fontId="1" fillId="7" borderId="9" xfId="2" applyFont="1" applyFill="1" applyBorder="1" applyAlignment="1" applyProtection="1">
      <alignment vertical="center" wrapText="1"/>
      <protection locked="0"/>
    </xf>
    <xf numFmtId="170" fontId="1" fillId="7" borderId="34" xfId="0" applyNumberFormat="1" applyFont="1" applyFill="1" applyBorder="1" applyAlignment="1">
      <alignment vertical="center" wrapText="1"/>
    </xf>
    <xf numFmtId="9" fontId="1" fillId="7" borderId="30" xfId="2" applyFont="1" applyFill="1" applyBorder="1" applyAlignment="1" applyProtection="1">
      <alignment vertical="center" wrapText="1"/>
      <protection locked="0"/>
    </xf>
    <xf numFmtId="9" fontId="1" fillId="7" borderId="30" xfId="2" applyFont="1" applyFill="1" applyBorder="1" applyAlignment="1" applyProtection="1">
      <alignment horizontal="right" vertical="center" wrapText="1"/>
      <protection locked="0"/>
    </xf>
    <xf numFmtId="170" fontId="1" fillId="7" borderId="12" xfId="0" applyNumberFormat="1" applyFont="1" applyFill="1" applyBorder="1" applyAlignment="1">
      <alignment vertical="center" wrapText="1"/>
    </xf>
    <xf numFmtId="170" fontId="1" fillId="7" borderId="13" xfId="1" applyNumberFormat="1" applyFont="1" applyFill="1" applyBorder="1" applyAlignment="1" applyProtection="1">
      <alignment vertical="center" wrapText="1"/>
    </xf>
    <xf numFmtId="9" fontId="1" fillId="7" borderId="14" xfId="2" applyFont="1" applyFill="1" applyBorder="1" applyAlignment="1" applyProtection="1">
      <alignment vertical="center" wrapText="1"/>
    </xf>
    <xf numFmtId="170" fontId="1" fillId="7" borderId="30" xfId="0" applyNumberFormat="1" applyFont="1" applyFill="1" applyBorder="1" applyAlignment="1">
      <alignment horizontal="center" vertical="center" wrapText="1"/>
    </xf>
    <xf numFmtId="170" fontId="1" fillId="7" borderId="37" xfId="0" applyNumberFormat="1" applyFont="1" applyFill="1" applyBorder="1" applyAlignment="1">
      <alignment horizontal="center" vertical="center" wrapText="1"/>
    </xf>
    <xf numFmtId="171" fontId="1" fillId="7" borderId="13" xfId="1" applyNumberFormat="1" applyFont="1" applyFill="1" applyBorder="1" applyAlignment="1" applyProtection="1">
      <alignment vertical="center" wrapText="1"/>
    </xf>
    <xf numFmtId="170" fontId="54" fillId="7" borderId="3" xfId="1" applyNumberFormat="1" applyFont="1" applyFill="1" applyBorder="1" applyAlignment="1" applyProtection="1">
      <alignment vertical="center" wrapText="1"/>
    </xf>
    <xf numFmtId="0" fontId="1" fillId="7" borderId="34" xfId="0" applyFont="1" applyFill="1" applyBorder="1" applyAlignment="1">
      <alignment vertical="center" wrapText="1"/>
    </xf>
    <xf numFmtId="164" fontId="1" fillId="7" borderId="5" xfId="1" applyFont="1" applyFill="1" applyBorder="1" applyAlignment="1">
      <alignment vertical="center" wrapText="1"/>
    </xf>
    <xf numFmtId="9" fontId="1" fillId="7" borderId="30" xfId="2" applyFont="1" applyFill="1" applyBorder="1" applyAlignment="1">
      <alignment vertical="center" wrapText="1"/>
    </xf>
    <xf numFmtId="0" fontId="1" fillId="7" borderId="3" xfId="0" applyFont="1" applyFill="1" applyBorder="1" applyAlignment="1">
      <alignment vertical="center" wrapText="1"/>
    </xf>
    <xf numFmtId="9" fontId="1" fillId="7" borderId="3" xfId="2" applyFont="1" applyFill="1" applyBorder="1" applyAlignment="1">
      <alignment vertical="center" wrapText="1"/>
    </xf>
    <xf numFmtId="170" fontId="1" fillId="7" borderId="3" xfId="1" applyNumberFormat="1" applyFont="1" applyFill="1" applyBorder="1" applyAlignment="1">
      <alignment vertical="center" wrapText="1"/>
    </xf>
    <xf numFmtId="170" fontId="1" fillId="7" borderId="5" xfId="1" applyNumberFormat="1" applyFont="1" applyFill="1" applyBorder="1" applyAlignment="1">
      <alignment vertical="center" wrapText="1"/>
    </xf>
    <xf numFmtId="170" fontId="5" fillId="0" borderId="0" xfId="0" applyNumberFormat="1" applyFont="1"/>
    <xf numFmtId="172" fontId="5" fillId="0" borderId="0" xfId="0" applyNumberFormat="1" applyFont="1" applyAlignment="1">
      <alignment wrapText="1"/>
    </xf>
    <xf numFmtId="164" fontId="1" fillId="7" borderId="3" xfId="0" applyNumberFormat="1" applyFont="1" applyFill="1" applyBorder="1" applyAlignment="1">
      <alignment horizontal="center" vertical="top" wrapText="1"/>
    </xf>
    <xf numFmtId="164" fontId="1" fillId="2" borderId="3" xfId="0" applyNumberFormat="1" applyFont="1" applyFill="1" applyBorder="1" applyAlignment="1">
      <alignment horizontal="center" vertical="top" wrapText="1"/>
    </xf>
    <xf numFmtId="164" fontId="53" fillId="22" borderId="3" xfId="1" applyFont="1" applyFill="1" applyBorder="1" applyAlignment="1" applyProtection="1">
      <alignment vertical="center" wrapText="1"/>
      <protection locked="0"/>
    </xf>
    <xf numFmtId="164" fontId="53" fillId="22" borderId="3" xfId="1" applyFont="1" applyFill="1" applyBorder="1" applyAlignment="1" applyProtection="1">
      <alignment horizontal="center" vertical="center" wrapText="1"/>
      <protection locked="0"/>
    </xf>
    <xf numFmtId="164" fontId="53" fillId="22" borderId="3" xfId="0" applyNumberFormat="1" applyFont="1" applyFill="1" applyBorder="1" applyAlignment="1" applyProtection="1">
      <alignment wrapText="1"/>
      <protection locked="0"/>
    </xf>
    <xf numFmtId="9" fontId="1" fillId="22" borderId="9" xfId="2" applyFont="1" applyFill="1" applyBorder="1" applyAlignment="1" applyProtection="1">
      <alignment wrapText="1"/>
    </xf>
    <xf numFmtId="164" fontId="55" fillId="0" borderId="3" xfId="1" applyFont="1" applyBorder="1" applyAlignment="1" applyProtection="1">
      <alignment vertical="center" wrapText="1"/>
      <protection locked="0"/>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0" fontId="59" fillId="0" borderId="0" xfId="0" applyFont="1"/>
    <xf numFmtId="49" fontId="1" fillId="3" borderId="3" xfId="0" applyNumberFormat="1" applyFont="1" applyFill="1" applyBorder="1" applyAlignment="1" applyProtection="1">
      <alignment vertical="top"/>
      <protection locked="0"/>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3" fontId="0" fillId="0" borderId="3" xfId="0" applyNumberFormat="1" applyBorder="1" applyAlignment="1">
      <alignment horizontal="center" vertical="top"/>
    </xf>
    <xf numFmtId="0" fontId="0" fillId="8" borderId="3" xfId="0" applyFill="1" applyBorder="1" applyAlignment="1">
      <alignment horizontal="center" wrapText="1"/>
    </xf>
    <xf numFmtId="0" fontId="2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top"/>
    </xf>
    <xf numFmtId="0" fontId="28" fillId="0" borderId="5" xfId="0" applyFont="1" applyBorder="1" applyAlignment="1">
      <alignment horizontal="left" vertical="top" wrapText="1"/>
    </xf>
    <xf numFmtId="0" fontId="28" fillId="0" borderId="38" xfId="0" applyFont="1" applyBorder="1" applyAlignment="1">
      <alignment horizontal="left" vertical="top" wrapText="1"/>
    </xf>
    <xf numFmtId="0" fontId="23" fillId="0" borderId="3"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0" fillId="0" borderId="58" xfId="0" applyBorder="1" applyAlignment="1">
      <alignment horizontal="center" vertical="center"/>
    </xf>
    <xf numFmtId="0" fontId="0" fillId="0" borderId="52" xfId="0" applyBorder="1" applyAlignment="1">
      <alignment horizontal="center" vertical="center"/>
    </xf>
    <xf numFmtId="0" fontId="22" fillId="0" borderId="5" xfId="0" applyFont="1" applyBorder="1" applyAlignment="1">
      <alignment horizontal="center" vertical="center" wrapText="1"/>
    </xf>
    <xf numFmtId="0" fontId="2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39" fillId="18" borderId="59" xfId="0" applyFont="1" applyFill="1" applyBorder="1" applyAlignment="1">
      <alignment horizontal="left" vertical="center"/>
    </xf>
    <xf numFmtId="0" fontId="39" fillId="18" borderId="13" xfId="0" applyFont="1" applyFill="1" applyBorder="1" applyAlignment="1">
      <alignment horizontal="left" vertical="center"/>
    </xf>
    <xf numFmtId="0" fontId="34" fillId="0" borderId="0" xfId="0" applyFont="1" applyAlignment="1">
      <alignment horizontal="left" vertical="center"/>
    </xf>
    <xf numFmtId="0" fontId="22" fillId="0" borderId="38" xfId="0" applyFont="1" applyBorder="1" applyAlignment="1">
      <alignment horizontal="center" vertical="center" wrapText="1"/>
    </xf>
    <xf numFmtId="0" fontId="37" fillId="3" borderId="34" xfId="0" applyFont="1" applyFill="1" applyBorder="1" applyAlignment="1">
      <alignment horizontal="center" vertical="center"/>
    </xf>
    <xf numFmtId="0" fontId="37" fillId="3" borderId="56" xfId="0" applyFont="1" applyFill="1" applyBorder="1" applyAlignment="1">
      <alignment horizontal="center" vertical="center"/>
    </xf>
    <xf numFmtId="0" fontId="49" fillId="18" borderId="75" xfId="0" applyFont="1" applyFill="1" applyBorder="1" applyAlignment="1">
      <alignment horizontal="left" vertical="center" wrapText="1"/>
    </xf>
    <xf numFmtId="0" fontId="49" fillId="18" borderId="76" xfId="0" applyFont="1" applyFill="1" applyBorder="1" applyAlignment="1">
      <alignment horizontal="left" vertical="center" wrapText="1"/>
    </xf>
    <xf numFmtId="170" fontId="1" fillId="7" borderId="5" xfId="0" applyNumberFormat="1" applyFont="1" applyFill="1" applyBorder="1" applyAlignment="1">
      <alignment horizontal="center" vertical="center" wrapText="1"/>
    </xf>
    <xf numFmtId="170" fontId="1" fillId="7" borderId="38" xfId="0" applyNumberFormat="1" applyFont="1" applyFill="1" applyBorder="1" applyAlignment="1">
      <alignment horizontal="center" vertical="center" wrapText="1"/>
    </xf>
    <xf numFmtId="164" fontId="1" fillId="7" borderId="30" xfId="1" applyFont="1" applyFill="1" applyBorder="1" applyAlignment="1" applyProtection="1">
      <alignment horizontal="center" vertical="center" wrapText="1"/>
    </xf>
    <xf numFmtId="164" fontId="1" fillId="7" borderId="37"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54"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70" fontId="1" fillId="2" borderId="30" xfId="0" applyNumberFormat="1" applyFont="1" applyFill="1" applyBorder="1" applyAlignment="1">
      <alignment horizontal="center" vertical="center" wrapText="1"/>
    </xf>
    <xf numFmtId="170" fontId="1" fillId="2" borderId="37" xfId="0" applyNumberFormat="1"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7" borderId="44" xfId="0" applyFont="1" applyFill="1" applyBorder="1" applyAlignment="1">
      <alignment horizontal="center" vertical="center" wrapText="1"/>
    </xf>
    <xf numFmtId="0" fontId="1" fillId="7" borderId="45" xfId="0" applyFont="1" applyFill="1" applyBorder="1" applyAlignment="1">
      <alignment horizontal="center" vertical="center" wrapText="1"/>
    </xf>
    <xf numFmtId="170" fontId="1" fillId="7" borderId="43" xfId="0" applyNumberFormat="1" applyFont="1" applyFill="1" applyBorder="1" applyAlignment="1">
      <alignment horizontal="center" vertical="center" wrapText="1"/>
    </xf>
    <xf numFmtId="170" fontId="1" fillId="7" borderId="44" xfId="0" applyNumberFormat="1" applyFont="1" applyFill="1" applyBorder="1" applyAlignment="1">
      <alignment horizontal="center" vertical="center" wrapText="1"/>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6" fillId="0" borderId="0" xfId="0" applyFont="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2" borderId="3"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7" borderId="25" xfId="0" applyFont="1" applyFill="1" applyBorder="1" applyAlignment="1">
      <alignment horizontal="center" wrapText="1"/>
    </xf>
    <xf numFmtId="0" fontId="9" fillId="7" borderId="26" xfId="0" applyFont="1" applyFill="1" applyBorder="1" applyAlignment="1">
      <alignment horizontal="center" wrapText="1"/>
    </xf>
    <xf numFmtId="0" fontId="9" fillId="7"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0" borderId="0" xfId="0" applyFont="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0" xfId="0" applyFont="1" applyFill="1" applyBorder="1" applyAlignment="1">
      <alignment horizontal="center" vertical="center" wrapText="1"/>
    </xf>
    <xf numFmtId="164" fontId="1" fillId="2" borderId="30" xfId="1" applyFont="1" applyFill="1" applyBorder="1" applyAlignment="1" applyProtection="1">
      <alignment horizontal="center" vertical="center" wrapText="1"/>
    </xf>
    <xf numFmtId="164" fontId="1" fillId="2" borderId="37" xfId="1" applyFont="1" applyFill="1" applyBorder="1" applyAlignment="1" applyProtection="1">
      <alignment horizontal="center" vertical="center" wrapText="1"/>
    </xf>
    <xf numFmtId="170" fontId="1" fillId="2" borderId="5" xfId="0" applyNumberFormat="1" applyFont="1" applyFill="1" applyBorder="1" applyAlignment="1">
      <alignment horizontal="center" vertical="center" wrapText="1"/>
    </xf>
    <xf numFmtId="170" fontId="1" fillId="2" borderId="38" xfId="0" applyNumberFormat="1" applyFont="1" applyFill="1" applyBorder="1" applyAlignment="1">
      <alignment horizontal="center" vertical="center" wrapText="1"/>
    </xf>
    <xf numFmtId="170" fontId="2" fillId="2" borderId="7" xfId="0" applyNumberFormat="1" applyFont="1" applyFill="1" applyBorder="1" applyAlignment="1">
      <alignment horizontal="center" vertical="center" wrapText="1"/>
    </xf>
    <xf numFmtId="170" fontId="2" fillId="2" borderId="35" xfId="0" applyNumberFormat="1" applyFont="1" applyFill="1" applyBorder="1" applyAlignment="1">
      <alignment horizontal="center" vertical="center" wrapText="1"/>
    </xf>
    <xf numFmtId="170" fontId="1" fillId="2" borderId="43" xfId="0" applyNumberFormat="1" applyFont="1" applyFill="1" applyBorder="1" applyAlignment="1">
      <alignment horizontal="center" vertical="center" wrapText="1"/>
    </xf>
    <xf numFmtId="170" fontId="1" fillId="2" borderId="44" xfId="0" applyNumberFormat="1" applyFont="1" applyFill="1" applyBorder="1" applyAlignment="1">
      <alignment horizontal="center" vertical="center" wrapText="1"/>
    </xf>
    <xf numFmtId="0" fontId="5" fillId="0" borderId="69" xfId="0" applyFont="1" applyBorder="1" applyAlignment="1">
      <alignment horizont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55"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7" borderId="1" xfId="0" applyFont="1" applyFill="1" applyBorder="1" applyAlignment="1">
      <alignment horizontal="left" wrapText="1"/>
    </xf>
    <xf numFmtId="0" fontId="1" fillId="7" borderId="2" xfId="0" applyFont="1" applyFill="1" applyBorder="1" applyAlignment="1">
      <alignment horizontal="left" wrapText="1"/>
    </xf>
    <xf numFmtId="0" fontId="1" fillId="7" borderId="26" xfId="0" applyFont="1" applyFill="1" applyBorder="1" applyAlignment="1">
      <alignment horizontal="center" wrapText="1"/>
    </xf>
    <xf numFmtId="0" fontId="1" fillId="7" borderId="21" xfId="0" applyFont="1" applyFill="1" applyBorder="1" applyAlignment="1">
      <alignment horizontal="center" wrapText="1"/>
    </xf>
    <xf numFmtId="0" fontId="1" fillId="7" borderId="51" xfId="0" applyFont="1" applyFill="1" applyBorder="1" applyAlignment="1">
      <alignment horizontal="left" wrapText="1"/>
    </xf>
    <xf numFmtId="0" fontId="1" fillId="7" borderId="52" xfId="0" applyFont="1" applyFill="1" applyBorder="1" applyAlignment="1">
      <alignment horizontal="left" wrapText="1"/>
    </xf>
    <xf numFmtId="0" fontId="1" fillId="7" borderId="2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1" fillId="2" borderId="4"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center" vertical="center" wrapText="1"/>
    </xf>
    <xf numFmtId="0" fontId="11" fillId="2" borderId="2" xfId="1" applyNumberFormat="1" applyFont="1" applyFill="1" applyBorder="1" applyAlignment="1" applyProtection="1">
      <alignment horizontal="center" vertical="center" wrapText="1"/>
    </xf>
    <xf numFmtId="0" fontId="11" fillId="7" borderId="3"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60" fillId="2" borderId="25" xfId="0" applyFont="1" applyFill="1" applyBorder="1" applyAlignment="1">
      <alignment horizontal="center" wrapText="1"/>
    </xf>
    <xf numFmtId="0" fontId="60" fillId="2" borderId="26" xfId="0" applyFont="1" applyFill="1" applyBorder="1" applyAlignment="1">
      <alignment horizontal="center" wrapText="1"/>
    </xf>
    <xf numFmtId="0" fontId="60" fillId="2" borderId="21" xfId="0" applyFont="1" applyFill="1" applyBorder="1" applyAlignment="1">
      <alignment horizont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0" xfId="0" applyFont="1" applyFill="1" applyBorder="1" applyAlignment="1">
      <alignment horizontal="center" vertical="center"/>
    </xf>
    <xf numFmtId="0" fontId="60" fillId="7" borderId="25" xfId="0" applyFont="1" applyFill="1" applyBorder="1" applyAlignment="1">
      <alignment horizontal="center" wrapText="1"/>
    </xf>
    <xf numFmtId="0" fontId="60" fillId="7" borderId="26" xfId="0" applyFont="1" applyFill="1" applyBorder="1" applyAlignment="1">
      <alignment horizontal="center" wrapText="1"/>
    </xf>
    <xf numFmtId="0" fontId="60" fillId="7" borderId="21" xfId="0" applyFont="1" applyFill="1" applyBorder="1" applyAlignment="1">
      <alignment horizontal="center" wrapText="1"/>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8" xfId="0" applyFont="1" applyFill="1" applyBorder="1" applyAlignment="1" applyProtection="1">
      <alignment horizontal="center" vertical="center" wrapText="1"/>
      <protection locked="0"/>
    </xf>
    <xf numFmtId="0" fontId="5" fillId="23" borderId="3" xfId="0" applyFont="1" applyFill="1" applyBorder="1" applyAlignment="1">
      <alignment horizontal="center" vertical="center" wrapText="1"/>
    </xf>
    <xf numFmtId="164" fontId="5" fillId="0" borderId="3" xfId="1" applyNumberFormat="1" applyFont="1" applyFill="1" applyBorder="1" applyAlignment="1" applyProtection="1">
      <alignment horizontal="center" vertical="center" wrapText="1"/>
      <protection locked="0"/>
    </xf>
    <xf numFmtId="164" fontId="5" fillId="23" borderId="3" xfId="1" applyFont="1" applyFill="1" applyBorder="1" applyAlignment="1" applyProtection="1">
      <alignment horizontal="center" vertical="center" wrapText="1"/>
    </xf>
    <xf numFmtId="164" fontId="5" fillId="0" borderId="3" xfId="1" applyNumberFormat="1" applyFont="1" applyBorder="1" applyAlignment="1" applyProtection="1">
      <alignment horizontal="center" vertical="center" wrapText="1"/>
      <protection locked="0"/>
    </xf>
    <xf numFmtId="164" fontId="53" fillId="0" borderId="3" xfId="1" applyNumberFormat="1" applyFont="1" applyBorder="1" applyAlignment="1" applyProtection="1">
      <alignment horizontal="center" vertical="center" wrapText="1"/>
      <protection locked="0"/>
    </xf>
    <xf numFmtId="164" fontId="1" fillId="23" borderId="3" xfId="1" applyFont="1" applyFill="1" applyBorder="1" applyAlignment="1" applyProtection="1">
      <alignment horizontal="center" vertical="center" wrapText="1"/>
    </xf>
    <xf numFmtId="164" fontId="53" fillId="23" borderId="3" xfId="1" applyFont="1" applyFill="1" applyBorder="1" applyAlignment="1" applyProtection="1">
      <alignment horizontal="center" vertical="center" wrapText="1"/>
    </xf>
    <xf numFmtId="164" fontId="1" fillId="23" borderId="5" xfId="1" applyFont="1" applyFill="1" applyBorder="1" applyAlignment="1" applyProtection="1">
      <alignment horizontal="center" vertical="center" wrapText="1"/>
    </xf>
    <xf numFmtId="164" fontId="53" fillId="0" borderId="3" xfId="1" applyNumberFormat="1" applyFont="1" applyFill="1" applyBorder="1" applyAlignment="1" applyProtection="1">
      <alignment horizontal="center" vertical="center" wrapText="1"/>
      <protection locked="0"/>
    </xf>
    <xf numFmtId="9" fontId="5" fillId="0" borderId="3" xfId="2" applyFont="1" applyFill="1" applyBorder="1" applyAlignment="1" applyProtection="1">
      <alignment horizontal="center" vertical="center" wrapText="1"/>
      <protection locked="0"/>
    </xf>
    <xf numFmtId="164" fontId="55" fillId="0" borderId="3" xfId="1" applyNumberFormat="1" applyFont="1" applyFill="1" applyBorder="1" applyAlignment="1" applyProtection="1">
      <alignment horizontal="center" vertical="center" wrapText="1"/>
      <protection locked="0"/>
    </xf>
    <xf numFmtId="164" fontId="55" fillId="0" borderId="3" xfId="1" applyNumberFormat="1" applyFont="1" applyBorder="1" applyAlignment="1" applyProtection="1">
      <alignment horizontal="center" vertical="center" wrapText="1"/>
      <protection locked="0"/>
    </xf>
    <xf numFmtId="164" fontId="5" fillId="23" borderId="3" xfId="1" applyFont="1" applyFill="1" applyBorder="1" applyAlignment="1" applyProtection="1">
      <alignment horizontal="center" vertical="center" wrapText="1"/>
      <protection locked="0"/>
    </xf>
    <xf numFmtId="164" fontId="54" fillId="23" borderId="5" xfId="1" applyFont="1" applyFill="1" applyBorder="1" applyAlignment="1" applyProtection="1">
      <alignment horizontal="center" vertical="center" wrapText="1"/>
    </xf>
    <xf numFmtId="164" fontId="5" fillId="23" borderId="3" xfId="1" applyFont="1" applyFill="1" applyBorder="1" applyAlignment="1" applyProtection="1">
      <alignment vertical="center" wrapText="1"/>
    </xf>
    <xf numFmtId="164" fontId="1" fillId="23" borderId="3" xfId="1" applyFont="1" applyFill="1" applyBorder="1" applyAlignment="1" applyProtection="1">
      <alignment vertical="center" wrapText="1"/>
    </xf>
    <xf numFmtId="164" fontId="61" fillId="3" borderId="0" xfId="1" applyFont="1" applyFill="1" applyBorder="1" applyAlignment="1" applyProtection="1">
      <alignment vertical="center" wrapText="1"/>
      <protection locked="0"/>
    </xf>
    <xf numFmtId="9" fontId="61" fillId="3" borderId="0" xfId="2" applyFont="1" applyFill="1" applyBorder="1" applyAlignment="1" applyProtection="1">
      <alignment vertical="center" wrapText="1"/>
      <protection locked="0"/>
    </xf>
    <xf numFmtId="0" fontId="1" fillId="23" borderId="43" xfId="0" applyFont="1" applyFill="1" applyBorder="1" applyAlignment="1">
      <alignment vertical="center" wrapText="1"/>
    </xf>
    <xf numFmtId="0" fontId="1" fillId="23" borderId="44" xfId="0" applyFont="1" applyFill="1" applyBorder="1" applyAlignment="1">
      <alignment vertical="center" wrapText="1"/>
    </xf>
    <xf numFmtId="0" fontId="1" fillId="23" borderId="45" xfId="0" applyFont="1" applyFill="1" applyBorder="1" applyAlignment="1">
      <alignment vertical="center" wrapText="1"/>
    </xf>
    <xf numFmtId="164" fontId="1" fillId="23" borderId="8" xfId="1" applyFont="1" applyFill="1" applyBorder="1" applyAlignment="1" applyProtection="1">
      <alignment horizontal="center" vertical="center" wrapText="1"/>
    </xf>
    <xf numFmtId="164" fontId="1" fillId="23" borderId="30" xfId="1" applyFont="1" applyFill="1" applyBorder="1" applyAlignment="1" applyProtection="1">
      <alignment horizontal="center" vertical="center" wrapText="1"/>
    </xf>
    <xf numFmtId="0" fontId="1" fillId="23" borderId="8" xfId="1" applyNumberFormat="1" applyFont="1" applyFill="1" applyBorder="1" applyAlignment="1" applyProtection="1">
      <alignment horizontal="center" vertical="center" wrapText="1"/>
    </xf>
    <xf numFmtId="0" fontId="1" fillId="23" borderId="3" xfId="1" applyNumberFormat="1" applyFont="1" applyFill="1" applyBorder="1" applyAlignment="1" applyProtection="1">
      <alignment horizontal="center" vertical="center" wrapText="1"/>
    </xf>
    <xf numFmtId="0" fontId="1" fillId="23" borderId="46" xfId="1" applyNumberFormat="1" applyFont="1" applyFill="1" applyBorder="1" applyAlignment="1" applyProtection="1">
      <alignment horizontal="center" vertical="center" wrapText="1"/>
    </xf>
    <xf numFmtId="164" fontId="1" fillId="23" borderId="37" xfId="1" applyFont="1" applyFill="1" applyBorder="1" applyAlignment="1" applyProtection="1">
      <alignment horizontal="center" vertical="center" wrapText="1"/>
    </xf>
    <xf numFmtId="170" fontId="61" fillId="23" borderId="8" xfId="0" applyNumberFormat="1" applyFont="1" applyFill="1" applyBorder="1" applyAlignment="1">
      <alignment vertical="center" wrapText="1"/>
    </xf>
    <xf numFmtId="170" fontId="61" fillId="23" borderId="3" xfId="0" applyNumberFormat="1" applyFont="1" applyFill="1" applyBorder="1" applyAlignment="1">
      <alignment vertical="center" wrapText="1"/>
    </xf>
    <xf numFmtId="170" fontId="61" fillId="23" borderId="9" xfId="0" applyNumberFormat="1" applyFont="1" applyFill="1" applyBorder="1" applyAlignment="1">
      <alignment vertical="center" wrapText="1"/>
    </xf>
    <xf numFmtId="170" fontId="62" fillId="23" borderId="12" xfId="1" applyNumberFormat="1" applyFont="1" applyFill="1" applyBorder="1" applyAlignment="1" applyProtection="1">
      <alignment vertical="center" wrapText="1"/>
    </xf>
    <xf numFmtId="170" fontId="62" fillId="23" borderId="13" xfId="1" applyNumberFormat="1" applyFont="1" applyFill="1" applyBorder="1" applyAlignment="1" applyProtection="1">
      <alignment vertical="center" wrapText="1"/>
    </xf>
    <xf numFmtId="170" fontId="62" fillId="23" borderId="14" xfId="1" applyNumberFormat="1" applyFont="1" applyFill="1" applyBorder="1" applyAlignment="1" applyProtection="1">
      <alignment vertical="center" wrapText="1"/>
    </xf>
    <xf numFmtId="9" fontId="63" fillId="0" borderId="0" xfId="2" applyFont="1" applyAlignment="1">
      <alignment wrapText="1"/>
    </xf>
    <xf numFmtId="10" fontId="63" fillId="0" borderId="0" xfId="2" applyNumberFormat="1" applyFont="1" applyAlignment="1">
      <alignment wrapText="1"/>
    </xf>
    <xf numFmtId="170" fontId="62" fillId="3" borderId="0" xfId="0" applyNumberFormat="1" applyFont="1" applyFill="1" applyAlignment="1">
      <alignment vertical="center" wrapText="1"/>
    </xf>
    <xf numFmtId="0" fontId="9" fillId="23" borderId="25" xfId="0" applyFont="1" applyFill="1" applyBorder="1" applyAlignment="1">
      <alignment horizontal="center" wrapText="1"/>
    </xf>
    <xf numFmtId="0" fontId="9" fillId="23" borderId="26" xfId="0" applyFont="1" applyFill="1" applyBorder="1" applyAlignment="1">
      <alignment horizontal="center" wrapText="1"/>
    </xf>
  </cellXfs>
  <cellStyles count="5">
    <cellStyle name="Comma" xfId="3" builtinId="3"/>
    <cellStyle name="Comma [0]" xfId="4" builtinId="6"/>
    <cellStyle name="Currency" xfId="1" builtinId="4"/>
    <cellStyle name="Normal" xfId="0" builtinId="0"/>
    <cellStyle name="Percent"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82"/>
  <sheetViews>
    <sheetView topLeftCell="A3" workbookViewId="0">
      <selection activeCell="D62" sqref="D62"/>
    </sheetView>
  </sheetViews>
  <sheetFormatPr defaultColWidth="11.453125" defaultRowHeight="14.5" x14ac:dyDescent="0.35"/>
  <cols>
    <col min="1" max="1" width="22.1796875" customWidth="1"/>
    <col min="2" max="2" width="11.1796875" customWidth="1"/>
    <col min="3" max="3" width="11.453125" customWidth="1"/>
    <col min="4" max="4" width="34.453125" customWidth="1"/>
    <col min="5" max="5" width="9.453125" customWidth="1"/>
    <col min="6" max="6" width="10.1796875" style="171" bestFit="1" customWidth="1"/>
    <col min="7" max="7" width="8.81640625" style="171" bestFit="1" customWidth="1"/>
    <col min="8" max="8" width="14.81640625" style="171" bestFit="1" customWidth="1"/>
    <col min="9" max="9" width="15.453125" style="171" bestFit="1" customWidth="1"/>
    <col min="10" max="10" width="79.1796875" customWidth="1"/>
    <col min="12" max="12" width="11.453125" customWidth="1"/>
  </cols>
  <sheetData>
    <row r="1" spans="1:13" x14ac:dyDescent="0.35">
      <c r="A1" s="727" t="s">
        <v>664</v>
      </c>
      <c r="B1" s="727"/>
      <c r="C1" s="727"/>
      <c r="D1" s="727"/>
      <c r="E1" s="727"/>
      <c r="F1" s="727"/>
      <c r="G1" s="727"/>
      <c r="H1" s="727"/>
      <c r="I1" s="727"/>
      <c r="J1" s="727"/>
    </row>
    <row r="2" spans="1:13" x14ac:dyDescent="0.35">
      <c r="A2" s="727"/>
      <c r="B2" s="727"/>
      <c r="C2" s="727"/>
      <c r="D2" s="727"/>
      <c r="E2" s="727"/>
      <c r="F2" s="727"/>
      <c r="G2" s="727"/>
      <c r="H2" s="727"/>
      <c r="I2" s="727"/>
      <c r="J2" s="727"/>
    </row>
    <row r="3" spans="1:13" s="154" customFormat="1" ht="39" x14ac:dyDescent="0.35">
      <c r="A3" s="151" t="s">
        <v>665</v>
      </c>
      <c r="B3" s="151" t="s">
        <v>666</v>
      </c>
      <c r="C3" s="151" t="s">
        <v>667</v>
      </c>
      <c r="D3" s="151" t="s">
        <v>668</v>
      </c>
      <c r="E3" s="151" t="s">
        <v>669</v>
      </c>
      <c r="F3" s="152" t="s">
        <v>670</v>
      </c>
      <c r="G3" s="152" t="s">
        <v>671</v>
      </c>
      <c r="H3" s="152" t="s">
        <v>672</v>
      </c>
      <c r="I3" s="152" t="s">
        <v>673</v>
      </c>
      <c r="J3" s="153" t="s">
        <v>674</v>
      </c>
    </row>
    <row r="4" spans="1:13" s="154" customFormat="1" x14ac:dyDescent="0.35">
      <c r="A4" s="728" t="s">
        <v>675</v>
      </c>
      <c r="B4" s="155"/>
      <c r="C4" s="155">
        <v>5011</v>
      </c>
      <c r="D4" s="156" t="s">
        <v>676</v>
      </c>
      <c r="E4" s="156"/>
      <c r="F4" s="157"/>
      <c r="G4" s="157"/>
      <c r="H4" s="157"/>
      <c r="I4" s="157"/>
      <c r="J4" s="729"/>
    </row>
    <row r="5" spans="1:13" s="154" customFormat="1" x14ac:dyDescent="0.35">
      <c r="A5" s="728"/>
      <c r="B5" s="158"/>
      <c r="C5" s="159">
        <v>5101</v>
      </c>
      <c r="D5" s="160" t="s">
        <v>677</v>
      </c>
      <c r="E5" s="160">
        <v>1</v>
      </c>
      <c r="F5" s="161" t="s">
        <v>678</v>
      </c>
      <c r="G5" s="161">
        <v>1</v>
      </c>
      <c r="H5" s="162">
        <v>14000</v>
      </c>
      <c r="I5" s="162">
        <f>+E5*G5*H5</f>
        <v>14000</v>
      </c>
      <c r="J5" s="729"/>
    </row>
    <row r="6" spans="1:13" ht="26" x14ac:dyDescent="0.35">
      <c r="A6" s="728"/>
      <c r="B6" s="155"/>
      <c r="C6" s="155">
        <v>5013</v>
      </c>
      <c r="D6" s="156" t="s">
        <v>679</v>
      </c>
      <c r="E6" s="156"/>
      <c r="F6" s="163"/>
      <c r="G6" s="163"/>
      <c r="H6" s="163"/>
      <c r="I6" s="164"/>
      <c r="J6" s="729"/>
    </row>
    <row r="7" spans="1:13" x14ac:dyDescent="0.35">
      <c r="A7" s="728"/>
      <c r="B7" s="165"/>
      <c r="C7" s="166">
        <v>5551</v>
      </c>
      <c r="D7" s="167" t="s">
        <v>680</v>
      </c>
      <c r="E7" s="168">
        <v>6</v>
      </c>
      <c r="F7" s="168" t="s">
        <v>670</v>
      </c>
      <c r="G7" s="168">
        <v>1</v>
      </c>
      <c r="H7" s="169">
        <v>2800</v>
      </c>
      <c r="I7" s="170">
        <f t="shared" ref="I7:I14" si="0">+E7*G7*H7</f>
        <v>16800</v>
      </c>
      <c r="J7" s="729"/>
      <c r="M7" s="171"/>
    </row>
    <row r="8" spans="1:13" x14ac:dyDescent="0.35">
      <c r="A8" s="728"/>
      <c r="B8" s="165"/>
      <c r="C8" s="166">
        <v>5551</v>
      </c>
      <c r="D8" s="167" t="s">
        <v>681</v>
      </c>
      <c r="E8" s="168">
        <v>1</v>
      </c>
      <c r="F8" s="168" t="s">
        <v>670</v>
      </c>
      <c r="G8" s="168">
        <v>1</v>
      </c>
      <c r="H8" s="169">
        <v>2800</v>
      </c>
      <c r="I8" s="170">
        <f t="shared" si="0"/>
        <v>2800</v>
      </c>
      <c r="J8" s="153"/>
      <c r="M8" s="171"/>
    </row>
    <row r="9" spans="1:13" x14ac:dyDescent="0.35">
      <c r="A9" s="728"/>
      <c r="B9" s="165"/>
      <c r="C9" s="166">
        <v>5551</v>
      </c>
      <c r="D9" s="167" t="s">
        <v>682</v>
      </c>
      <c r="E9" s="168">
        <v>1</v>
      </c>
      <c r="F9" s="168" t="s">
        <v>670</v>
      </c>
      <c r="G9" s="168">
        <v>1</v>
      </c>
      <c r="H9" s="169">
        <v>2800</v>
      </c>
      <c r="I9" s="170">
        <f t="shared" si="0"/>
        <v>2800</v>
      </c>
      <c r="J9" s="153"/>
      <c r="M9" s="171"/>
    </row>
    <row r="10" spans="1:13" x14ac:dyDescent="0.35">
      <c r="A10" s="728"/>
      <c r="B10" s="165"/>
      <c r="C10" s="166">
        <v>5551</v>
      </c>
      <c r="D10" s="167" t="s">
        <v>683</v>
      </c>
      <c r="E10" s="168">
        <v>1</v>
      </c>
      <c r="F10" s="168" t="s">
        <v>670</v>
      </c>
      <c r="G10" s="168">
        <v>1</v>
      </c>
      <c r="H10" s="169">
        <v>2800</v>
      </c>
      <c r="I10" s="170">
        <f t="shared" si="0"/>
        <v>2800</v>
      </c>
      <c r="J10" s="153"/>
      <c r="M10" s="171"/>
    </row>
    <row r="11" spans="1:13" x14ac:dyDescent="0.35">
      <c r="A11" s="728"/>
      <c r="B11" s="158"/>
      <c r="C11" s="159">
        <v>5551</v>
      </c>
      <c r="D11" s="160" t="s">
        <v>684</v>
      </c>
      <c r="E11" s="161">
        <v>1</v>
      </c>
      <c r="F11" s="161" t="s">
        <v>670</v>
      </c>
      <c r="G11" s="161">
        <v>1</v>
      </c>
      <c r="H11" s="172">
        <f>1400/1.062</f>
        <v>1318.2674199623352</v>
      </c>
      <c r="I11" s="162">
        <f t="shared" si="0"/>
        <v>1318.2674199623352</v>
      </c>
      <c r="J11" s="153"/>
      <c r="M11" s="171"/>
    </row>
    <row r="12" spans="1:13" x14ac:dyDescent="0.35">
      <c r="A12" s="728"/>
      <c r="B12" s="158"/>
      <c r="C12" s="159">
        <v>5551</v>
      </c>
      <c r="D12" s="160" t="s">
        <v>685</v>
      </c>
      <c r="E12" s="161">
        <v>1</v>
      </c>
      <c r="F12" s="161" t="s">
        <v>670</v>
      </c>
      <c r="G12" s="161">
        <v>1</v>
      </c>
      <c r="H12" s="172">
        <v>1000</v>
      </c>
      <c r="I12" s="162">
        <f t="shared" si="0"/>
        <v>1000</v>
      </c>
      <c r="J12" s="153"/>
      <c r="M12" s="171"/>
    </row>
    <row r="13" spans="1:13" x14ac:dyDescent="0.35">
      <c r="A13" s="728"/>
      <c r="B13" s="158"/>
      <c r="C13" s="159">
        <v>5551</v>
      </c>
      <c r="D13" s="160" t="s">
        <v>686</v>
      </c>
      <c r="E13" s="161">
        <v>1</v>
      </c>
      <c r="F13" s="161" t="s">
        <v>670</v>
      </c>
      <c r="G13" s="161">
        <v>1</v>
      </c>
      <c r="H13" s="172">
        <v>1500</v>
      </c>
      <c r="I13" s="162">
        <f t="shared" si="0"/>
        <v>1500</v>
      </c>
      <c r="J13" s="153"/>
      <c r="M13" s="171"/>
    </row>
    <row r="14" spans="1:13" x14ac:dyDescent="0.35">
      <c r="A14" s="728"/>
      <c r="B14" s="165"/>
      <c r="C14" s="166">
        <v>5551</v>
      </c>
      <c r="D14" s="167" t="s">
        <v>687</v>
      </c>
      <c r="E14" s="168">
        <v>3</v>
      </c>
      <c r="F14" s="168" t="s">
        <v>670</v>
      </c>
      <c r="G14" s="168">
        <v>1</v>
      </c>
      <c r="H14" s="169">
        <v>675</v>
      </c>
      <c r="I14" s="170">
        <f t="shared" si="0"/>
        <v>2025</v>
      </c>
      <c r="J14" s="153"/>
      <c r="M14" s="171"/>
    </row>
    <row r="15" spans="1:13" ht="25" x14ac:dyDescent="0.35">
      <c r="A15" s="728"/>
      <c r="B15" s="173">
        <v>5300</v>
      </c>
      <c r="C15" s="174">
        <v>5156</v>
      </c>
      <c r="D15" s="175" t="s">
        <v>688</v>
      </c>
      <c r="E15" s="176"/>
      <c r="F15" s="177"/>
      <c r="G15" s="177">
        <f>(E5*G5)</f>
        <v>1</v>
      </c>
      <c r="H15" s="178">
        <v>267</v>
      </c>
      <c r="I15" s="179">
        <f>G15*H15</f>
        <v>267</v>
      </c>
      <c r="J15" s="180" t="s">
        <v>689</v>
      </c>
      <c r="M15" s="171"/>
    </row>
    <row r="16" spans="1:13" s="74" customFormat="1" ht="23" x14ac:dyDescent="0.3">
      <c r="A16" s="728"/>
      <c r="B16" s="173">
        <v>5570</v>
      </c>
      <c r="C16" s="174">
        <v>5556</v>
      </c>
      <c r="D16" s="181" t="s">
        <v>690</v>
      </c>
      <c r="E16" s="181"/>
      <c r="F16" s="182"/>
      <c r="G16" s="183"/>
      <c r="H16" s="183">
        <v>187</v>
      </c>
      <c r="I16" s="179">
        <f t="shared" ref="I16:I17" si="1">G16*H16</f>
        <v>0</v>
      </c>
      <c r="J16" s="184" t="s">
        <v>691</v>
      </c>
    </row>
    <row r="17" spans="1:10" ht="25" x14ac:dyDescent="0.35">
      <c r="A17" s="728"/>
      <c r="B17" s="173">
        <v>5570</v>
      </c>
      <c r="C17" s="174">
        <v>5556</v>
      </c>
      <c r="D17" s="175" t="s">
        <v>692</v>
      </c>
      <c r="E17" s="176"/>
      <c r="F17" s="185"/>
      <c r="G17" s="186">
        <f>(E7*G7)+(E8*G8)+(E9*G9)+(E10*G10)+(E11*G11)+(E12*G12)+(E13*G13)+(E14*G14)</f>
        <v>15</v>
      </c>
      <c r="H17" s="186">
        <v>27</v>
      </c>
      <c r="I17" s="179">
        <f t="shared" si="1"/>
        <v>405</v>
      </c>
      <c r="J17" s="184" t="s">
        <v>691</v>
      </c>
    </row>
    <row r="18" spans="1:10" x14ac:dyDescent="0.35">
      <c r="A18" s="187"/>
      <c r="B18" s="187"/>
      <c r="C18" s="187"/>
      <c r="D18" s="188" t="s">
        <v>693</v>
      </c>
      <c r="E18" s="188"/>
      <c r="F18" s="189"/>
      <c r="G18" s="189"/>
      <c r="H18" s="189"/>
      <c r="I18" s="190">
        <f>SUM(I4:I17)</f>
        <v>45715.267419962336</v>
      </c>
      <c r="J18" s="191"/>
    </row>
    <row r="19" spans="1:10" x14ac:dyDescent="0.35">
      <c r="A19" s="728" t="s">
        <v>1</v>
      </c>
      <c r="B19" s="155"/>
      <c r="C19" s="192">
        <v>5024</v>
      </c>
      <c r="D19" s="156" t="s">
        <v>694</v>
      </c>
      <c r="E19" s="156"/>
      <c r="F19" s="193"/>
      <c r="G19" s="193"/>
      <c r="H19" s="193"/>
      <c r="I19" s="193"/>
      <c r="J19" s="730"/>
    </row>
    <row r="20" spans="1:10" x14ac:dyDescent="0.35">
      <c r="A20" s="728"/>
      <c r="B20" s="165"/>
      <c r="C20" s="166">
        <v>5940</v>
      </c>
      <c r="D20" s="167" t="s">
        <v>695</v>
      </c>
      <c r="E20" s="167"/>
      <c r="F20" s="194" t="s">
        <v>696</v>
      </c>
      <c r="G20" s="195">
        <v>2000</v>
      </c>
      <c r="H20" s="196">
        <v>1.8181818181818181</v>
      </c>
      <c r="I20" s="197">
        <f>+G20*H20</f>
        <v>3636.363636363636</v>
      </c>
      <c r="J20" s="730"/>
    </row>
    <row r="21" spans="1:10" ht="25" x14ac:dyDescent="0.35">
      <c r="A21" s="728"/>
      <c r="B21" s="165"/>
      <c r="C21" s="166">
        <v>5921</v>
      </c>
      <c r="D21" s="167" t="s">
        <v>697</v>
      </c>
      <c r="E21" s="167"/>
      <c r="F21" s="194" t="s">
        <v>698</v>
      </c>
      <c r="G21" s="195">
        <v>150</v>
      </c>
      <c r="H21" s="197">
        <v>10</v>
      </c>
      <c r="I21" s="197">
        <f t="shared" ref="I21:I27" si="2">+G21*H21</f>
        <v>1500</v>
      </c>
      <c r="J21" s="730"/>
    </row>
    <row r="22" spans="1:10" x14ac:dyDescent="0.35">
      <c r="A22" s="728"/>
      <c r="B22" s="165"/>
      <c r="C22" s="166">
        <v>5934</v>
      </c>
      <c r="D22" s="167" t="s">
        <v>699</v>
      </c>
      <c r="E22" s="167"/>
      <c r="F22" s="194" t="s">
        <v>700</v>
      </c>
      <c r="G22" s="195">
        <v>45</v>
      </c>
      <c r="H22" s="197">
        <v>300</v>
      </c>
      <c r="I22" s="197">
        <f t="shared" si="2"/>
        <v>13500</v>
      </c>
      <c r="J22" s="730"/>
    </row>
    <row r="23" spans="1:10" x14ac:dyDescent="0.35">
      <c r="A23" s="728"/>
      <c r="B23" s="165"/>
      <c r="C23" s="166">
        <v>5924</v>
      </c>
      <c r="D23" s="167" t="s">
        <v>701</v>
      </c>
      <c r="E23" s="167"/>
      <c r="F23" s="194" t="s">
        <v>670</v>
      </c>
      <c r="G23" s="195">
        <v>100</v>
      </c>
      <c r="H23" s="197">
        <v>10</v>
      </c>
      <c r="I23" s="197">
        <f t="shared" si="2"/>
        <v>1000</v>
      </c>
      <c r="J23" s="730"/>
    </row>
    <row r="24" spans="1:10" x14ac:dyDescent="0.35">
      <c r="A24" s="728"/>
      <c r="B24" s="165"/>
      <c r="C24" s="166">
        <v>5938</v>
      </c>
      <c r="D24" s="167" t="s">
        <v>702</v>
      </c>
      <c r="E24" s="167"/>
      <c r="F24" s="194" t="s">
        <v>703</v>
      </c>
      <c r="G24" s="195">
        <v>6000</v>
      </c>
      <c r="H24" s="196">
        <v>0.10909090909090909</v>
      </c>
      <c r="I24" s="197">
        <f>+G24*H24</f>
        <v>654.5454545454545</v>
      </c>
      <c r="J24" s="730"/>
    </row>
    <row r="25" spans="1:10" x14ac:dyDescent="0.35">
      <c r="A25" s="728"/>
      <c r="B25" s="165"/>
      <c r="C25" s="166">
        <v>5924</v>
      </c>
      <c r="D25" s="167" t="s">
        <v>704</v>
      </c>
      <c r="E25" s="167"/>
      <c r="F25" s="194" t="s">
        <v>670</v>
      </c>
      <c r="G25" s="195">
        <v>100</v>
      </c>
      <c r="H25" s="197">
        <f>50000/590</f>
        <v>84.745762711864401</v>
      </c>
      <c r="I25" s="197">
        <f t="shared" si="2"/>
        <v>8474.5762711864409</v>
      </c>
      <c r="J25" s="730"/>
    </row>
    <row r="26" spans="1:10" ht="25" x14ac:dyDescent="0.35">
      <c r="A26" s="728"/>
      <c r="B26" s="173">
        <v>6000</v>
      </c>
      <c r="C26" s="174">
        <v>5956</v>
      </c>
      <c r="D26" s="175" t="s">
        <v>705</v>
      </c>
      <c r="E26" s="175"/>
      <c r="F26" s="198"/>
      <c r="G26" s="198"/>
      <c r="H26" s="198">
        <v>860</v>
      </c>
      <c r="I26" s="186">
        <f t="shared" si="2"/>
        <v>0</v>
      </c>
      <c r="J26" s="199"/>
    </row>
    <row r="27" spans="1:10" ht="25" x14ac:dyDescent="0.35">
      <c r="A27" s="728"/>
      <c r="B27" s="173">
        <v>6000</v>
      </c>
      <c r="C27" s="174">
        <v>5956</v>
      </c>
      <c r="D27" s="175" t="s">
        <v>706</v>
      </c>
      <c r="E27" s="176"/>
      <c r="F27" s="186"/>
      <c r="G27" s="179">
        <v>6</v>
      </c>
      <c r="H27" s="186">
        <v>44</v>
      </c>
      <c r="I27" s="186">
        <f t="shared" si="2"/>
        <v>264</v>
      </c>
      <c r="J27" s="199"/>
    </row>
    <row r="28" spans="1:10" x14ac:dyDescent="0.35">
      <c r="A28" s="728"/>
      <c r="B28" s="192"/>
      <c r="C28" s="155">
        <v>5030</v>
      </c>
      <c r="D28" s="156" t="s">
        <v>707</v>
      </c>
      <c r="E28" s="156"/>
      <c r="F28" s="157"/>
      <c r="G28" s="200"/>
      <c r="H28" s="157"/>
      <c r="I28" s="200"/>
      <c r="J28" s="199"/>
    </row>
    <row r="29" spans="1:10" x14ac:dyDescent="0.35">
      <c r="A29" s="728"/>
      <c r="B29" s="165"/>
      <c r="C29" s="166">
        <v>5730</v>
      </c>
      <c r="D29" s="167" t="s">
        <v>708</v>
      </c>
      <c r="E29" s="167"/>
      <c r="F29" s="194"/>
      <c r="G29" s="195"/>
      <c r="H29" s="197"/>
      <c r="I29" s="197"/>
      <c r="J29" s="199"/>
    </row>
    <row r="30" spans="1:10" x14ac:dyDescent="0.35">
      <c r="A30" s="728"/>
      <c r="B30" s="165"/>
      <c r="C30" s="166">
        <v>5731</v>
      </c>
      <c r="D30" s="167" t="s">
        <v>709</v>
      </c>
      <c r="E30" s="167"/>
      <c r="F30" s="194"/>
      <c r="G30" s="195"/>
      <c r="H30" s="197"/>
      <c r="I30" s="201"/>
      <c r="J30" s="199"/>
    </row>
    <row r="31" spans="1:10" x14ac:dyDescent="0.35">
      <c r="A31" s="728"/>
      <c r="B31" s="165"/>
      <c r="C31" s="166">
        <v>5732</v>
      </c>
      <c r="D31" s="167" t="s">
        <v>710</v>
      </c>
      <c r="E31" s="167"/>
      <c r="F31" s="194"/>
      <c r="G31" s="195"/>
      <c r="H31" s="197"/>
      <c r="I31" s="197"/>
      <c r="J31" s="199"/>
    </row>
    <row r="32" spans="1:10" ht="14.9" customHeight="1" x14ac:dyDescent="0.35">
      <c r="A32" s="728"/>
      <c r="B32" s="173">
        <v>5800</v>
      </c>
      <c r="C32" s="174">
        <v>5739</v>
      </c>
      <c r="D32" s="175" t="s">
        <v>711</v>
      </c>
      <c r="E32" s="175"/>
      <c r="F32" s="194"/>
      <c r="G32" s="194"/>
      <c r="H32" s="198"/>
      <c r="I32" s="197"/>
      <c r="J32" s="202" t="s">
        <v>712</v>
      </c>
    </row>
    <row r="33" spans="1:13" x14ac:dyDescent="0.35">
      <c r="A33" s="187"/>
      <c r="B33" s="187"/>
      <c r="C33" s="187"/>
      <c r="D33" s="188" t="s">
        <v>693</v>
      </c>
      <c r="E33" s="188"/>
      <c r="F33" s="203"/>
      <c r="G33" s="203"/>
      <c r="H33" s="203"/>
      <c r="I33" s="203">
        <f>SUM(I20:I32)</f>
        <v>29029.485362095533</v>
      </c>
      <c r="J33" s="191"/>
    </row>
    <row r="34" spans="1:13" x14ac:dyDescent="0.35">
      <c r="A34" s="728" t="s">
        <v>713</v>
      </c>
      <c r="B34" s="192"/>
      <c r="C34" s="192">
        <v>5025</v>
      </c>
      <c r="D34" s="156" t="s">
        <v>714</v>
      </c>
      <c r="E34" s="156"/>
      <c r="F34" s="204"/>
      <c r="G34" s="204"/>
      <c r="H34" s="204"/>
      <c r="I34" s="204"/>
      <c r="J34" s="205"/>
    </row>
    <row r="35" spans="1:13" ht="25" x14ac:dyDescent="0.35">
      <c r="A35" s="728"/>
      <c r="B35" s="165"/>
      <c r="C35" s="206">
        <v>6004</v>
      </c>
      <c r="D35" s="167" t="s">
        <v>715</v>
      </c>
      <c r="E35" s="167"/>
      <c r="F35" s="194" t="s">
        <v>670</v>
      </c>
      <c r="G35" s="194">
        <v>2</v>
      </c>
      <c r="H35" s="194">
        <v>1000</v>
      </c>
      <c r="I35" s="194">
        <f>+G35*H35</f>
        <v>2000</v>
      </c>
      <c r="J35" s="199"/>
      <c r="K35" s="207"/>
      <c r="L35" s="208"/>
    </row>
    <row r="36" spans="1:13" ht="25" x14ac:dyDescent="0.35">
      <c r="A36" s="728"/>
      <c r="B36" s="173">
        <v>6100</v>
      </c>
      <c r="C36" s="209">
        <v>6056</v>
      </c>
      <c r="D36" s="175" t="s">
        <v>716</v>
      </c>
      <c r="E36" s="175"/>
      <c r="F36" s="198"/>
      <c r="G36" s="198"/>
      <c r="H36" s="198">
        <v>860</v>
      </c>
      <c r="I36" s="198">
        <f t="shared" ref="I36:I37" si="3">+G36*H36</f>
        <v>0</v>
      </c>
      <c r="J36" s="731" t="s">
        <v>717</v>
      </c>
      <c r="K36" s="207"/>
      <c r="L36" s="208"/>
    </row>
    <row r="37" spans="1:13" ht="25" x14ac:dyDescent="0.35">
      <c r="A37" s="728"/>
      <c r="B37" s="173">
        <v>6100</v>
      </c>
      <c r="C37" s="209">
        <v>6056</v>
      </c>
      <c r="D37" s="175" t="s">
        <v>718</v>
      </c>
      <c r="E37" s="176"/>
      <c r="F37" s="210"/>
      <c r="G37" s="179">
        <v>1</v>
      </c>
      <c r="H37" s="186">
        <v>44</v>
      </c>
      <c r="I37" s="198">
        <f t="shared" si="3"/>
        <v>44</v>
      </c>
      <c r="J37" s="732"/>
    </row>
    <row r="38" spans="1:13" x14ac:dyDescent="0.35">
      <c r="A38" s="187"/>
      <c r="B38" s="187"/>
      <c r="C38" s="187"/>
      <c r="D38" s="188" t="s">
        <v>693</v>
      </c>
      <c r="E38" s="188"/>
      <c r="F38" s="203"/>
      <c r="G38" s="203"/>
      <c r="H38" s="203"/>
      <c r="I38" s="203">
        <f>SUM(I35:I37)</f>
        <v>2044</v>
      </c>
      <c r="J38" s="211"/>
    </row>
    <row r="39" spans="1:13" x14ac:dyDescent="0.35">
      <c r="A39" s="728" t="s">
        <v>719</v>
      </c>
      <c r="B39" s="192"/>
      <c r="C39" s="192">
        <v>5014</v>
      </c>
      <c r="D39" s="156" t="s">
        <v>720</v>
      </c>
      <c r="E39" s="156"/>
      <c r="F39" s="204"/>
      <c r="G39" s="204"/>
      <c r="H39" s="204"/>
      <c r="I39" s="204"/>
      <c r="J39" s="184" t="s">
        <v>721</v>
      </c>
    </row>
    <row r="40" spans="1:13" x14ac:dyDescent="0.35">
      <c r="A40" s="728"/>
      <c r="B40" s="165"/>
      <c r="C40" s="206">
        <v>5571</v>
      </c>
      <c r="D40" s="212" t="s">
        <v>722</v>
      </c>
      <c r="E40" s="212"/>
      <c r="F40" s="194" t="s">
        <v>670</v>
      </c>
      <c r="G40" s="213">
        <v>60</v>
      </c>
      <c r="H40" s="213">
        <v>200</v>
      </c>
      <c r="I40" s="213">
        <f t="shared" ref="I40:I45" si="4">+G40*H40</f>
        <v>12000</v>
      </c>
      <c r="J40" s="214"/>
      <c r="L40" s="215"/>
    </row>
    <row r="41" spans="1:13" x14ac:dyDescent="0.35">
      <c r="A41" s="728"/>
      <c r="B41" s="165"/>
      <c r="C41" s="206">
        <v>5571</v>
      </c>
      <c r="D41" s="212" t="s">
        <v>723</v>
      </c>
      <c r="E41" s="212"/>
      <c r="F41" s="194" t="s">
        <v>670</v>
      </c>
      <c r="G41" s="213">
        <v>7</v>
      </c>
      <c r="H41" s="213">
        <f>5000000/550</f>
        <v>9090.9090909090901</v>
      </c>
      <c r="I41" s="213">
        <f t="shared" si="4"/>
        <v>63636.363636363632</v>
      </c>
      <c r="J41" s="214"/>
      <c r="L41" s="215"/>
    </row>
    <row r="42" spans="1:13" x14ac:dyDescent="0.35">
      <c r="A42" s="728"/>
      <c r="B42" s="165"/>
      <c r="C42" s="206">
        <v>5571</v>
      </c>
      <c r="D42" s="212" t="s">
        <v>724</v>
      </c>
      <c r="E42" s="212"/>
      <c r="F42" s="194" t="s">
        <v>670</v>
      </c>
      <c r="G42" s="213">
        <v>5</v>
      </c>
      <c r="H42" s="213">
        <f>5000000/550</f>
        <v>9090.9090909090901</v>
      </c>
      <c r="I42" s="213">
        <f t="shared" si="4"/>
        <v>45454.545454545449</v>
      </c>
      <c r="J42" s="214"/>
      <c r="L42" s="215"/>
    </row>
    <row r="43" spans="1:13" ht="25" x14ac:dyDescent="0.35">
      <c r="A43" s="728"/>
      <c r="B43" s="165"/>
      <c r="C43" s="206">
        <v>5571</v>
      </c>
      <c r="D43" s="212" t="s">
        <v>725</v>
      </c>
      <c r="E43" s="212"/>
      <c r="F43" s="194" t="s">
        <v>726</v>
      </c>
      <c r="G43" s="213">
        <v>500</v>
      </c>
      <c r="H43" s="213">
        <f>70000/550</f>
        <v>127.27272727272727</v>
      </c>
      <c r="I43" s="213">
        <f t="shared" si="4"/>
        <v>63636.363636363632</v>
      </c>
      <c r="J43" s="214"/>
      <c r="L43" s="215"/>
    </row>
    <row r="44" spans="1:13" x14ac:dyDescent="0.35">
      <c r="A44" s="728"/>
      <c r="B44" s="165"/>
      <c r="C44" s="206">
        <v>5571</v>
      </c>
      <c r="D44" s="212" t="s">
        <v>727</v>
      </c>
      <c r="E44" s="212"/>
      <c r="F44" s="194" t="s">
        <v>670</v>
      </c>
      <c r="G44" s="213">
        <v>1</v>
      </c>
      <c r="H44" s="213">
        <f>3000000/550</f>
        <v>5454.545454545455</v>
      </c>
      <c r="I44" s="213">
        <f t="shared" si="4"/>
        <v>5454.545454545455</v>
      </c>
      <c r="J44" s="214"/>
      <c r="L44" s="215"/>
    </row>
    <row r="45" spans="1:13" ht="26" x14ac:dyDescent="0.35">
      <c r="A45" s="728"/>
      <c r="B45" s="173">
        <v>5650</v>
      </c>
      <c r="C45" s="209">
        <v>5588</v>
      </c>
      <c r="D45" s="176" t="s">
        <v>728</v>
      </c>
      <c r="E45" s="176"/>
      <c r="F45" s="210"/>
      <c r="G45" s="186">
        <v>5</v>
      </c>
      <c r="H45" s="186">
        <v>44</v>
      </c>
      <c r="I45" s="186">
        <f t="shared" si="4"/>
        <v>220</v>
      </c>
      <c r="J45" s="202" t="s">
        <v>717</v>
      </c>
    </row>
    <row r="46" spans="1:13" x14ac:dyDescent="0.35">
      <c r="A46" s="188"/>
      <c r="B46" s="188"/>
      <c r="C46" s="188"/>
      <c r="D46" s="188" t="s">
        <v>693</v>
      </c>
      <c r="E46" s="188"/>
      <c r="F46" s="203"/>
      <c r="G46" s="203"/>
      <c r="H46" s="203"/>
      <c r="I46" s="203">
        <f>SUM(I40:I45)</f>
        <v>190401.81818181815</v>
      </c>
      <c r="J46" s="216"/>
    </row>
    <row r="47" spans="1:13" x14ac:dyDescent="0.35">
      <c r="A47" s="728" t="s">
        <v>6</v>
      </c>
      <c r="B47" s="192"/>
      <c r="C47" s="192">
        <v>5021</v>
      </c>
      <c r="D47" s="156" t="s">
        <v>729</v>
      </c>
      <c r="E47" s="156"/>
      <c r="F47" s="217"/>
      <c r="G47" s="217"/>
      <c r="H47" s="217"/>
      <c r="I47" s="217"/>
      <c r="J47" s="205"/>
      <c r="M47" s="171"/>
    </row>
    <row r="48" spans="1:13" x14ac:dyDescent="0.35">
      <c r="A48" s="728"/>
      <c r="B48" s="165"/>
      <c r="C48" s="218">
        <v>5696</v>
      </c>
      <c r="D48" s="167" t="s">
        <v>730</v>
      </c>
      <c r="E48" s="167"/>
      <c r="F48" s="219">
        <v>1</v>
      </c>
      <c r="G48" s="219" t="s">
        <v>731</v>
      </c>
      <c r="H48" s="219">
        <v>10000</v>
      </c>
      <c r="I48" s="219">
        <f>+F48*H48</f>
        <v>10000</v>
      </c>
      <c r="J48" s="730"/>
      <c r="M48" s="171"/>
    </row>
    <row r="49" spans="1:13" ht="18.5" x14ac:dyDescent="0.35">
      <c r="A49" s="733"/>
      <c r="B49" s="166"/>
      <c r="C49" s="166">
        <v>5664</v>
      </c>
      <c r="D49" s="167" t="s">
        <v>732</v>
      </c>
      <c r="E49" s="167"/>
      <c r="F49" s="219">
        <v>1</v>
      </c>
      <c r="G49" s="219" t="s">
        <v>731</v>
      </c>
      <c r="H49" s="219">
        <v>5000</v>
      </c>
      <c r="I49" s="219">
        <f>+F49*H49</f>
        <v>5000</v>
      </c>
      <c r="J49" s="730"/>
      <c r="K49" s="220"/>
      <c r="L49" s="221"/>
      <c r="M49" s="222"/>
    </row>
    <row r="50" spans="1:13" x14ac:dyDescent="0.35">
      <c r="A50" s="187"/>
      <c r="B50" s="187"/>
      <c r="C50" s="187"/>
      <c r="D50" s="188" t="s">
        <v>693</v>
      </c>
      <c r="E50" s="188"/>
      <c r="F50" s="203"/>
      <c r="G50" s="203"/>
      <c r="H50" s="203"/>
      <c r="I50" s="203">
        <f>SUM(I48:I49)</f>
        <v>15000</v>
      </c>
      <c r="J50" s="191"/>
    </row>
    <row r="51" spans="1:13" x14ac:dyDescent="0.35">
      <c r="A51" s="728" t="s">
        <v>4</v>
      </c>
      <c r="B51" s="192"/>
      <c r="C51" s="155">
        <v>5014</v>
      </c>
      <c r="D51" s="156" t="s">
        <v>720</v>
      </c>
      <c r="E51" s="156"/>
      <c r="F51" s="223"/>
      <c r="G51" s="223"/>
      <c r="H51" s="223"/>
      <c r="I51" s="223"/>
      <c r="J51" s="205"/>
    </row>
    <row r="52" spans="1:13" ht="62.5" x14ac:dyDescent="0.35">
      <c r="A52" s="728"/>
      <c r="B52" s="165"/>
      <c r="C52" s="224">
        <v>5579</v>
      </c>
      <c r="D52" s="225" t="s">
        <v>733</v>
      </c>
      <c r="E52" s="225"/>
      <c r="F52" s="197">
        <v>1</v>
      </c>
      <c r="G52" s="195" t="s">
        <v>670</v>
      </c>
      <c r="H52" s="195">
        <f>15000000/590</f>
        <v>25423.728813559323</v>
      </c>
      <c r="I52" s="226">
        <f>+F52*H52</f>
        <v>25423.728813559323</v>
      </c>
      <c r="J52" s="227" t="s">
        <v>734</v>
      </c>
    </row>
    <row r="53" spans="1:13" x14ac:dyDescent="0.35">
      <c r="A53" s="728"/>
      <c r="B53" s="165"/>
      <c r="C53" s="224">
        <v>5577</v>
      </c>
      <c r="D53" s="225" t="s">
        <v>735</v>
      </c>
      <c r="E53" s="225"/>
      <c r="F53" s="197">
        <v>1</v>
      </c>
      <c r="G53" s="195" t="s">
        <v>670</v>
      </c>
      <c r="H53" s="195">
        <f>20000000/590</f>
        <v>33898.305084745763</v>
      </c>
      <c r="I53" s="226">
        <f>+F53*H53</f>
        <v>33898.305084745763</v>
      </c>
      <c r="J53" s="228"/>
    </row>
    <row r="54" spans="1:13" ht="25" x14ac:dyDescent="0.35">
      <c r="A54" s="728"/>
      <c r="B54" s="173">
        <v>5650</v>
      </c>
      <c r="C54" s="174">
        <v>5586</v>
      </c>
      <c r="D54" s="175" t="s">
        <v>736</v>
      </c>
      <c r="E54" s="176"/>
      <c r="F54" s="186"/>
      <c r="G54" s="179"/>
      <c r="H54" s="179">
        <v>1948</v>
      </c>
      <c r="I54" s="229">
        <f t="shared" ref="I54:I55" si="5">+F54*H54</f>
        <v>0</v>
      </c>
      <c r="J54" s="731" t="s">
        <v>737</v>
      </c>
    </row>
    <row r="55" spans="1:13" x14ac:dyDescent="0.35">
      <c r="A55" s="728"/>
      <c r="B55" s="173">
        <v>5650</v>
      </c>
      <c r="C55" s="174">
        <v>5586</v>
      </c>
      <c r="D55" s="175" t="s">
        <v>738</v>
      </c>
      <c r="E55" s="176"/>
      <c r="F55" s="186">
        <v>2</v>
      </c>
      <c r="G55" s="179"/>
      <c r="H55" s="179">
        <v>100</v>
      </c>
      <c r="I55" s="229">
        <f t="shared" si="5"/>
        <v>200</v>
      </c>
      <c r="J55" s="732"/>
    </row>
    <row r="56" spans="1:13" x14ac:dyDescent="0.35">
      <c r="A56" s="188"/>
      <c r="B56" s="188"/>
      <c r="C56" s="188"/>
      <c r="D56" s="188" t="s">
        <v>693</v>
      </c>
      <c r="E56" s="188"/>
      <c r="F56" s="203"/>
      <c r="G56" s="203"/>
      <c r="H56" s="203"/>
      <c r="I56" s="203">
        <f>SUM(I52:I55)</f>
        <v>59522.03389830509</v>
      </c>
      <c r="J56" s="216"/>
    </row>
    <row r="57" spans="1:13" x14ac:dyDescent="0.35">
      <c r="A57" s="724" t="s">
        <v>739</v>
      </c>
      <c r="B57" s="192"/>
      <c r="C57" s="192">
        <v>5023</v>
      </c>
      <c r="D57" s="156" t="s">
        <v>740</v>
      </c>
      <c r="E57" s="156"/>
      <c r="F57" s="204"/>
      <c r="G57" s="204"/>
      <c r="H57" s="204"/>
      <c r="I57" s="204"/>
      <c r="J57" s="205"/>
    </row>
    <row r="58" spans="1:13" ht="37.5" x14ac:dyDescent="0.35">
      <c r="A58" s="725"/>
      <c r="B58" s="206"/>
      <c r="C58" s="206">
        <v>5905</v>
      </c>
      <c r="D58" s="230" t="s">
        <v>741</v>
      </c>
      <c r="E58" s="230"/>
      <c r="F58" s="219">
        <v>1</v>
      </c>
      <c r="G58" s="219" t="s">
        <v>731</v>
      </c>
      <c r="H58" s="194">
        <v>30000</v>
      </c>
      <c r="I58" s="194">
        <f>+F58*H58</f>
        <v>30000</v>
      </c>
      <c r="J58" s="199"/>
    </row>
    <row r="59" spans="1:13" x14ac:dyDescent="0.35">
      <c r="A59" s="725"/>
      <c r="B59" s="188"/>
      <c r="C59" s="188"/>
      <c r="D59" s="188" t="s">
        <v>742</v>
      </c>
      <c r="E59" s="188"/>
      <c r="F59" s="203"/>
      <c r="G59" s="203"/>
      <c r="H59" s="203"/>
      <c r="I59" s="203">
        <f>SUM(I58:I58)</f>
        <v>30000</v>
      </c>
      <c r="J59" s="191"/>
    </row>
    <row r="60" spans="1:13" x14ac:dyDescent="0.35">
      <c r="A60" s="725"/>
      <c r="B60" s="192"/>
      <c r="C60" s="192">
        <v>5027</v>
      </c>
      <c r="D60" s="231" t="s">
        <v>743</v>
      </c>
      <c r="E60" s="231"/>
      <c r="F60" s="232"/>
      <c r="G60" s="232"/>
      <c r="H60" s="232"/>
      <c r="I60" s="232"/>
      <c r="J60" s="205"/>
    </row>
    <row r="61" spans="1:13" ht="52" x14ac:dyDescent="0.35">
      <c r="A61" s="725"/>
      <c r="B61" s="206"/>
      <c r="C61" s="233">
        <v>6120</v>
      </c>
      <c r="D61" s="234" t="s">
        <v>744</v>
      </c>
      <c r="E61" s="234"/>
      <c r="F61" s="213">
        <v>1</v>
      </c>
      <c r="G61" s="213" t="s">
        <v>731</v>
      </c>
      <c r="H61" s="213">
        <v>3072</v>
      </c>
      <c r="I61" s="213">
        <f>+F61*H61</f>
        <v>3072</v>
      </c>
      <c r="J61" s="202" t="s">
        <v>745</v>
      </c>
    </row>
    <row r="62" spans="1:13" x14ac:dyDescent="0.35">
      <c r="A62" s="725"/>
      <c r="B62" s="206"/>
      <c r="C62" s="233">
        <v>6120</v>
      </c>
      <c r="D62" s="234" t="s">
        <v>746</v>
      </c>
      <c r="E62" s="234"/>
      <c r="F62" s="213">
        <v>1</v>
      </c>
      <c r="G62" s="213" t="s">
        <v>731</v>
      </c>
      <c r="H62" s="213">
        <v>3333.3333333333335</v>
      </c>
      <c r="I62" s="213">
        <f t="shared" ref="I62:I64" si="6">+F62*H62</f>
        <v>3333.3333333333335</v>
      </c>
      <c r="J62" s="202"/>
    </row>
    <row r="63" spans="1:13" ht="78" x14ac:dyDescent="0.35">
      <c r="A63" s="725"/>
      <c r="B63" s="206"/>
      <c r="C63" s="233">
        <v>6116</v>
      </c>
      <c r="D63" s="234" t="s">
        <v>747</v>
      </c>
      <c r="E63" s="234"/>
      <c r="F63" s="213">
        <v>1</v>
      </c>
      <c r="G63" s="213" t="s">
        <v>731</v>
      </c>
      <c r="H63" s="186">
        <f>12500</f>
        <v>12500</v>
      </c>
      <c r="I63" s="213">
        <f t="shared" si="6"/>
        <v>12500</v>
      </c>
      <c r="J63" s="202" t="s">
        <v>748</v>
      </c>
    </row>
    <row r="64" spans="1:13" x14ac:dyDescent="0.35">
      <c r="A64" s="725"/>
      <c r="B64" s="206"/>
      <c r="C64" s="233">
        <v>6111</v>
      </c>
      <c r="D64" s="234" t="s">
        <v>749</v>
      </c>
      <c r="E64" s="234"/>
      <c r="F64" s="213">
        <v>0</v>
      </c>
      <c r="G64" s="213" t="s">
        <v>670</v>
      </c>
      <c r="H64" s="213">
        <v>0</v>
      </c>
      <c r="I64" s="213">
        <f t="shared" si="6"/>
        <v>0</v>
      </c>
      <c r="J64" s="184" t="s">
        <v>750</v>
      </c>
    </row>
    <row r="65" spans="1:11" x14ac:dyDescent="0.35">
      <c r="A65" s="725"/>
      <c r="B65" s="188"/>
      <c r="C65" s="235"/>
      <c r="D65" s="236" t="s">
        <v>742</v>
      </c>
      <c r="E65" s="236"/>
      <c r="F65" s="237"/>
      <c r="G65" s="237"/>
      <c r="H65" s="237"/>
      <c r="I65" s="238">
        <f>+I61+I62+I63+I64</f>
        <v>18905.333333333336</v>
      </c>
      <c r="J65" s="239"/>
    </row>
    <row r="66" spans="1:11" x14ac:dyDescent="0.35">
      <c r="A66" s="725"/>
      <c r="B66" s="192"/>
      <c r="C66" s="192">
        <v>5028</v>
      </c>
      <c r="D66" s="240" t="s">
        <v>751</v>
      </c>
      <c r="E66" s="240"/>
      <c r="F66" s="223"/>
      <c r="G66" s="223"/>
      <c r="H66" s="223"/>
      <c r="I66" s="223"/>
      <c r="J66" s="205"/>
    </row>
    <row r="67" spans="1:11" x14ac:dyDescent="0.35">
      <c r="A67" s="725"/>
      <c r="B67" s="206"/>
      <c r="C67" s="166">
        <v>6152</v>
      </c>
      <c r="D67" s="234" t="s">
        <v>752</v>
      </c>
      <c r="E67" s="234"/>
      <c r="F67" s="195">
        <v>1</v>
      </c>
      <c r="G67" s="195" t="s">
        <v>731</v>
      </c>
      <c r="H67" s="195">
        <v>1000</v>
      </c>
      <c r="I67" s="195">
        <f>+F67*H67</f>
        <v>1000</v>
      </c>
      <c r="J67" s="726"/>
    </row>
    <row r="68" spans="1:11" x14ac:dyDescent="0.35">
      <c r="A68" s="725"/>
      <c r="B68" s="206"/>
      <c r="C68" s="166">
        <v>6175</v>
      </c>
      <c r="D68" s="167" t="s">
        <v>753</v>
      </c>
      <c r="E68" s="167"/>
      <c r="F68" s="195">
        <v>1</v>
      </c>
      <c r="G68" s="195" t="s">
        <v>731</v>
      </c>
      <c r="H68" s="195">
        <v>7000</v>
      </c>
      <c r="I68" s="195">
        <f t="shared" ref="I68:I72" si="7">+F68*H68</f>
        <v>7000</v>
      </c>
      <c r="J68" s="726"/>
      <c r="K68" s="241"/>
    </row>
    <row r="69" spans="1:11" x14ac:dyDescent="0.35">
      <c r="A69" s="725"/>
      <c r="B69" s="206"/>
      <c r="C69" s="166">
        <v>6176</v>
      </c>
      <c r="D69" s="167" t="s">
        <v>754</v>
      </c>
      <c r="E69" s="167"/>
      <c r="F69" s="195">
        <v>1</v>
      </c>
      <c r="G69" s="195" t="s">
        <v>731</v>
      </c>
      <c r="H69" s="195">
        <v>5000</v>
      </c>
      <c r="I69" s="195">
        <f t="shared" si="7"/>
        <v>5000</v>
      </c>
      <c r="J69" s="726"/>
      <c r="K69" s="241"/>
    </row>
    <row r="70" spans="1:11" x14ac:dyDescent="0.35">
      <c r="A70" s="725"/>
      <c r="B70" s="206"/>
      <c r="C70" s="166">
        <v>6177</v>
      </c>
      <c r="D70" s="167" t="s">
        <v>755</v>
      </c>
      <c r="E70" s="167"/>
      <c r="F70" s="195">
        <v>1</v>
      </c>
      <c r="G70" s="195" t="s">
        <v>731</v>
      </c>
      <c r="H70" s="195">
        <v>2500</v>
      </c>
      <c r="I70" s="195">
        <f t="shared" si="7"/>
        <v>2500</v>
      </c>
      <c r="J70" s="726"/>
      <c r="K70" s="241"/>
    </row>
    <row r="71" spans="1:11" ht="25" x14ac:dyDescent="0.35">
      <c r="A71" s="725"/>
      <c r="B71" s="206"/>
      <c r="C71" s="166">
        <v>6190</v>
      </c>
      <c r="D71" s="167" t="s">
        <v>756</v>
      </c>
      <c r="E71" s="167"/>
      <c r="F71" s="195">
        <v>1</v>
      </c>
      <c r="G71" s="195" t="s">
        <v>731</v>
      </c>
      <c r="H71" s="195">
        <v>5000</v>
      </c>
      <c r="I71" s="195">
        <f t="shared" si="7"/>
        <v>5000</v>
      </c>
      <c r="J71" s="726"/>
    </row>
    <row r="72" spans="1:11" x14ac:dyDescent="0.35">
      <c r="A72" s="725"/>
      <c r="B72" s="206"/>
      <c r="C72" s="166">
        <v>6309</v>
      </c>
      <c r="D72" s="167" t="s">
        <v>757</v>
      </c>
      <c r="E72" s="167"/>
      <c r="F72" s="195">
        <v>1</v>
      </c>
      <c r="G72" s="195" t="s">
        <v>731</v>
      </c>
      <c r="H72" s="195">
        <v>1791</v>
      </c>
      <c r="I72" s="195">
        <f t="shared" si="7"/>
        <v>1791</v>
      </c>
      <c r="J72" s="726"/>
    </row>
    <row r="73" spans="1:11" ht="26" x14ac:dyDescent="0.35">
      <c r="A73" s="725"/>
      <c r="B73" s="242">
        <v>6300</v>
      </c>
      <c r="C73" s="174">
        <v>6280</v>
      </c>
      <c r="D73" s="175" t="s">
        <v>758</v>
      </c>
      <c r="E73" s="175"/>
      <c r="F73" s="186">
        <v>12</v>
      </c>
      <c r="G73" s="186" t="s">
        <v>759</v>
      </c>
      <c r="H73" s="179">
        <v>44</v>
      </c>
      <c r="I73" s="179">
        <f>+F73*H73</f>
        <v>528</v>
      </c>
      <c r="J73" s="202" t="s">
        <v>717</v>
      </c>
    </row>
    <row r="74" spans="1:11" x14ac:dyDescent="0.35">
      <c r="A74" s="725"/>
      <c r="B74" s="242">
        <v>6300</v>
      </c>
      <c r="C74" s="174">
        <v>6216</v>
      </c>
      <c r="D74" s="175" t="s">
        <v>760</v>
      </c>
      <c r="E74" s="175"/>
      <c r="F74" s="186">
        <f>G15+G17</f>
        <v>16</v>
      </c>
      <c r="G74" s="186"/>
      <c r="H74" s="179">
        <v>135</v>
      </c>
      <c r="I74" s="179">
        <f>+F74*H74</f>
        <v>2160</v>
      </c>
      <c r="J74" s="202" t="s">
        <v>761</v>
      </c>
    </row>
    <row r="75" spans="1:11" x14ac:dyDescent="0.35">
      <c r="A75" s="725"/>
      <c r="B75" s="188"/>
      <c r="C75" s="188"/>
      <c r="D75" s="188" t="s">
        <v>742</v>
      </c>
      <c r="E75" s="188"/>
      <c r="F75" s="243"/>
      <c r="G75" s="243"/>
      <c r="H75" s="243"/>
      <c r="I75" s="238">
        <f>SUM(I67:I74)</f>
        <v>24979</v>
      </c>
      <c r="J75" s="211"/>
    </row>
    <row r="76" spans="1:11" ht="26" x14ac:dyDescent="0.35">
      <c r="A76" s="725"/>
      <c r="B76" s="192"/>
      <c r="C76" s="192">
        <v>5050</v>
      </c>
      <c r="D76" s="231" t="s">
        <v>762</v>
      </c>
      <c r="E76" s="231"/>
      <c r="F76" s="223"/>
      <c r="G76" s="223"/>
      <c r="H76" s="223"/>
      <c r="I76" s="223"/>
      <c r="J76" s="184"/>
    </row>
    <row r="77" spans="1:11" x14ac:dyDescent="0.35">
      <c r="A77" s="725"/>
      <c r="B77" s="242">
        <v>6500</v>
      </c>
      <c r="C77" s="174">
        <v>6420</v>
      </c>
      <c r="D77" s="176" t="s">
        <v>763</v>
      </c>
      <c r="E77" s="176"/>
      <c r="F77" s="186">
        <f>F74</f>
        <v>16</v>
      </c>
      <c r="G77" s="179"/>
      <c r="H77" s="179">
        <v>137</v>
      </c>
      <c r="I77" s="179">
        <f>F77+H77</f>
        <v>153</v>
      </c>
      <c r="J77" s="184" t="s">
        <v>691</v>
      </c>
    </row>
    <row r="78" spans="1:11" x14ac:dyDescent="0.35">
      <c r="A78" s="725"/>
      <c r="B78" s="242">
        <v>6500</v>
      </c>
      <c r="C78" s="174">
        <v>6421</v>
      </c>
      <c r="D78" s="176" t="s">
        <v>764</v>
      </c>
      <c r="E78" s="176"/>
      <c r="F78" s="186" t="s">
        <v>765</v>
      </c>
      <c r="G78" s="186"/>
      <c r="H78" s="186"/>
      <c r="I78" s="186">
        <v>4811</v>
      </c>
      <c r="J78" s="184" t="s">
        <v>766</v>
      </c>
    </row>
    <row r="79" spans="1:11" x14ac:dyDescent="0.35">
      <c r="A79" s="725"/>
      <c r="B79" s="188"/>
      <c r="C79" s="244"/>
      <c r="D79" s="188" t="s">
        <v>742</v>
      </c>
      <c r="E79" s="188"/>
      <c r="F79" s="243"/>
      <c r="G79" s="243"/>
      <c r="H79" s="243"/>
      <c r="I79" s="238">
        <f>SUM(I77:I78)</f>
        <v>4964</v>
      </c>
      <c r="J79" s="216"/>
    </row>
    <row r="80" spans="1:11" x14ac:dyDescent="0.35">
      <c r="A80" s="245"/>
      <c r="B80" s="245"/>
      <c r="C80" s="246" t="s">
        <v>767</v>
      </c>
      <c r="D80" s="246"/>
      <c r="E80" s="246"/>
      <c r="F80" s="247"/>
      <c r="G80" s="247"/>
      <c r="H80" s="247"/>
      <c r="I80" s="247">
        <f>SUM(I79,I75,I65,I59,I56,I50,I46,I38,I33,I18)</f>
        <v>420560.93819551443</v>
      </c>
      <c r="J80" s="248"/>
    </row>
    <row r="81" spans="1:10" x14ac:dyDescent="0.35">
      <c r="A81" s="249" t="s">
        <v>768</v>
      </c>
      <c r="B81" s="250"/>
      <c r="C81" s="250">
        <v>5029</v>
      </c>
      <c r="D81" s="231" t="s">
        <v>769</v>
      </c>
      <c r="E81" s="231"/>
      <c r="F81" s="223"/>
      <c r="G81" s="223"/>
      <c r="H81" s="223"/>
      <c r="I81" s="223">
        <f>I80*0.07</f>
        <v>29439.265673686012</v>
      </c>
      <c r="J81" s="191"/>
    </row>
    <row r="82" spans="1:10" x14ac:dyDescent="0.35">
      <c r="A82" s="251"/>
      <c r="B82" s="251"/>
      <c r="C82" s="252" t="s">
        <v>770</v>
      </c>
      <c r="D82" s="252"/>
      <c r="E82" s="252"/>
      <c r="F82" s="253"/>
      <c r="G82" s="253"/>
      <c r="H82" s="253"/>
      <c r="I82" s="253">
        <f>SUM(I80:I81)</f>
        <v>450000.20386920043</v>
      </c>
      <c r="J82" s="216"/>
    </row>
  </sheetData>
  <mergeCells count="14">
    <mergeCell ref="A57:A79"/>
    <mergeCell ref="J67:J72"/>
    <mergeCell ref="A1:J2"/>
    <mergeCell ref="A4:A17"/>
    <mergeCell ref="J4:J7"/>
    <mergeCell ref="A19:A32"/>
    <mergeCell ref="J19:J25"/>
    <mergeCell ref="A34:A37"/>
    <mergeCell ref="J36:J37"/>
    <mergeCell ref="A39:A45"/>
    <mergeCell ref="A47:A49"/>
    <mergeCell ref="J48:J49"/>
    <mergeCell ref="A51:A55"/>
    <mergeCell ref="J54:J5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74" t="s">
        <v>24</v>
      </c>
      <c r="B1" s="75" t="s">
        <v>25</v>
      </c>
    </row>
    <row r="2" spans="1:2" x14ac:dyDescent="0.35">
      <c r="A2" s="76" t="s">
        <v>26</v>
      </c>
      <c r="B2" s="77" t="s">
        <v>27</v>
      </c>
    </row>
    <row r="3" spans="1:2" x14ac:dyDescent="0.35">
      <c r="A3" s="76" t="s">
        <v>28</v>
      </c>
      <c r="B3" s="77" t="s">
        <v>29</v>
      </c>
    </row>
    <row r="4" spans="1:2" x14ac:dyDescent="0.35">
      <c r="A4" s="76" t="s">
        <v>30</v>
      </c>
      <c r="B4" s="77" t="s">
        <v>31</v>
      </c>
    </row>
    <row r="5" spans="1:2" x14ac:dyDescent="0.35">
      <c r="A5" s="76" t="s">
        <v>32</v>
      </c>
      <c r="B5" s="77" t="s">
        <v>33</v>
      </c>
    </row>
    <row r="6" spans="1:2" x14ac:dyDescent="0.35">
      <c r="A6" s="76" t="s">
        <v>34</v>
      </c>
      <c r="B6" s="77" t="s">
        <v>35</v>
      </c>
    </row>
    <row r="7" spans="1:2" x14ac:dyDescent="0.35">
      <c r="A7" s="76" t="s">
        <v>36</v>
      </c>
      <c r="B7" s="77" t="s">
        <v>37</v>
      </c>
    </row>
    <row r="8" spans="1:2" x14ac:dyDescent="0.35">
      <c r="A8" s="76" t="s">
        <v>38</v>
      </c>
      <c r="B8" s="77" t="s">
        <v>39</v>
      </c>
    </row>
    <row r="9" spans="1:2" x14ac:dyDescent="0.35">
      <c r="A9" s="76" t="s">
        <v>40</v>
      </c>
      <c r="B9" s="77" t="s">
        <v>41</v>
      </c>
    </row>
    <row r="10" spans="1:2" x14ac:dyDescent="0.35">
      <c r="A10" s="76" t="s">
        <v>42</v>
      </c>
      <c r="B10" s="77" t="s">
        <v>43</v>
      </c>
    </row>
    <row r="11" spans="1:2" x14ac:dyDescent="0.35">
      <c r="A11" s="76" t="s">
        <v>44</v>
      </c>
      <c r="B11" s="77" t="s">
        <v>45</v>
      </c>
    </row>
    <row r="12" spans="1:2" x14ac:dyDescent="0.35">
      <c r="A12" s="76" t="s">
        <v>46</v>
      </c>
      <c r="B12" s="77" t="s">
        <v>47</v>
      </c>
    </row>
    <row r="13" spans="1:2" x14ac:dyDescent="0.35">
      <c r="A13" s="76" t="s">
        <v>48</v>
      </c>
      <c r="B13" s="77" t="s">
        <v>49</v>
      </c>
    </row>
    <row r="14" spans="1:2" x14ac:dyDescent="0.35">
      <c r="A14" s="76" t="s">
        <v>50</v>
      </c>
      <c r="B14" s="77" t="s">
        <v>51</v>
      </c>
    </row>
    <row r="15" spans="1:2" x14ac:dyDescent="0.35">
      <c r="A15" s="76" t="s">
        <v>52</v>
      </c>
      <c r="B15" s="77" t="s">
        <v>53</v>
      </c>
    </row>
    <row r="16" spans="1:2" x14ac:dyDescent="0.35">
      <c r="A16" s="76" t="s">
        <v>54</v>
      </c>
      <c r="B16" s="77" t="s">
        <v>55</v>
      </c>
    </row>
    <row r="17" spans="1:2" x14ac:dyDescent="0.35">
      <c r="A17" s="76" t="s">
        <v>56</v>
      </c>
      <c r="B17" s="77" t="s">
        <v>57</v>
      </c>
    </row>
    <row r="18" spans="1:2" x14ac:dyDescent="0.35">
      <c r="A18" s="76" t="s">
        <v>58</v>
      </c>
      <c r="B18" s="77" t="s">
        <v>59</v>
      </c>
    </row>
    <row r="19" spans="1:2" x14ac:dyDescent="0.35">
      <c r="A19" s="76" t="s">
        <v>60</v>
      </c>
      <c r="B19" s="77" t="s">
        <v>61</v>
      </c>
    </row>
    <row r="20" spans="1:2" x14ac:dyDescent="0.35">
      <c r="A20" s="76" t="s">
        <v>62</v>
      </c>
      <c r="B20" s="77" t="s">
        <v>63</v>
      </c>
    </row>
    <row r="21" spans="1:2" x14ac:dyDescent="0.35">
      <c r="A21" s="76" t="s">
        <v>64</v>
      </c>
      <c r="B21" s="77" t="s">
        <v>65</v>
      </c>
    </row>
    <row r="22" spans="1:2" x14ac:dyDescent="0.35">
      <c r="A22" s="76" t="s">
        <v>66</v>
      </c>
      <c r="B22" s="77" t="s">
        <v>67</v>
      </c>
    </row>
    <row r="23" spans="1:2" x14ac:dyDescent="0.35">
      <c r="A23" s="76" t="s">
        <v>68</v>
      </c>
      <c r="B23" s="77" t="s">
        <v>69</v>
      </c>
    </row>
    <row r="24" spans="1:2" x14ac:dyDescent="0.35">
      <c r="A24" s="76" t="s">
        <v>70</v>
      </c>
      <c r="B24" s="77" t="s">
        <v>71</v>
      </c>
    </row>
    <row r="25" spans="1:2" x14ac:dyDescent="0.35">
      <c r="A25" s="76" t="s">
        <v>72</v>
      </c>
      <c r="B25" s="77" t="s">
        <v>73</v>
      </c>
    </row>
    <row r="26" spans="1:2" x14ac:dyDescent="0.35">
      <c r="A26" s="76" t="s">
        <v>74</v>
      </c>
      <c r="B26" s="77" t="s">
        <v>75</v>
      </c>
    </row>
    <row r="27" spans="1:2" x14ac:dyDescent="0.35">
      <c r="A27" s="76" t="s">
        <v>76</v>
      </c>
      <c r="B27" s="77" t="s">
        <v>77</v>
      </c>
    </row>
    <row r="28" spans="1:2" x14ac:dyDescent="0.35">
      <c r="A28" s="76" t="s">
        <v>78</v>
      </c>
      <c r="B28" s="77" t="s">
        <v>79</v>
      </c>
    </row>
    <row r="29" spans="1:2" x14ac:dyDescent="0.35">
      <c r="A29" s="76" t="s">
        <v>80</v>
      </c>
      <c r="B29" s="77" t="s">
        <v>81</v>
      </c>
    </row>
    <row r="30" spans="1:2" x14ac:dyDescent="0.35">
      <c r="A30" s="76" t="s">
        <v>82</v>
      </c>
      <c r="B30" s="77" t="s">
        <v>83</v>
      </c>
    </row>
    <row r="31" spans="1:2" x14ac:dyDescent="0.35">
      <c r="A31" s="76" t="s">
        <v>84</v>
      </c>
      <c r="B31" s="77" t="s">
        <v>85</v>
      </c>
    </row>
    <row r="32" spans="1:2" x14ac:dyDescent="0.35">
      <c r="A32" s="76" t="s">
        <v>86</v>
      </c>
      <c r="B32" s="77" t="s">
        <v>87</v>
      </c>
    </row>
    <row r="33" spans="1:2" x14ac:dyDescent="0.35">
      <c r="A33" s="76" t="s">
        <v>88</v>
      </c>
      <c r="B33" s="77" t="s">
        <v>89</v>
      </c>
    </row>
    <row r="34" spans="1:2" x14ac:dyDescent="0.35">
      <c r="A34" s="76" t="s">
        <v>90</v>
      </c>
      <c r="B34" s="77" t="s">
        <v>91</v>
      </c>
    </row>
    <row r="35" spans="1:2" x14ac:dyDescent="0.35">
      <c r="A35" s="76" t="s">
        <v>92</v>
      </c>
      <c r="B35" s="77" t="s">
        <v>93</v>
      </c>
    </row>
    <row r="36" spans="1:2" x14ac:dyDescent="0.35">
      <c r="A36" s="76" t="s">
        <v>94</v>
      </c>
      <c r="B36" s="77" t="s">
        <v>95</v>
      </c>
    </row>
    <row r="37" spans="1:2" x14ac:dyDescent="0.35">
      <c r="A37" s="76" t="s">
        <v>96</v>
      </c>
      <c r="B37" s="77" t="s">
        <v>97</v>
      </c>
    </row>
    <row r="38" spans="1:2" x14ac:dyDescent="0.35">
      <c r="A38" s="76" t="s">
        <v>98</v>
      </c>
      <c r="B38" s="77" t="s">
        <v>99</v>
      </c>
    </row>
    <row r="39" spans="1:2" x14ac:dyDescent="0.35">
      <c r="A39" s="76" t="s">
        <v>100</v>
      </c>
      <c r="B39" s="77" t="s">
        <v>101</v>
      </c>
    </row>
    <row r="40" spans="1:2" x14ac:dyDescent="0.35">
      <c r="A40" s="76" t="s">
        <v>102</v>
      </c>
      <c r="B40" s="77" t="s">
        <v>103</v>
      </c>
    </row>
    <row r="41" spans="1:2" x14ac:dyDescent="0.35">
      <c r="A41" s="76" t="s">
        <v>104</v>
      </c>
      <c r="B41" s="77" t="s">
        <v>105</v>
      </c>
    </row>
    <row r="42" spans="1:2" x14ac:dyDescent="0.35">
      <c r="A42" s="76" t="s">
        <v>106</v>
      </c>
      <c r="B42" s="77" t="s">
        <v>107</v>
      </c>
    </row>
    <row r="43" spans="1:2" x14ac:dyDescent="0.35">
      <c r="A43" s="76" t="s">
        <v>108</v>
      </c>
      <c r="B43" s="77" t="s">
        <v>109</v>
      </c>
    </row>
    <row r="44" spans="1:2" x14ac:dyDescent="0.35">
      <c r="A44" s="76" t="s">
        <v>110</v>
      </c>
      <c r="B44" s="77" t="s">
        <v>111</v>
      </c>
    </row>
    <row r="45" spans="1:2" x14ac:dyDescent="0.35">
      <c r="A45" s="76" t="s">
        <v>112</v>
      </c>
      <c r="B45" s="77" t="s">
        <v>113</v>
      </c>
    </row>
    <row r="46" spans="1:2" x14ac:dyDescent="0.35">
      <c r="A46" s="76" t="s">
        <v>114</v>
      </c>
      <c r="B46" s="77" t="s">
        <v>115</v>
      </c>
    </row>
    <row r="47" spans="1:2" x14ac:dyDescent="0.35">
      <c r="A47" s="76" t="s">
        <v>116</v>
      </c>
      <c r="B47" s="77" t="s">
        <v>117</v>
      </c>
    </row>
    <row r="48" spans="1:2" x14ac:dyDescent="0.35">
      <c r="A48" s="76" t="s">
        <v>118</v>
      </c>
      <c r="B48" s="77" t="s">
        <v>119</v>
      </c>
    </row>
    <row r="49" spans="1:2" x14ac:dyDescent="0.35">
      <c r="A49" s="76" t="s">
        <v>120</v>
      </c>
      <c r="B49" s="77" t="s">
        <v>121</v>
      </c>
    </row>
    <row r="50" spans="1:2" x14ac:dyDescent="0.35">
      <c r="A50" s="76" t="s">
        <v>122</v>
      </c>
      <c r="B50" s="77" t="s">
        <v>123</v>
      </c>
    </row>
    <row r="51" spans="1:2" x14ac:dyDescent="0.35">
      <c r="A51" s="76" t="s">
        <v>124</v>
      </c>
      <c r="B51" s="77" t="s">
        <v>125</v>
      </c>
    </row>
    <row r="52" spans="1:2" x14ac:dyDescent="0.35">
      <c r="A52" s="76" t="s">
        <v>126</v>
      </c>
      <c r="B52" s="77" t="s">
        <v>127</v>
      </c>
    </row>
    <row r="53" spans="1:2" x14ac:dyDescent="0.35">
      <c r="A53" s="76" t="s">
        <v>128</v>
      </c>
      <c r="B53" s="77" t="s">
        <v>129</v>
      </c>
    </row>
    <row r="54" spans="1:2" x14ac:dyDescent="0.35">
      <c r="A54" s="76" t="s">
        <v>130</v>
      </c>
      <c r="B54" s="77" t="s">
        <v>131</v>
      </c>
    </row>
    <row r="55" spans="1:2" x14ac:dyDescent="0.35">
      <c r="A55" s="76" t="s">
        <v>132</v>
      </c>
      <c r="B55" s="77" t="s">
        <v>133</v>
      </c>
    </row>
    <row r="56" spans="1:2" x14ac:dyDescent="0.35">
      <c r="A56" s="76" t="s">
        <v>134</v>
      </c>
      <c r="B56" s="77" t="s">
        <v>135</v>
      </c>
    </row>
    <row r="57" spans="1:2" x14ac:dyDescent="0.35">
      <c r="A57" s="76" t="s">
        <v>136</v>
      </c>
      <c r="B57" s="77" t="s">
        <v>137</v>
      </c>
    </row>
    <row r="58" spans="1:2" x14ac:dyDescent="0.35">
      <c r="A58" s="76" t="s">
        <v>138</v>
      </c>
      <c r="B58" s="77" t="s">
        <v>139</v>
      </c>
    </row>
    <row r="59" spans="1:2" x14ac:dyDescent="0.35">
      <c r="A59" s="76" t="s">
        <v>140</v>
      </c>
      <c r="B59" s="77" t="s">
        <v>141</v>
      </c>
    </row>
    <row r="60" spans="1:2" x14ac:dyDescent="0.35">
      <c r="A60" s="76" t="s">
        <v>142</v>
      </c>
      <c r="B60" s="77" t="s">
        <v>143</v>
      </c>
    </row>
    <row r="61" spans="1:2" x14ac:dyDescent="0.35">
      <c r="A61" s="76" t="s">
        <v>144</v>
      </c>
      <c r="B61" s="77" t="s">
        <v>145</v>
      </c>
    </row>
    <row r="62" spans="1:2" x14ac:dyDescent="0.35">
      <c r="A62" s="76" t="s">
        <v>146</v>
      </c>
      <c r="B62" s="77" t="s">
        <v>147</v>
      </c>
    </row>
    <row r="63" spans="1:2" x14ac:dyDescent="0.35">
      <c r="A63" s="76" t="s">
        <v>148</v>
      </c>
      <c r="B63" s="77" t="s">
        <v>149</v>
      </c>
    </row>
    <row r="64" spans="1:2" x14ac:dyDescent="0.35">
      <c r="A64" s="76" t="s">
        <v>150</v>
      </c>
      <c r="B64" s="77" t="s">
        <v>151</v>
      </c>
    </row>
    <row r="65" spans="1:2" x14ac:dyDescent="0.35">
      <c r="A65" s="76" t="s">
        <v>152</v>
      </c>
      <c r="B65" s="77" t="s">
        <v>153</v>
      </c>
    </row>
    <row r="66" spans="1:2" x14ac:dyDescent="0.35">
      <c r="A66" s="76" t="s">
        <v>154</v>
      </c>
      <c r="B66" s="77" t="s">
        <v>155</v>
      </c>
    </row>
    <row r="67" spans="1:2" x14ac:dyDescent="0.35">
      <c r="A67" s="76" t="s">
        <v>156</v>
      </c>
      <c r="B67" s="77" t="s">
        <v>157</v>
      </c>
    </row>
    <row r="68" spans="1:2" x14ac:dyDescent="0.35">
      <c r="A68" s="76" t="s">
        <v>158</v>
      </c>
      <c r="B68" s="77" t="s">
        <v>159</v>
      </c>
    </row>
    <row r="69" spans="1:2" x14ac:dyDescent="0.35">
      <c r="A69" s="76" t="s">
        <v>160</v>
      </c>
      <c r="B69" s="77" t="s">
        <v>161</v>
      </c>
    </row>
    <row r="70" spans="1:2" x14ac:dyDescent="0.35">
      <c r="A70" s="76" t="s">
        <v>162</v>
      </c>
      <c r="B70" s="77" t="s">
        <v>163</v>
      </c>
    </row>
    <row r="71" spans="1:2" x14ac:dyDescent="0.35">
      <c r="A71" s="76" t="s">
        <v>164</v>
      </c>
      <c r="B71" s="77" t="s">
        <v>165</v>
      </c>
    </row>
    <row r="72" spans="1:2" x14ac:dyDescent="0.35">
      <c r="A72" s="76" t="s">
        <v>166</v>
      </c>
      <c r="B72" s="77" t="s">
        <v>167</v>
      </c>
    </row>
    <row r="73" spans="1:2" x14ac:dyDescent="0.35">
      <c r="A73" s="76" t="s">
        <v>168</v>
      </c>
      <c r="B73" s="77" t="s">
        <v>169</v>
      </c>
    </row>
    <row r="74" spans="1:2" x14ac:dyDescent="0.35">
      <c r="A74" s="76" t="s">
        <v>170</v>
      </c>
      <c r="B74" s="77" t="s">
        <v>171</v>
      </c>
    </row>
    <row r="75" spans="1:2" x14ac:dyDescent="0.35">
      <c r="A75" s="76" t="s">
        <v>172</v>
      </c>
      <c r="B75" s="78" t="s">
        <v>173</v>
      </c>
    </row>
    <row r="76" spans="1:2" x14ac:dyDescent="0.35">
      <c r="A76" s="76" t="s">
        <v>174</v>
      </c>
      <c r="B76" s="78" t="s">
        <v>175</v>
      </c>
    </row>
    <row r="77" spans="1:2" x14ac:dyDescent="0.35">
      <c r="A77" s="76" t="s">
        <v>176</v>
      </c>
      <c r="B77" s="78" t="s">
        <v>177</v>
      </c>
    </row>
    <row r="78" spans="1:2" x14ac:dyDescent="0.35">
      <c r="A78" s="76" t="s">
        <v>178</v>
      </c>
      <c r="B78" s="78" t="s">
        <v>179</v>
      </c>
    </row>
    <row r="79" spans="1:2" x14ac:dyDescent="0.35">
      <c r="A79" s="76" t="s">
        <v>180</v>
      </c>
      <c r="B79" s="78" t="s">
        <v>181</v>
      </c>
    </row>
    <row r="80" spans="1:2" x14ac:dyDescent="0.35">
      <c r="A80" s="76" t="s">
        <v>182</v>
      </c>
      <c r="B80" s="78" t="s">
        <v>183</v>
      </c>
    </row>
    <row r="81" spans="1:2" x14ac:dyDescent="0.35">
      <c r="A81" s="76" t="s">
        <v>184</v>
      </c>
      <c r="B81" s="78" t="s">
        <v>185</v>
      </c>
    </row>
    <row r="82" spans="1:2" x14ac:dyDescent="0.35">
      <c r="A82" s="76" t="s">
        <v>186</v>
      </c>
      <c r="B82" s="78" t="s">
        <v>187</v>
      </c>
    </row>
    <row r="83" spans="1:2" x14ac:dyDescent="0.35">
      <c r="A83" s="76" t="s">
        <v>188</v>
      </c>
      <c r="B83" s="78" t="s">
        <v>189</v>
      </c>
    </row>
    <row r="84" spans="1:2" x14ac:dyDescent="0.35">
      <c r="A84" s="76" t="s">
        <v>190</v>
      </c>
      <c r="B84" s="78" t="s">
        <v>191</v>
      </c>
    </row>
    <row r="85" spans="1:2" x14ac:dyDescent="0.35">
      <c r="A85" s="76" t="s">
        <v>192</v>
      </c>
      <c r="B85" s="78" t="s">
        <v>193</v>
      </c>
    </row>
    <row r="86" spans="1:2" x14ac:dyDescent="0.35">
      <c r="A86" s="76" t="s">
        <v>194</v>
      </c>
      <c r="B86" s="78" t="s">
        <v>195</v>
      </c>
    </row>
    <row r="87" spans="1:2" x14ac:dyDescent="0.35">
      <c r="A87" s="76" t="s">
        <v>196</v>
      </c>
      <c r="B87" s="78" t="s">
        <v>197</v>
      </c>
    </row>
    <row r="88" spans="1:2" x14ac:dyDescent="0.35">
      <c r="A88" s="76" t="s">
        <v>198</v>
      </c>
      <c r="B88" s="78" t="s">
        <v>199</v>
      </c>
    </row>
    <row r="89" spans="1:2" x14ac:dyDescent="0.35">
      <c r="A89" s="76" t="s">
        <v>200</v>
      </c>
      <c r="B89" s="78" t="s">
        <v>201</v>
      </c>
    </row>
    <row r="90" spans="1:2" x14ac:dyDescent="0.35">
      <c r="A90" s="76" t="s">
        <v>202</v>
      </c>
      <c r="B90" s="78" t="s">
        <v>203</v>
      </c>
    </row>
    <row r="91" spans="1:2" x14ac:dyDescent="0.35">
      <c r="A91" s="76" t="s">
        <v>204</v>
      </c>
      <c r="B91" s="78" t="s">
        <v>205</v>
      </c>
    </row>
    <row r="92" spans="1:2" x14ac:dyDescent="0.35">
      <c r="A92" s="76" t="s">
        <v>206</v>
      </c>
      <c r="B92" s="78" t="s">
        <v>207</v>
      </c>
    </row>
    <row r="93" spans="1:2" x14ac:dyDescent="0.35">
      <c r="A93" s="76" t="s">
        <v>208</v>
      </c>
      <c r="B93" s="78" t="s">
        <v>209</v>
      </c>
    </row>
    <row r="94" spans="1:2" x14ac:dyDescent="0.35">
      <c r="A94" s="76" t="s">
        <v>210</v>
      </c>
      <c r="B94" s="78" t="s">
        <v>211</v>
      </c>
    </row>
    <row r="95" spans="1:2" x14ac:dyDescent="0.35">
      <c r="A95" s="76" t="s">
        <v>212</v>
      </c>
      <c r="B95" s="78" t="s">
        <v>213</v>
      </c>
    </row>
    <row r="96" spans="1:2" x14ac:dyDescent="0.35">
      <c r="A96" s="76" t="s">
        <v>214</v>
      </c>
      <c r="B96" s="78" t="s">
        <v>215</v>
      </c>
    </row>
    <row r="97" spans="1:2" x14ac:dyDescent="0.35">
      <c r="A97" s="76" t="s">
        <v>216</v>
      </c>
      <c r="B97" s="78" t="s">
        <v>217</v>
      </c>
    </row>
    <row r="98" spans="1:2" x14ac:dyDescent="0.35">
      <c r="A98" s="76" t="s">
        <v>218</v>
      </c>
      <c r="B98" s="78" t="s">
        <v>219</v>
      </c>
    </row>
    <row r="99" spans="1:2" x14ac:dyDescent="0.35">
      <c r="A99" s="76" t="s">
        <v>220</v>
      </c>
      <c r="B99" s="78" t="s">
        <v>221</v>
      </c>
    </row>
    <row r="100" spans="1:2" x14ac:dyDescent="0.35">
      <c r="A100" s="76" t="s">
        <v>222</v>
      </c>
      <c r="B100" s="78" t="s">
        <v>223</v>
      </c>
    </row>
    <row r="101" spans="1:2" x14ac:dyDescent="0.35">
      <c r="A101" s="76" t="s">
        <v>224</v>
      </c>
      <c r="B101" s="78" t="s">
        <v>225</v>
      </c>
    </row>
    <row r="102" spans="1:2" x14ac:dyDescent="0.35">
      <c r="A102" s="76" t="s">
        <v>226</v>
      </c>
      <c r="B102" s="78" t="s">
        <v>227</v>
      </c>
    </row>
    <row r="103" spans="1:2" x14ac:dyDescent="0.35">
      <c r="A103" s="76" t="s">
        <v>228</v>
      </c>
      <c r="B103" s="78" t="s">
        <v>229</v>
      </c>
    </row>
    <row r="104" spans="1:2" x14ac:dyDescent="0.35">
      <c r="A104" s="76" t="s">
        <v>230</v>
      </c>
      <c r="B104" s="78" t="s">
        <v>231</v>
      </c>
    </row>
    <row r="105" spans="1:2" x14ac:dyDescent="0.35">
      <c r="A105" s="76" t="s">
        <v>232</v>
      </c>
      <c r="B105" s="78" t="s">
        <v>233</v>
      </c>
    </row>
    <row r="106" spans="1:2" x14ac:dyDescent="0.35">
      <c r="A106" s="76" t="s">
        <v>234</v>
      </c>
      <c r="B106" s="78" t="s">
        <v>235</v>
      </c>
    </row>
    <row r="107" spans="1:2" x14ac:dyDescent="0.35">
      <c r="A107" s="76" t="s">
        <v>236</v>
      </c>
      <c r="B107" s="78" t="s">
        <v>237</v>
      </c>
    </row>
    <row r="108" spans="1:2" x14ac:dyDescent="0.35">
      <c r="A108" s="76" t="s">
        <v>238</v>
      </c>
      <c r="B108" s="78" t="s">
        <v>239</v>
      </c>
    </row>
    <row r="109" spans="1:2" x14ac:dyDescent="0.35">
      <c r="A109" s="76" t="s">
        <v>240</v>
      </c>
      <c r="B109" s="78" t="s">
        <v>241</v>
      </c>
    </row>
    <row r="110" spans="1:2" x14ac:dyDescent="0.35">
      <c r="A110" s="76" t="s">
        <v>242</v>
      </c>
      <c r="B110" s="78" t="s">
        <v>243</v>
      </c>
    </row>
    <row r="111" spans="1:2" x14ac:dyDescent="0.35">
      <c r="A111" s="76" t="s">
        <v>244</v>
      </c>
      <c r="B111" s="78" t="s">
        <v>245</v>
      </c>
    </row>
    <row r="112" spans="1:2" x14ac:dyDescent="0.35">
      <c r="A112" s="76" t="s">
        <v>246</v>
      </c>
      <c r="B112" s="78" t="s">
        <v>247</v>
      </c>
    </row>
    <row r="113" spans="1:2" x14ac:dyDescent="0.35">
      <c r="A113" s="76" t="s">
        <v>248</v>
      </c>
      <c r="B113" s="78" t="s">
        <v>249</v>
      </c>
    </row>
    <row r="114" spans="1:2" x14ac:dyDescent="0.35">
      <c r="A114" s="76" t="s">
        <v>250</v>
      </c>
      <c r="B114" s="78" t="s">
        <v>251</v>
      </c>
    </row>
    <row r="115" spans="1:2" x14ac:dyDescent="0.35">
      <c r="A115" s="76" t="s">
        <v>252</v>
      </c>
      <c r="B115" s="78" t="s">
        <v>253</v>
      </c>
    </row>
    <row r="116" spans="1:2" x14ac:dyDescent="0.35">
      <c r="A116" s="76" t="s">
        <v>254</v>
      </c>
      <c r="B116" s="78" t="s">
        <v>255</v>
      </c>
    </row>
    <row r="117" spans="1:2" x14ac:dyDescent="0.35">
      <c r="A117" s="76" t="s">
        <v>256</v>
      </c>
      <c r="B117" s="78" t="s">
        <v>257</v>
      </c>
    </row>
    <row r="118" spans="1:2" x14ac:dyDescent="0.35">
      <c r="A118" s="76" t="s">
        <v>258</v>
      </c>
      <c r="B118" s="78" t="s">
        <v>259</v>
      </c>
    </row>
    <row r="119" spans="1:2" x14ac:dyDescent="0.35">
      <c r="A119" s="76" t="s">
        <v>260</v>
      </c>
      <c r="B119" s="78" t="s">
        <v>261</v>
      </c>
    </row>
    <row r="120" spans="1:2" x14ac:dyDescent="0.35">
      <c r="A120" s="76" t="s">
        <v>262</v>
      </c>
      <c r="B120" s="78" t="s">
        <v>263</v>
      </c>
    </row>
    <row r="121" spans="1:2" x14ac:dyDescent="0.35">
      <c r="A121" s="76" t="s">
        <v>264</v>
      </c>
      <c r="B121" s="78" t="s">
        <v>265</v>
      </c>
    </row>
    <row r="122" spans="1:2" x14ac:dyDescent="0.35">
      <c r="A122" s="76" t="s">
        <v>266</v>
      </c>
      <c r="B122" s="78" t="s">
        <v>267</v>
      </c>
    </row>
    <row r="123" spans="1:2" x14ac:dyDescent="0.35">
      <c r="A123" s="76" t="s">
        <v>268</v>
      </c>
      <c r="B123" s="78" t="s">
        <v>269</v>
      </c>
    </row>
    <row r="124" spans="1:2" x14ac:dyDescent="0.35">
      <c r="A124" s="76" t="s">
        <v>270</v>
      </c>
      <c r="B124" s="78" t="s">
        <v>271</v>
      </c>
    </row>
    <row r="125" spans="1:2" x14ac:dyDescent="0.35">
      <c r="A125" s="76" t="s">
        <v>272</v>
      </c>
      <c r="B125" s="78" t="s">
        <v>273</v>
      </c>
    </row>
    <row r="126" spans="1:2" x14ac:dyDescent="0.35">
      <c r="A126" s="76" t="s">
        <v>274</v>
      </c>
      <c r="B126" s="78" t="s">
        <v>275</v>
      </c>
    </row>
    <row r="127" spans="1:2" x14ac:dyDescent="0.35">
      <c r="A127" s="76" t="s">
        <v>276</v>
      </c>
      <c r="B127" s="78" t="s">
        <v>277</v>
      </c>
    </row>
    <row r="128" spans="1:2" x14ac:dyDescent="0.35">
      <c r="A128" s="76" t="s">
        <v>278</v>
      </c>
      <c r="B128" s="78" t="s">
        <v>279</v>
      </c>
    </row>
    <row r="129" spans="1:2" x14ac:dyDescent="0.35">
      <c r="A129" s="76" t="s">
        <v>280</v>
      </c>
      <c r="B129" s="78" t="s">
        <v>281</v>
      </c>
    </row>
    <row r="130" spans="1:2" x14ac:dyDescent="0.35">
      <c r="A130" s="76" t="s">
        <v>282</v>
      </c>
      <c r="B130" s="78" t="s">
        <v>283</v>
      </c>
    </row>
    <row r="131" spans="1:2" x14ac:dyDescent="0.35">
      <c r="A131" s="76" t="s">
        <v>284</v>
      </c>
      <c r="B131" s="78" t="s">
        <v>285</v>
      </c>
    </row>
    <row r="132" spans="1:2" x14ac:dyDescent="0.35">
      <c r="A132" s="76" t="s">
        <v>286</v>
      </c>
      <c r="B132" s="78" t="s">
        <v>287</v>
      </c>
    </row>
    <row r="133" spans="1:2" x14ac:dyDescent="0.35">
      <c r="A133" s="76" t="s">
        <v>288</v>
      </c>
      <c r="B133" s="78" t="s">
        <v>289</v>
      </c>
    </row>
    <row r="134" spans="1:2" x14ac:dyDescent="0.35">
      <c r="A134" s="76" t="s">
        <v>290</v>
      </c>
      <c r="B134" s="78" t="s">
        <v>291</v>
      </c>
    </row>
    <row r="135" spans="1:2" x14ac:dyDescent="0.35">
      <c r="A135" s="76" t="s">
        <v>292</v>
      </c>
      <c r="B135" s="78" t="s">
        <v>293</v>
      </c>
    </row>
    <row r="136" spans="1:2" x14ac:dyDescent="0.35">
      <c r="A136" s="76" t="s">
        <v>294</v>
      </c>
      <c r="B136" s="78" t="s">
        <v>295</v>
      </c>
    </row>
    <row r="137" spans="1:2" x14ac:dyDescent="0.35">
      <c r="A137" s="76" t="s">
        <v>296</v>
      </c>
      <c r="B137" s="78" t="s">
        <v>297</v>
      </c>
    </row>
    <row r="138" spans="1:2" x14ac:dyDescent="0.35">
      <c r="A138" s="76" t="s">
        <v>298</v>
      </c>
      <c r="B138" s="78" t="s">
        <v>299</v>
      </c>
    </row>
    <row r="139" spans="1:2" x14ac:dyDescent="0.35">
      <c r="A139" s="76" t="s">
        <v>300</v>
      </c>
      <c r="B139" s="78" t="s">
        <v>301</v>
      </c>
    </row>
    <row r="140" spans="1:2" x14ac:dyDescent="0.35">
      <c r="A140" s="76" t="s">
        <v>302</v>
      </c>
      <c r="B140" s="78" t="s">
        <v>303</v>
      </c>
    </row>
    <row r="141" spans="1:2" x14ac:dyDescent="0.35">
      <c r="A141" s="76" t="s">
        <v>304</v>
      </c>
      <c r="B141" s="78" t="s">
        <v>305</v>
      </c>
    </row>
    <row r="142" spans="1:2" x14ac:dyDescent="0.35">
      <c r="A142" s="76" t="s">
        <v>306</v>
      </c>
      <c r="B142" s="78" t="s">
        <v>307</v>
      </c>
    </row>
    <row r="143" spans="1:2" x14ac:dyDescent="0.35">
      <c r="A143" s="76" t="s">
        <v>308</v>
      </c>
      <c r="B143" s="78" t="s">
        <v>309</v>
      </c>
    </row>
    <row r="144" spans="1:2" x14ac:dyDescent="0.35">
      <c r="A144" s="76" t="s">
        <v>310</v>
      </c>
      <c r="B144" s="78" t="s">
        <v>311</v>
      </c>
    </row>
    <row r="145" spans="1:2" x14ac:dyDescent="0.35">
      <c r="A145" s="76" t="s">
        <v>312</v>
      </c>
      <c r="B145" s="78" t="s">
        <v>313</v>
      </c>
    </row>
    <row r="146" spans="1:2" x14ac:dyDescent="0.35">
      <c r="A146" s="76" t="s">
        <v>314</v>
      </c>
      <c r="B146" s="78" t="s">
        <v>315</v>
      </c>
    </row>
    <row r="147" spans="1:2" x14ac:dyDescent="0.35">
      <c r="A147" s="76" t="s">
        <v>316</v>
      </c>
      <c r="B147" s="78" t="s">
        <v>317</v>
      </c>
    </row>
    <row r="148" spans="1:2" x14ac:dyDescent="0.35">
      <c r="A148" s="76" t="s">
        <v>318</v>
      </c>
      <c r="B148" s="78" t="s">
        <v>319</v>
      </c>
    </row>
    <row r="149" spans="1:2" x14ac:dyDescent="0.35">
      <c r="A149" s="76" t="s">
        <v>320</v>
      </c>
      <c r="B149" s="78" t="s">
        <v>321</v>
      </c>
    </row>
    <row r="150" spans="1:2" x14ac:dyDescent="0.35">
      <c r="A150" s="76" t="s">
        <v>322</v>
      </c>
      <c r="B150" s="78" t="s">
        <v>323</v>
      </c>
    </row>
    <row r="151" spans="1:2" x14ac:dyDescent="0.35">
      <c r="A151" s="76" t="s">
        <v>324</v>
      </c>
      <c r="B151" s="78" t="s">
        <v>325</v>
      </c>
    </row>
    <row r="152" spans="1:2" x14ac:dyDescent="0.35">
      <c r="A152" s="76" t="s">
        <v>326</v>
      </c>
      <c r="B152" s="78" t="s">
        <v>327</v>
      </c>
    </row>
    <row r="153" spans="1:2" x14ac:dyDescent="0.35">
      <c r="A153" s="76" t="s">
        <v>328</v>
      </c>
      <c r="B153" s="78" t="s">
        <v>329</v>
      </c>
    </row>
    <row r="154" spans="1:2" x14ac:dyDescent="0.35">
      <c r="A154" s="76" t="s">
        <v>330</v>
      </c>
      <c r="B154" s="78" t="s">
        <v>331</v>
      </c>
    </row>
    <row r="155" spans="1:2" x14ac:dyDescent="0.35">
      <c r="A155" s="76" t="s">
        <v>332</v>
      </c>
      <c r="B155" s="78" t="s">
        <v>333</v>
      </c>
    </row>
    <row r="156" spans="1:2" x14ac:dyDescent="0.35">
      <c r="A156" s="76" t="s">
        <v>334</v>
      </c>
      <c r="B156" s="78" t="s">
        <v>335</v>
      </c>
    </row>
    <row r="157" spans="1:2" x14ac:dyDescent="0.35">
      <c r="A157" s="76" t="s">
        <v>336</v>
      </c>
      <c r="B157" s="78" t="s">
        <v>337</v>
      </c>
    </row>
    <row r="158" spans="1:2" x14ac:dyDescent="0.35">
      <c r="A158" s="76" t="s">
        <v>338</v>
      </c>
      <c r="B158" s="78" t="s">
        <v>339</v>
      </c>
    </row>
    <row r="159" spans="1:2" x14ac:dyDescent="0.35">
      <c r="A159" s="76" t="s">
        <v>340</v>
      </c>
      <c r="B159" s="78" t="s">
        <v>341</v>
      </c>
    </row>
    <row r="160" spans="1:2" x14ac:dyDescent="0.35">
      <c r="A160" s="76" t="s">
        <v>342</v>
      </c>
      <c r="B160" s="78" t="s">
        <v>343</v>
      </c>
    </row>
    <row r="161" spans="1:2" x14ac:dyDescent="0.35">
      <c r="A161" s="76" t="s">
        <v>344</v>
      </c>
      <c r="B161" s="78" t="s">
        <v>345</v>
      </c>
    </row>
    <row r="162" spans="1:2" x14ac:dyDescent="0.35">
      <c r="A162" s="76" t="s">
        <v>346</v>
      </c>
      <c r="B162" s="78" t="s">
        <v>347</v>
      </c>
    </row>
    <row r="163" spans="1:2" x14ac:dyDescent="0.35">
      <c r="A163" s="76" t="s">
        <v>348</v>
      </c>
      <c r="B163" s="78" t="s">
        <v>349</v>
      </c>
    </row>
    <row r="164" spans="1:2" x14ac:dyDescent="0.35">
      <c r="A164" s="76" t="s">
        <v>350</v>
      </c>
      <c r="B164" s="78" t="s">
        <v>351</v>
      </c>
    </row>
    <row r="165" spans="1:2" x14ac:dyDescent="0.35">
      <c r="A165" s="76" t="s">
        <v>352</v>
      </c>
      <c r="B165" s="78" t="s">
        <v>353</v>
      </c>
    </row>
    <row r="166" spans="1:2" x14ac:dyDescent="0.35">
      <c r="A166" s="76" t="s">
        <v>354</v>
      </c>
      <c r="B166" s="78" t="s">
        <v>355</v>
      </c>
    </row>
    <row r="167" spans="1:2" x14ac:dyDescent="0.35">
      <c r="A167" s="76" t="s">
        <v>356</v>
      </c>
      <c r="B167" s="78" t="s">
        <v>357</v>
      </c>
    </row>
    <row r="168" spans="1:2" x14ac:dyDescent="0.35">
      <c r="A168" s="76" t="s">
        <v>358</v>
      </c>
      <c r="B168" s="78" t="s">
        <v>359</v>
      </c>
    </row>
    <row r="169" spans="1:2" x14ac:dyDescent="0.35">
      <c r="A169" s="76" t="s">
        <v>360</v>
      </c>
      <c r="B169" s="78" t="s">
        <v>361</v>
      </c>
    </row>
    <row r="170" spans="1:2" x14ac:dyDescent="0.35">
      <c r="A170" s="76" t="s">
        <v>362</v>
      </c>
      <c r="B170" s="78" t="s">
        <v>363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9"/>
  <sheetViews>
    <sheetView topLeftCell="A39" workbookViewId="0">
      <selection activeCell="D62" sqref="D62"/>
    </sheetView>
  </sheetViews>
  <sheetFormatPr defaultColWidth="11.453125" defaultRowHeight="14.5" x14ac:dyDescent="0.35"/>
  <cols>
    <col min="1" max="1" width="15.81640625" style="255" customWidth="1"/>
    <col min="2" max="2" width="14.453125" style="255" customWidth="1"/>
    <col min="3" max="3" width="60.453125" style="254" customWidth="1"/>
    <col min="4" max="4" width="14.453125" style="254" bestFit="1" customWidth="1"/>
    <col min="5" max="5" width="14.453125" style="254" customWidth="1"/>
    <col min="6" max="6" width="13.453125" style="257" customWidth="1"/>
    <col min="7" max="7" width="12.1796875" style="320" customWidth="1"/>
    <col min="8" max="16384" width="11.453125" style="254"/>
  </cols>
  <sheetData>
    <row r="1" spans="1:8" x14ac:dyDescent="0.35">
      <c r="A1" s="254"/>
      <c r="B1" s="744" t="s">
        <v>659</v>
      </c>
      <c r="C1" s="744"/>
      <c r="D1" s="744"/>
      <c r="E1" s="744"/>
      <c r="F1" s="744"/>
      <c r="G1" s="744"/>
    </row>
    <row r="3" spans="1:8" x14ac:dyDescent="0.35">
      <c r="A3" s="255" t="s">
        <v>771</v>
      </c>
      <c r="B3" s="255" t="s">
        <v>771</v>
      </c>
      <c r="C3" s="256" t="s">
        <v>772</v>
      </c>
      <c r="G3" s="258">
        <v>590.40039999999999</v>
      </c>
    </row>
    <row r="6" spans="1:8" ht="59.25" customHeight="1" x14ac:dyDescent="0.35">
      <c r="A6" s="151" t="s">
        <v>665</v>
      </c>
      <c r="B6" s="151" t="s">
        <v>667</v>
      </c>
      <c r="C6" s="151" t="s">
        <v>668</v>
      </c>
      <c r="D6" s="151" t="s">
        <v>670</v>
      </c>
      <c r="E6" s="151" t="s">
        <v>671</v>
      </c>
      <c r="F6" s="259" t="s">
        <v>672</v>
      </c>
      <c r="G6" s="259" t="s">
        <v>673</v>
      </c>
    </row>
    <row r="7" spans="1:8" ht="15" x14ac:dyDescent="0.35">
      <c r="A7" s="260"/>
      <c r="B7" s="261"/>
      <c r="C7" s="262"/>
      <c r="D7" s="263"/>
      <c r="E7" s="263"/>
      <c r="F7" s="264"/>
      <c r="G7" s="265"/>
    </row>
    <row r="8" spans="1:8" ht="15.5" x14ac:dyDescent="0.35">
      <c r="A8" s="738">
        <v>1</v>
      </c>
      <c r="B8" s="266"/>
      <c r="C8" s="267" t="s">
        <v>879</v>
      </c>
      <c r="D8" s="268"/>
      <c r="E8" s="268"/>
      <c r="F8" s="269"/>
      <c r="G8" s="270">
        <v>0</v>
      </c>
    </row>
    <row r="9" spans="1:8" ht="12.75" customHeight="1" x14ac:dyDescent="0.35">
      <c r="A9" s="739"/>
      <c r="B9" s="271">
        <v>5156</v>
      </c>
      <c r="C9" s="272" t="s">
        <v>774</v>
      </c>
      <c r="D9" s="273">
        <v>1</v>
      </c>
      <c r="E9" s="273">
        <v>0</v>
      </c>
      <c r="F9" s="273">
        <v>0</v>
      </c>
      <c r="G9" s="274">
        <f>E9*D9*F9</f>
        <v>0</v>
      </c>
    </row>
    <row r="10" spans="1:8" s="276" customFormat="1" ht="12.75" customHeight="1" x14ac:dyDescent="0.35">
      <c r="A10" s="739"/>
      <c r="B10" s="174">
        <v>5156</v>
      </c>
      <c r="C10" s="176" t="s">
        <v>688</v>
      </c>
      <c r="D10" s="275">
        <v>1</v>
      </c>
      <c r="E10" s="275">
        <f>E9</f>
        <v>0</v>
      </c>
      <c r="F10" s="275">
        <v>267</v>
      </c>
      <c r="G10" s="275"/>
    </row>
    <row r="11" spans="1:8" ht="12.75" customHeight="1" x14ac:dyDescent="0.35">
      <c r="A11" s="738" t="s">
        <v>675</v>
      </c>
      <c r="B11" s="266">
        <v>5013</v>
      </c>
      <c r="C11" s="267" t="s">
        <v>775</v>
      </c>
      <c r="D11" s="277"/>
      <c r="E11" s="277"/>
      <c r="F11" s="277"/>
      <c r="G11" s="277">
        <f>SUM(G12:G18)</f>
        <v>50000</v>
      </c>
    </row>
    <row r="12" spans="1:8" ht="12.75" customHeight="1" x14ac:dyDescent="0.35">
      <c r="A12" s="739"/>
      <c r="B12" s="271">
        <v>5542</v>
      </c>
      <c r="C12" s="272" t="s">
        <v>776</v>
      </c>
      <c r="D12" s="273">
        <v>1</v>
      </c>
      <c r="E12" s="273">
        <v>1</v>
      </c>
      <c r="F12" s="273">
        <v>9838</v>
      </c>
      <c r="G12" s="278">
        <f>E12*D12*F12</f>
        <v>9838</v>
      </c>
    </row>
    <row r="13" spans="1:8" ht="12.75" customHeight="1" x14ac:dyDescent="0.35">
      <c r="A13" s="739"/>
      <c r="B13" s="271">
        <v>5551</v>
      </c>
      <c r="C13" s="272" t="s">
        <v>777</v>
      </c>
      <c r="D13" s="273">
        <v>1</v>
      </c>
      <c r="E13" s="273">
        <v>6</v>
      </c>
      <c r="F13" s="273">
        <v>2500</v>
      </c>
      <c r="G13" s="278">
        <f>E13*D13*F13</f>
        <v>15000</v>
      </c>
    </row>
    <row r="14" spans="1:8" ht="12.75" customHeight="1" x14ac:dyDescent="0.35">
      <c r="A14" s="739"/>
      <c r="B14" s="271">
        <v>5551</v>
      </c>
      <c r="C14" s="272" t="s">
        <v>778</v>
      </c>
      <c r="D14" s="273">
        <v>1</v>
      </c>
      <c r="E14" s="273">
        <v>6</v>
      </c>
      <c r="F14" s="273">
        <v>2500</v>
      </c>
      <c r="G14" s="278">
        <f>E14*D14*F14</f>
        <v>15000</v>
      </c>
      <c r="H14" s="279"/>
    </row>
    <row r="15" spans="1:8" ht="12.75" customHeight="1" x14ac:dyDescent="0.35">
      <c r="A15" s="739"/>
      <c r="B15" s="271">
        <v>5551</v>
      </c>
      <c r="C15" s="272" t="s">
        <v>779</v>
      </c>
      <c r="D15" s="273">
        <v>1</v>
      </c>
      <c r="E15" s="273">
        <v>6</v>
      </c>
      <c r="F15" s="273">
        <v>950</v>
      </c>
      <c r="G15" s="278">
        <f>E15*D15*F15</f>
        <v>5700</v>
      </c>
      <c r="H15" s="279"/>
    </row>
    <row r="16" spans="1:8" ht="12.75" customHeight="1" x14ac:dyDescent="0.35">
      <c r="A16" s="739"/>
      <c r="B16" s="271">
        <v>5551</v>
      </c>
      <c r="C16" s="272" t="s">
        <v>780</v>
      </c>
      <c r="D16" s="273">
        <v>1</v>
      </c>
      <c r="E16" s="273">
        <v>6</v>
      </c>
      <c r="F16" s="273">
        <v>600</v>
      </c>
      <c r="G16" s="278">
        <f>E16*D16*F16</f>
        <v>3600</v>
      </c>
    </row>
    <row r="17" spans="1:9" ht="12.75" customHeight="1" x14ac:dyDescent="0.35">
      <c r="A17" s="739"/>
      <c r="B17" s="280">
        <v>5556</v>
      </c>
      <c r="C17" s="281" t="s">
        <v>781</v>
      </c>
      <c r="D17" s="282">
        <v>1</v>
      </c>
      <c r="E17" s="282">
        <f>E12*D12</f>
        <v>1</v>
      </c>
      <c r="F17" s="282">
        <v>187</v>
      </c>
      <c r="G17" s="283">
        <f>+F17*E17</f>
        <v>187</v>
      </c>
    </row>
    <row r="18" spans="1:9" ht="12.75" customHeight="1" x14ac:dyDescent="0.35">
      <c r="A18" s="745"/>
      <c r="B18" s="280">
        <v>5543</v>
      </c>
      <c r="C18" s="281" t="s">
        <v>782</v>
      </c>
      <c r="D18" s="282"/>
      <c r="E18" s="282">
        <f>+E12*D12+E13*D13+E14*D14+E15*D15+E16*D16</f>
        <v>25</v>
      </c>
      <c r="F18" s="282">
        <v>27</v>
      </c>
      <c r="G18" s="283">
        <f>+F18*E18</f>
        <v>675</v>
      </c>
    </row>
    <row r="19" spans="1:9" ht="12.75" customHeight="1" x14ac:dyDescent="0.35">
      <c r="A19" s="728" t="s">
        <v>783</v>
      </c>
      <c r="B19" s="284"/>
      <c r="C19" s="267" t="s">
        <v>784</v>
      </c>
      <c r="D19" s="285"/>
      <c r="E19" s="285"/>
      <c r="F19" s="285"/>
      <c r="G19" s="286">
        <f>SUM(G20:G23)</f>
        <v>45000</v>
      </c>
    </row>
    <row r="20" spans="1:9" ht="12.75" customHeight="1" x14ac:dyDescent="0.35">
      <c r="A20" s="728"/>
      <c r="B20" s="271">
        <v>5921</v>
      </c>
      <c r="C20" s="287" t="s">
        <v>785</v>
      </c>
      <c r="D20" s="288">
        <v>1</v>
      </c>
      <c r="E20" s="288"/>
      <c r="F20" s="273">
        <v>15000</v>
      </c>
      <c r="G20" s="278">
        <f>D20*F20</f>
        <v>15000</v>
      </c>
    </row>
    <row r="21" spans="1:9" ht="12.75" customHeight="1" x14ac:dyDescent="0.35">
      <c r="A21" s="728"/>
      <c r="B21" s="271">
        <v>5934</v>
      </c>
      <c r="C21" s="289" t="s">
        <v>786</v>
      </c>
      <c r="D21" s="288">
        <v>2</v>
      </c>
      <c r="E21" s="288"/>
      <c r="F21" s="273">
        <v>7500</v>
      </c>
      <c r="G21" s="278">
        <f>D21*F21</f>
        <v>15000</v>
      </c>
    </row>
    <row r="22" spans="1:9" ht="12.75" customHeight="1" x14ac:dyDescent="0.35">
      <c r="A22" s="728"/>
      <c r="B22" s="271">
        <v>5940</v>
      </c>
      <c r="C22" s="287" t="s">
        <v>787</v>
      </c>
      <c r="D22" s="288">
        <v>1</v>
      </c>
      <c r="E22" s="288"/>
      <c r="F22" s="273">
        <v>14824</v>
      </c>
      <c r="G22" s="278">
        <f>D22*F22</f>
        <v>14824</v>
      </c>
    </row>
    <row r="23" spans="1:9" ht="12.75" customHeight="1" x14ac:dyDescent="0.35">
      <c r="A23" s="728"/>
      <c r="B23" s="280">
        <v>5921</v>
      </c>
      <c r="C23" s="281" t="s">
        <v>788</v>
      </c>
      <c r="D23" s="282">
        <f>SUM(D20:D22)</f>
        <v>4</v>
      </c>
      <c r="E23" s="282"/>
      <c r="F23" s="282">
        <v>44</v>
      </c>
      <c r="G23" s="290">
        <f>+F23*D23</f>
        <v>176</v>
      </c>
    </row>
    <row r="24" spans="1:9" ht="12.75" customHeight="1" x14ac:dyDescent="0.35">
      <c r="A24" s="746" t="s">
        <v>713</v>
      </c>
      <c r="B24" s="291">
        <v>5025</v>
      </c>
      <c r="C24" s="292" t="s">
        <v>789</v>
      </c>
      <c r="D24" s="293"/>
      <c r="E24" s="293"/>
      <c r="F24" s="293"/>
      <c r="G24" s="294">
        <f>SUM(G25:G26)</f>
        <v>0</v>
      </c>
    </row>
    <row r="25" spans="1:9" ht="12.75" customHeight="1" x14ac:dyDescent="0.35">
      <c r="A25" s="747"/>
      <c r="B25" s="271"/>
      <c r="C25" s="295"/>
      <c r="D25" s="296"/>
      <c r="E25" s="296"/>
      <c r="F25" s="296"/>
      <c r="G25" s="278"/>
    </row>
    <row r="26" spans="1:9" ht="12.75" customHeight="1" x14ac:dyDescent="0.35">
      <c r="A26" s="747"/>
      <c r="B26" s="280">
        <v>6011</v>
      </c>
      <c r="C26" s="281" t="s">
        <v>790</v>
      </c>
      <c r="D26" s="282">
        <v>0</v>
      </c>
      <c r="E26" s="282"/>
      <c r="F26" s="282">
        <v>44</v>
      </c>
      <c r="G26" s="290">
        <f>D26*F402</f>
        <v>0</v>
      </c>
    </row>
    <row r="27" spans="1:9" ht="37.5" customHeight="1" x14ac:dyDescent="0.35">
      <c r="A27" s="728" t="s">
        <v>719</v>
      </c>
      <c r="B27" s="297"/>
      <c r="C27" s="267" t="s">
        <v>791</v>
      </c>
      <c r="D27" s="277"/>
      <c r="E27" s="277"/>
      <c r="F27" s="277"/>
      <c r="G27" s="270">
        <f>G28+G29+G30</f>
        <v>185000</v>
      </c>
      <c r="H27" s="279"/>
    </row>
    <row r="28" spans="1:9" ht="12.75" customHeight="1" x14ac:dyDescent="0.35">
      <c r="A28" s="728"/>
      <c r="B28" s="271"/>
      <c r="C28" s="272" t="s">
        <v>792</v>
      </c>
      <c r="D28" s="288">
        <v>5</v>
      </c>
      <c r="E28" s="273"/>
      <c r="F28" s="273">
        <v>30000</v>
      </c>
      <c r="G28" s="278">
        <f>D28*F28</f>
        <v>150000</v>
      </c>
      <c r="H28" s="279"/>
    </row>
    <row r="29" spans="1:9" ht="12.75" customHeight="1" x14ac:dyDescent="0.35">
      <c r="A29" s="728"/>
      <c r="B29" s="271"/>
      <c r="C29" s="272" t="s">
        <v>793</v>
      </c>
      <c r="D29" s="288">
        <v>2</v>
      </c>
      <c r="E29" s="273"/>
      <c r="F29" s="273">
        <v>17150</v>
      </c>
      <c r="G29" s="278">
        <f>D29*F29</f>
        <v>34300</v>
      </c>
      <c r="H29" s="279"/>
      <c r="I29" s="279"/>
    </row>
    <row r="30" spans="1:9" ht="12.75" customHeight="1" x14ac:dyDescent="0.35">
      <c r="A30" s="728"/>
      <c r="B30" s="280">
        <v>5586</v>
      </c>
      <c r="C30" s="281" t="s">
        <v>794</v>
      </c>
      <c r="D30" s="282">
        <f>SUM(D28:D29)</f>
        <v>7</v>
      </c>
      <c r="E30" s="282"/>
      <c r="F30" s="282">
        <v>100</v>
      </c>
      <c r="G30" s="290">
        <f>D30*F30</f>
        <v>700</v>
      </c>
    </row>
    <row r="31" spans="1:9" ht="12.75" customHeight="1" x14ac:dyDescent="0.35">
      <c r="A31" s="728" t="s">
        <v>6</v>
      </c>
      <c r="B31" s="266">
        <v>5021</v>
      </c>
      <c r="C31" s="267" t="s">
        <v>729</v>
      </c>
      <c r="D31" s="277"/>
      <c r="E31" s="277"/>
      <c r="F31" s="277"/>
      <c r="G31" s="270">
        <f>+SUM(G32:G33)</f>
        <v>21894</v>
      </c>
    </row>
    <row r="32" spans="1:9" ht="12.75" customHeight="1" x14ac:dyDescent="0.35">
      <c r="A32" s="728"/>
      <c r="B32" s="271">
        <v>5696</v>
      </c>
      <c r="C32" s="272" t="s">
        <v>795</v>
      </c>
      <c r="D32" s="288">
        <v>12</v>
      </c>
      <c r="E32" s="273"/>
      <c r="F32" s="273">
        <v>1780.5</v>
      </c>
      <c r="G32" s="278">
        <f>D32*F32</f>
        <v>21366</v>
      </c>
    </row>
    <row r="33" spans="1:8" ht="12.75" customHeight="1" x14ac:dyDescent="0.35">
      <c r="A33" s="728"/>
      <c r="B33" s="280">
        <v>5696</v>
      </c>
      <c r="C33" s="281" t="s">
        <v>796</v>
      </c>
      <c r="D33" s="282">
        <v>12</v>
      </c>
      <c r="E33" s="282"/>
      <c r="F33" s="282">
        <v>44</v>
      </c>
      <c r="G33" s="290">
        <f>D33*F33</f>
        <v>528</v>
      </c>
    </row>
    <row r="34" spans="1:8" s="298" customFormat="1" ht="12.75" customHeight="1" x14ac:dyDescent="0.35">
      <c r="A34" s="734" t="s">
        <v>4</v>
      </c>
      <c r="B34" s="297">
        <v>5014</v>
      </c>
      <c r="C34" s="267" t="s">
        <v>797</v>
      </c>
      <c r="D34" s="277"/>
      <c r="E34" s="277"/>
      <c r="F34" s="277"/>
      <c r="G34" s="270">
        <f>+SUM(G35:G39)</f>
        <v>76700</v>
      </c>
    </row>
    <row r="35" spans="1:8" ht="26.25" customHeight="1" x14ac:dyDescent="0.35">
      <c r="A35" s="735"/>
      <c r="B35" s="271">
        <v>5577</v>
      </c>
      <c r="C35" s="299" t="s">
        <v>798</v>
      </c>
      <c r="D35" s="288">
        <v>2</v>
      </c>
      <c r="E35" s="273" t="s">
        <v>799</v>
      </c>
      <c r="F35" s="273">
        <v>5250</v>
      </c>
      <c r="G35" s="278">
        <f t="shared" ref="G35:G39" si="0">D35*F35</f>
        <v>10500</v>
      </c>
    </row>
    <row r="36" spans="1:8" ht="30" customHeight="1" x14ac:dyDescent="0.35">
      <c r="A36" s="735"/>
      <c r="B36" s="271"/>
      <c r="C36" s="145" t="s">
        <v>800</v>
      </c>
      <c r="D36" s="288">
        <v>5</v>
      </c>
      <c r="E36" s="273"/>
      <c r="F36" s="273">
        <v>6000</v>
      </c>
      <c r="G36" s="278">
        <f t="shared" si="0"/>
        <v>30000</v>
      </c>
    </row>
    <row r="37" spans="1:8" ht="30.75" customHeight="1" x14ac:dyDescent="0.35">
      <c r="A37" s="736"/>
      <c r="B37" s="271"/>
      <c r="C37" s="299" t="s">
        <v>801</v>
      </c>
      <c r="D37" s="288">
        <v>2</v>
      </c>
      <c r="E37" s="273"/>
      <c r="F37" s="273">
        <v>10500</v>
      </c>
      <c r="G37" s="278">
        <f t="shared" si="0"/>
        <v>21000</v>
      </c>
    </row>
    <row r="38" spans="1:8" ht="45" customHeight="1" x14ac:dyDescent="0.35">
      <c r="A38" s="736"/>
      <c r="B38" s="271"/>
      <c r="C38" s="299" t="s">
        <v>802</v>
      </c>
      <c r="D38" s="288">
        <v>2</v>
      </c>
      <c r="E38" s="273"/>
      <c r="F38" s="273">
        <v>7050</v>
      </c>
      <c r="G38" s="278">
        <f t="shared" si="0"/>
        <v>14100</v>
      </c>
    </row>
    <row r="39" spans="1:8" ht="45" customHeight="1" x14ac:dyDescent="0.35">
      <c r="A39" s="737"/>
      <c r="B39" s="271"/>
      <c r="C39" s="281" t="s">
        <v>794</v>
      </c>
      <c r="D39" s="282">
        <f>SUM(D35:D38)</f>
        <v>11</v>
      </c>
      <c r="E39" s="273"/>
      <c r="F39" s="282">
        <v>100</v>
      </c>
      <c r="G39" s="290">
        <f t="shared" si="0"/>
        <v>1100</v>
      </c>
    </row>
    <row r="40" spans="1:8" ht="12.75" customHeight="1" x14ac:dyDescent="0.35">
      <c r="A40" s="738" t="s">
        <v>739</v>
      </c>
      <c r="B40" s="300"/>
      <c r="C40" s="292" t="s">
        <v>803</v>
      </c>
      <c r="D40" s="293"/>
      <c r="E40" s="293"/>
      <c r="F40" s="293"/>
      <c r="G40" s="294">
        <f>G42+G46+G50</f>
        <v>41967</v>
      </c>
    </row>
    <row r="41" spans="1:8" ht="35.25" customHeight="1" x14ac:dyDescent="0.35">
      <c r="A41" s="739"/>
      <c r="B41" s="301">
        <v>5902</v>
      </c>
      <c r="C41" s="281" t="s">
        <v>804</v>
      </c>
      <c r="D41" s="282"/>
      <c r="E41" s="282"/>
      <c r="F41" s="282">
        <v>44</v>
      </c>
      <c r="G41" s="290">
        <f>+D41*F41</f>
        <v>0</v>
      </c>
    </row>
    <row r="42" spans="1:8" ht="35.25" customHeight="1" x14ac:dyDescent="0.35">
      <c r="A42" s="739"/>
      <c r="B42" s="300">
        <v>5027</v>
      </c>
      <c r="C42" s="292" t="s">
        <v>743</v>
      </c>
      <c r="D42" s="293"/>
      <c r="E42" s="293"/>
      <c r="F42" s="293"/>
      <c r="G42" s="294">
        <f>G44+G43+G45</f>
        <v>23072</v>
      </c>
    </row>
    <row r="43" spans="1:8" ht="12.75" customHeight="1" x14ac:dyDescent="0.35">
      <c r="A43" s="740"/>
      <c r="B43" s="302">
        <v>6120</v>
      </c>
      <c r="C43" s="303" t="s">
        <v>805</v>
      </c>
      <c r="D43" s="288"/>
      <c r="E43" s="288"/>
      <c r="F43" s="288">
        <v>3072</v>
      </c>
      <c r="G43" s="278">
        <f>F43</f>
        <v>3072</v>
      </c>
      <c r="H43" s="279"/>
    </row>
    <row r="44" spans="1:8" ht="12.75" customHeight="1" x14ac:dyDescent="0.35">
      <c r="A44" s="740"/>
      <c r="B44" s="302">
        <v>6120</v>
      </c>
      <c r="C44" s="303" t="s">
        <v>806</v>
      </c>
      <c r="D44" s="288"/>
      <c r="E44" s="288"/>
      <c r="F44" s="288">
        <v>3333</v>
      </c>
      <c r="G44" s="278">
        <f>F44</f>
        <v>3333</v>
      </c>
    </row>
    <row r="45" spans="1:8" ht="12.75" customHeight="1" x14ac:dyDescent="0.35">
      <c r="A45" s="740"/>
      <c r="B45" s="304">
        <v>6116</v>
      </c>
      <c r="C45" s="281" t="s">
        <v>807</v>
      </c>
      <c r="D45" s="305"/>
      <c r="E45" s="305"/>
      <c r="F45" s="305">
        <v>16667</v>
      </c>
      <c r="G45" s="306">
        <f>F45</f>
        <v>16667</v>
      </c>
    </row>
    <row r="46" spans="1:8" ht="12.75" customHeight="1" x14ac:dyDescent="0.35">
      <c r="A46" s="740"/>
      <c r="B46" s="300">
        <v>5028</v>
      </c>
      <c r="C46" s="292" t="s">
        <v>751</v>
      </c>
      <c r="D46" s="293"/>
      <c r="E46" s="293"/>
      <c r="F46" s="293"/>
      <c r="G46" s="294">
        <f>+G47+G48+G49</f>
        <v>10522</v>
      </c>
      <c r="H46" s="279"/>
    </row>
    <row r="47" spans="1:8" ht="12.75" customHeight="1" x14ac:dyDescent="0.35">
      <c r="A47" s="740"/>
      <c r="B47" s="302">
        <v>6177</v>
      </c>
      <c r="C47" s="289" t="s">
        <v>808</v>
      </c>
      <c r="D47" s="307"/>
      <c r="E47" s="307"/>
      <c r="F47" s="307"/>
      <c r="G47" s="278">
        <v>9002</v>
      </c>
      <c r="H47" s="279"/>
    </row>
    <row r="48" spans="1:8" ht="12.75" customHeight="1" x14ac:dyDescent="0.35">
      <c r="A48" s="740"/>
      <c r="B48" s="301">
        <v>6207</v>
      </c>
      <c r="C48" s="281" t="s">
        <v>809</v>
      </c>
      <c r="D48" s="282"/>
      <c r="E48" s="282">
        <f>E10+E17+E18</f>
        <v>26</v>
      </c>
      <c r="F48" s="282">
        <v>50</v>
      </c>
      <c r="G48" s="290">
        <f>+F48*E48</f>
        <v>1300</v>
      </c>
      <c r="H48" s="279"/>
    </row>
    <row r="49" spans="1:8" ht="12.75" customHeight="1" x14ac:dyDescent="0.35">
      <c r="A49" s="740"/>
      <c r="B49" s="301">
        <v>6177</v>
      </c>
      <c r="C49" s="281" t="s">
        <v>810</v>
      </c>
      <c r="D49" s="282">
        <v>5</v>
      </c>
      <c r="E49" s="282"/>
      <c r="F49" s="282">
        <v>44</v>
      </c>
      <c r="G49" s="290">
        <f>+D49*F49</f>
        <v>220</v>
      </c>
    </row>
    <row r="50" spans="1:8" ht="12.75" customHeight="1" x14ac:dyDescent="0.35">
      <c r="A50" s="740"/>
      <c r="B50" s="300">
        <v>5050</v>
      </c>
      <c r="C50" s="292" t="s">
        <v>762</v>
      </c>
      <c r="D50" s="293"/>
      <c r="E50" s="293"/>
      <c r="F50" s="293"/>
      <c r="G50" s="294">
        <f>+G51+G52</f>
        <v>8373</v>
      </c>
    </row>
    <row r="51" spans="1:8" ht="12.75" customHeight="1" x14ac:dyDescent="0.35">
      <c r="A51" s="740"/>
      <c r="B51" s="301">
        <v>6420</v>
      </c>
      <c r="C51" s="281" t="s">
        <v>811</v>
      </c>
      <c r="D51" s="282"/>
      <c r="E51" s="282">
        <f>+E10+E17+E18</f>
        <v>26</v>
      </c>
      <c r="F51" s="282">
        <v>137</v>
      </c>
      <c r="G51" s="290">
        <f>+E51*F51</f>
        <v>3562</v>
      </c>
    </row>
    <row r="52" spans="1:8" ht="12.75" customHeight="1" x14ac:dyDescent="0.35">
      <c r="A52" s="741"/>
      <c r="B52" s="301">
        <v>6421</v>
      </c>
      <c r="C52" s="281" t="s">
        <v>764</v>
      </c>
      <c r="D52" s="282"/>
      <c r="E52" s="282"/>
      <c r="F52" s="282"/>
      <c r="G52" s="290">
        <v>4811</v>
      </c>
    </row>
    <row r="53" spans="1:8" ht="12.75" customHeight="1" x14ac:dyDescent="0.35">
      <c r="A53" s="308"/>
      <c r="B53" s="308"/>
      <c r="C53" s="309" t="s">
        <v>812</v>
      </c>
      <c r="D53" s="310"/>
      <c r="E53" s="310"/>
      <c r="F53" s="310"/>
      <c r="G53" s="311">
        <f>G40+G34+G31+G27+G19+G11</f>
        <v>420561</v>
      </c>
    </row>
    <row r="54" spans="1:8" ht="31.5" customHeight="1" x14ac:dyDescent="0.35">
      <c r="A54" s="312" t="s">
        <v>768</v>
      </c>
      <c r="B54" s="313">
        <v>6112</v>
      </c>
      <c r="C54" s="303" t="s">
        <v>813</v>
      </c>
      <c r="D54" s="314"/>
      <c r="E54" s="314"/>
      <c r="F54" s="315"/>
      <c r="G54" s="316">
        <f>+G53*0.07</f>
        <v>29439.270000000004</v>
      </c>
    </row>
    <row r="55" spans="1:8" ht="12.75" customHeight="1" thickBot="1" x14ac:dyDescent="0.4">
      <c r="A55" s="317"/>
      <c r="B55" s="742" t="s">
        <v>814</v>
      </c>
      <c r="C55" s="743"/>
      <c r="D55" s="318"/>
      <c r="E55" s="318"/>
      <c r="F55" s="318"/>
      <c r="G55" s="319">
        <f>+G54+G53</f>
        <v>450000.27</v>
      </c>
    </row>
    <row r="56" spans="1:8" ht="12.75" customHeight="1" x14ac:dyDescent="0.35"/>
    <row r="57" spans="1:8" ht="12.75" customHeight="1" x14ac:dyDescent="0.35">
      <c r="B57" s="254"/>
      <c r="H57" s="279"/>
    </row>
    <row r="58" spans="1:8" ht="12.75" customHeight="1" x14ac:dyDescent="0.35"/>
    <row r="59" spans="1:8" ht="12.75" customHeight="1" x14ac:dyDescent="0.35"/>
  </sheetData>
  <mergeCells count="10">
    <mergeCell ref="A31:A33"/>
    <mergeCell ref="A34:A39"/>
    <mergeCell ref="A40:A52"/>
    <mergeCell ref="B55:C55"/>
    <mergeCell ref="B1:G1"/>
    <mergeCell ref="A8:A10"/>
    <mergeCell ref="A11:A18"/>
    <mergeCell ref="A19:A23"/>
    <mergeCell ref="A24:A26"/>
    <mergeCell ref="A27:A3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5:L94"/>
  <sheetViews>
    <sheetView workbookViewId="0">
      <selection activeCell="D62" sqref="D62"/>
    </sheetView>
  </sheetViews>
  <sheetFormatPr defaultColWidth="8.81640625" defaultRowHeight="14.5" x14ac:dyDescent="0.35"/>
  <cols>
    <col min="3" max="3" width="35.453125" customWidth="1"/>
    <col min="4" max="4" width="15" customWidth="1"/>
    <col min="5" max="5" width="11.81640625" customWidth="1"/>
    <col min="6" max="6" width="13.81640625" customWidth="1"/>
    <col min="7" max="7" width="19.453125" hidden="1" customWidth="1"/>
    <col min="8" max="8" width="13.81640625" customWidth="1"/>
    <col min="10" max="10" width="9.453125" bestFit="1" customWidth="1"/>
    <col min="11" max="11" width="10.453125" bestFit="1" customWidth="1"/>
    <col min="12" max="12" width="11.453125" bestFit="1" customWidth="1"/>
  </cols>
  <sheetData>
    <row r="5" spans="2:8" x14ac:dyDescent="0.35">
      <c r="F5" s="321"/>
      <c r="G5" s="321"/>
      <c r="H5" s="321"/>
    </row>
    <row r="6" spans="2:8" x14ac:dyDescent="0.35">
      <c r="C6" s="256" t="s">
        <v>815</v>
      </c>
      <c r="F6" s="322"/>
      <c r="G6" s="321"/>
      <c r="H6" s="322"/>
    </row>
    <row r="7" spans="2:8" x14ac:dyDescent="0.35">
      <c r="B7" t="s">
        <v>771</v>
      </c>
      <c r="C7" t="s">
        <v>816</v>
      </c>
    </row>
    <row r="8" spans="2:8" ht="15" thickBot="1" x14ac:dyDescent="0.4"/>
    <row r="9" spans="2:8" ht="26.5" thickBot="1" x14ac:dyDescent="0.4">
      <c r="B9" s="323" t="s">
        <v>817</v>
      </c>
      <c r="C9" s="323" t="s">
        <v>818</v>
      </c>
      <c r="D9" s="324" t="s">
        <v>819</v>
      </c>
      <c r="E9" s="325" t="s">
        <v>820</v>
      </c>
      <c r="F9" s="325" t="s">
        <v>821</v>
      </c>
      <c r="G9" s="326" t="s">
        <v>822</v>
      </c>
      <c r="H9" s="325" t="s">
        <v>823</v>
      </c>
    </row>
    <row r="10" spans="2:8" ht="15" thickBot="1" x14ac:dyDescent="0.4">
      <c r="B10" s="327"/>
      <c r="C10" s="327" t="s">
        <v>773</v>
      </c>
      <c r="D10" s="328"/>
      <c r="E10" s="329"/>
      <c r="F10" s="330"/>
      <c r="G10" s="331">
        <v>0</v>
      </c>
      <c r="H10" s="516">
        <v>0</v>
      </c>
    </row>
    <row r="11" spans="2:8" x14ac:dyDescent="0.35">
      <c r="B11" s="332">
        <v>5011</v>
      </c>
      <c r="C11" s="333" t="s">
        <v>824</v>
      </c>
      <c r="D11" s="334"/>
      <c r="E11" s="335"/>
      <c r="F11" s="336"/>
      <c r="G11" s="337">
        <f>+G12+G13+G14</f>
        <v>0</v>
      </c>
      <c r="H11" s="517"/>
    </row>
    <row r="12" spans="2:8" x14ac:dyDescent="0.35">
      <c r="B12" s="338"/>
      <c r="C12" s="339" t="s">
        <v>825</v>
      </c>
      <c r="D12" s="340"/>
      <c r="E12" s="341"/>
      <c r="F12" s="342"/>
      <c r="G12" s="343"/>
      <c r="H12" s="518"/>
    </row>
    <row r="13" spans="2:8" x14ac:dyDescent="0.35">
      <c r="B13" s="344"/>
      <c r="C13" s="345" t="s">
        <v>826</v>
      </c>
      <c r="D13" s="346">
        <v>0</v>
      </c>
      <c r="E13" s="347">
        <v>0</v>
      </c>
      <c r="F13" s="348">
        <v>0</v>
      </c>
      <c r="G13" s="349">
        <f>D13*E13*F13</f>
        <v>0</v>
      </c>
      <c r="H13" s="519"/>
    </row>
    <row r="14" spans="2:8" ht="26.5" thickBot="1" x14ac:dyDescent="0.4">
      <c r="B14" s="350"/>
      <c r="C14" s="351" t="s">
        <v>827</v>
      </c>
      <c r="D14" s="352">
        <v>0</v>
      </c>
      <c r="E14" s="353">
        <v>1</v>
      </c>
      <c r="F14" s="354">
        <v>267</v>
      </c>
      <c r="G14" s="355">
        <f>D14*E14*F14</f>
        <v>0</v>
      </c>
      <c r="H14" s="520"/>
    </row>
    <row r="15" spans="2:8" x14ac:dyDescent="0.35">
      <c r="B15" s="356">
        <v>5012</v>
      </c>
      <c r="C15" s="357" t="s">
        <v>828</v>
      </c>
      <c r="D15" s="358"/>
      <c r="E15" s="359"/>
      <c r="F15" s="360"/>
      <c r="G15" s="361"/>
      <c r="H15" s="521"/>
    </row>
    <row r="16" spans="2:8" x14ac:dyDescent="0.35">
      <c r="B16" s="362"/>
      <c r="C16" s="363" t="s">
        <v>829</v>
      </c>
      <c r="D16" s="364"/>
      <c r="E16" s="365"/>
      <c r="F16" s="366"/>
      <c r="G16" s="367"/>
      <c r="H16" s="522"/>
    </row>
    <row r="17" spans="2:8" x14ac:dyDescent="0.35">
      <c r="B17" s="368"/>
      <c r="C17" s="369" t="s">
        <v>830</v>
      </c>
      <c r="D17" s="370"/>
      <c r="E17" s="371"/>
      <c r="F17" s="372"/>
      <c r="G17" s="373"/>
      <c r="H17" s="523"/>
    </row>
    <row r="18" spans="2:8" x14ac:dyDescent="0.35">
      <c r="B18" s="356">
        <v>5013</v>
      </c>
      <c r="C18" s="357" t="s">
        <v>775</v>
      </c>
      <c r="D18" s="374"/>
      <c r="E18" s="359"/>
      <c r="F18" s="360"/>
      <c r="G18" s="375">
        <f>+SUM(G19:G43)</f>
        <v>168068.88936029692</v>
      </c>
      <c r="H18" s="521">
        <f>SUM(H19:H43)</f>
        <v>159773</v>
      </c>
    </row>
    <row r="19" spans="2:8" ht="26" x14ac:dyDescent="0.35">
      <c r="B19" s="376">
        <v>5584</v>
      </c>
      <c r="C19" s="377" t="s">
        <v>831</v>
      </c>
      <c r="D19" s="378">
        <v>5</v>
      </c>
      <c r="E19" s="341">
        <v>1</v>
      </c>
      <c r="F19" s="342">
        <v>12600</v>
      </c>
      <c r="G19" s="379">
        <f>D19*E19*F19</f>
        <v>63000</v>
      </c>
      <c r="H19" s="518">
        <f>63000+40000</f>
        <v>103000</v>
      </c>
    </row>
    <row r="20" spans="2:8" x14ac:dyDescent="0.35">
      <c r="B20" s="376">
        <v>5551</v>
      </c>
      <c r="C20" s="380" t="s">
        <v>832</v>
      </c>
      <c r="D20" s="381">
        <v>5</v>
      </c>
      <c r="E20" s="382">
        <v>3</v>
      </c>
      <c r="F20" s="383">
        <v>3578</v>
      </c>
      <c r="G20" s="343">
        <f t="shared" ref="G20:G42" si="0">D20*E20*F20</f>
        <v>53670</v>
      </c>
      <c r="H20" s="524">
        <f>F20*5*1</f>
        <v>17890</v>
      </c>
    </row>
    <row r="21" spans="2:8" x14ac:dyDescent="0.35">
      <c r="B21" s="376">
        <v>5551</v>
      </c>
      <c r="C21" s="380" t="s">
        <v>833</v>
      </c>
      <c r="D21" s="384"/>
      <c r="E21" s="385"/>
      <c r="F21" s="383"/>
      <c r="G21" s="343">
        <f t="shared" si="0"/>
        <v>0</v>
      </c>
      <c r="H21" s="524"/>
    </row>
    <row r="22" spans="2:8" x14ac:dyDescent="0.35">
      <c r="B22" s="376">
        <v>5551</v>
      </c>
      <c r="C22" s="380" t="s">
        <v>834</v>
      </c>
      <c r="D22" s="340">
        <v>0</v>
      </c>
      <c r="E22" s="385"/>
      <c r="F22" s="383">
        <v>0</v>
      </c>
      <c r="G22" s="343">
        <f t="shared" si="0"/>
        <v>0</v>
      </c>
      <c r="H22" s="524"/>
    </row>
    <row r="23" spans="2:8" x14ac:dyDescent="0.35">
      <c r="B23" s="376">
        <v>5551</v>
      </c>
      <c r="C23" s="380" t="s">
        <v>835</v>
      </c>
      <c r="D23" s="340"/>
      <c r="E23" s="385"/>
      <c r="F23" s="383"/>
      <c r="G23" s="343">
        <f t="shared" si="0"/>
        <v>0</v>
      </c>
      <c r="H23" s="524"/>
    </row>
    <row r="24" spans="2:8" x14ac:dyDescent="0.35">
      <c r="B24" s="376">
        <v>5543</v>
      </c>
      <c r="C24" s="380" t="s">
        <v>836</v>
      </c>
      <c r="D24" s="340"/>
      <c r="E24" s="385"/>
      <c r="F24" s="385"/>
      <c r="G24" s="343">
        <f t="shared" si="0"/>
        <v>0</v>
      </c>
      <c r="H24" s="525"/>
    </row>
    <row r="25" spans="2:8" x14ac:dyDescent="0.35">
      <c r="B25" s="376">
        <v>5551</v>
      </c>
      <c r="C25" s="380" t="s">
        <v>837</v>
      </c>
      <c r="D25" s="340"/>
      <c r="E25" s="385">
        <v>0</v>
      </c>
      <c r="F25" s="385">
        <v>0</v>
      </c>
      <c r="G25" s="343">
        <f t="shared" si="0"/>
        <v>0</v>
      </c>
      <c r="H25" s="525"/>
    </row>
    <row r="26" spans="2:8" x14ac:dyDescent="0.35">
      <c r="B26" s="376">
        <v>5551</v>
      </c>
      <c r="C26" s="386" t="s">
        <v>838</v>
      </c>
      <c r="D26" s="387">
        <v>5</v>
      </c>
      <c r="E26" s="385">
        <v>1</v>
      </c>
      <c r="F26" s="385">
        <v>3578.1544256120528</v>
      </c>
      <c r="G26" s="343">
        <f t="shared" si="0"/>
        <v>17890.772128060264</v>
      </c>
      <c r="H26" s="525">
        <f>3578*1*5</f>
        <v>17890</v>
      </c>
    </row>
    <row r="27" spans="2:8" x14ac:dyDescent="0.35">
      <c r="B27" s="376">
        <v>5551</v>
      </c>
      <c r="C27" s="386" t="s">
        <v>839</v>
      </c>
      <c r="D27" s="387">
        <v>0</v>
      </c>
      <c r="E27" s="385">
        <v>1</v>
      </c>
      <c r="F27" s="385"/>
      <c r="G27" s="343">
        <f t="shared" si="0"/>
        <v>0</v>
      </c>
      <c r="H27" s="525"/>
    </row>
    <row r="28" spans="2:8" x14ac:dyDescent="0.35">
      <c r="B28" s="376">
        <v>5551</v>
      </c>
      <c r="C28" s="386" t="s">
        <v>840</v>
      </c>
      <c r="D28" s="387"/>
      <c r="E28" s="385"/>
      <c r="F28" s="388"/>
      <c r="G28" s="343">
        <f t="shared" si="0"/>
        <v>0</v>
      </c>
      <c r="H28" s="526"/>
    </row>
    <row r="29" spans="2:8" x14ac:dyDescent="0.35">
      <c r="B29" s="376">
        <v>5551</v>
      </c>
      <c r="C29" s="386" t="s">
        <v>841</v>
      </c>
      <c r="D29" s="387"/>
      <c r="E29" s="385"/>
      <c r="F29" s="388"/>
      <c r="G29" s="343">
        <f t="shared" si="0"/>
        <v>0</v>
      </c>
      <c r="H29" s="526"/>
    </row>
    <row r="30" spans="2:8" x14ac:dyDescent="0.35">
      <c r="B30" s="376">
        <v>5551</v>
      </c>
      <c r="C30" s="386" t="s">
        <v>842</v>
      </c>
      <c r="D30" s="387"/>
      <c r="E30" s="385"/>
      <c r="F30" s="388"/>
      <c r="G30" s="343">
        <f t="shared" si="0"/>
        <v>0</v>
      </c>
      <c r="H30" s="526"/>
    </row>
    <row r="31" spans="2:8" x14ac:dyDescent="0.35">
      <c r="B31" s="389">
        <v>5551</v>
      </c>
      <c r="C31" s="380" t="s">
        <v>843</v>
      </c>
      <c r="D31" s="340"/>
      <c r="E31" s="385">
        <v>0</v>
      </c>
      <c r="F31" s="342">
        <v>1506.5913370998117</v>
      </c>
      <c r="G31" s="343">
        <f t="shared" si="0"/>
        <v>0</v>
      </c>
      <c r="H31" s="518"/>
    </row>
    <row r="32" spans="2:8" x14ac:dyDescent="0.35">
      <c r="B32" s="389">
        <v>5551</v>
      </c>
      <c r="C32" s="380" t="s">
        <v>844</v>
      </c>
      <c r="D32" s="340">
        <v>5</v>
      </c>
      <c r="E32" s="385">
        <v>1</v>
      </c>
      <c r="F32" s="342">
        <v>941.61958568738225</v>
      </c>
      <c r="G32" s="343">
        <f t="shared" si="0"/>
        <v>4708.0979284369114</v>
      </c>
      <c r="H32" s="518">
        <f>942*1*5</f>
        <v>4710</v>
      </c>
    </row>
    <row r="33" spans="2:8" x14ac:dyDescent="0.35">
      <c r="B33" s="389">
        <v>5551</v>
      </c>
      <c r="C33" s="380" t="s">
        <v>845</v>
      </c>
      <c r="D33" s="340">
        <v>5</v>
      </c>
      <c r="E33" s="385">
        <v>1</v>
      </c>
      <c r="F33" s="342">
        <v>1694.9152542372881</v>
      </c>
      <c r="G33" s="343">
        <f t="shared" si="0"/>
        <v>8474.5762711864409</v>
      </c>
      <c r="H33" s="518">
        <f>1695*1*5</f>
        <v>8475</v>
      </c>
    </row>
    <row r="34" spans="2:8" ht="15" thickBot="1" x14ac:dyDescent="0.4">
      <c r="B34" s="389">
        <v>5551</v>
      </c>
      <c r="C34" s="380" t="s">
        <v>846</v>
      </c>
      <c r="D34" s="340"/>
      <c r="E34" s="385">
        <v>1</v>
      </c>
      <c r="F34" s="342">
        <v>512</v>
      </c>
      <c r="G34" s="343">
        <f t="shared" si="0"/>
        <v>0</v>
      </c>
      <c r="H34" s="518"/>
    </row>
    <row r="35" spans="2:8" ht="15" thickBot="1" x14ac:dyDescent="0.4">
      <c r="B35" s="389">
        <v>5543</v>
      </c>
      <c r="C35" s="390" t="s">
        <v>847</v>
      </c>
      <c r="D35" s="391">
        <v>1</v>
      </c>
      <c r="E35" s="385">
        <v>3</v>
      </c>
      <c r="F35" s="342">
        <f>103379/531.225*15</f>
        <v>2919.073838768883</v>
      </c>
      <c r="G35" s="343">
        <f t="shared" si="0"/>
        <v>8757.2215163066485</v>
      </c>
      <c r="H35" s="518">
        <f>2919*1*1</f>
        <v>2919</v>
      </c>
    </row>
    <row r="36" spans="2:8" ht="15" thickBot="1" x14ac:dyDescent="0.4">
      <c r="B36" s="389">
        <v>5543</v>
      </c>
      <c r="C36" s="390" t="s">
        <v>848</v>
      </c>
      <c r="D36" s="391"/>
      <c r="E36" s="385">
        <v>3</v>
      </c>
      <c r="F36" s="342">
        <f>103379/531.225*15</f>
        <v>2919.073838768883</v>
      </c>
      <c r="G36" s="343">
        <f t="shared" si="0"/>
        <v>0</v>
      </c>
      <c r="H36" s="518"/>
    </row>
    <row r="37" spans="2:8" ht="15" thickBot="1" x14ac:dyDescent="0.4">
      <c r="B37" s="389">
        <v>5543</v>
      </c>
      <c r="C37" s="390" t="s">
        <v>849</v>
      </c>
      <c r="D37" s="391">
        <v>1</v>
      </c>
      <c r="E37" s="385">
        <v>3</v>
      </c>
      <c r="F37" s="342">
        <f>103379/531.225*15</f>
        <v>2919.073838768883</v>
      </c>
      <c r="G37" s="343">
        <f t="shared" si="0"/>
        <v>8757.2215163066485</v>
      </c>
      <c r="H37" s="518">
        <f>2919*1*1</f>
        <v>2919</v>
      </c>
    </row>
    <row r="38" spans="2:8" ht="15" thickBot="1" x14ac:dyDescent="0.4">
      <c r="B38" s="389">
        <v>5543</v>
      </c>
      <c r="C38" s="390" t="s">
        <v>850</v>
      </c>
      <c r="D38" s="391"/>
      <c r="E38" s="385">
        <v>3</v>
      </c>
      <c r="F38" s="342">
        <f>103379/531.225*15</f>
        <v>2919.073838768883</v>
      </c>
      <c r="G38" s="343">
        <f t="shared" si="0"/>
        <v>0</v>
      </c>
      <c r="H38" s="518"/>
    </row>
    <row r="39" spans="2:8" ht="15" thickBot="1" x14ac:dyDescent="0.4">
      <c r="B39" s="389">
        <v>5543</v>
      </c>
      <c r="C39" s="390" t="s">
        <v>851</v>
      </c>
      <c r="D39" s="391"/>
      <c r="E39" s="385"/>
      <c r="F39" s="342"/>
      <c r="G39" s="343">
        <f t="shared" si="0"/>
        <v>0</v>
      </c>
      <c r="H39" s="518"/>
    </row>
    <row r="40" spans="2:8" ht="15" thickBot="1" x14ac:dyDescent="0.4">
      <c r="B40" s="389">
        <v>5543</v>
      </c>
      <c r="C40" s="390" t="s">
        <v>852</v>
      </c>
      <c r="D40" s="391"/>
      <c r="E40" s="385"/>
      <c r="F40" s="342"/>
      <c r="G40" s="343">
        <f t="shared" si="0"/>
        <v>0</v>
      </c>
      <c r="H40" s="518"/>
    </row>
    <row r="41" spans="2:8" x14ac:dyDescent="0.35">
      <c r="B41" s="389">
        <v>5543</v>
      </c>
      <c r="C41" s="390" t="s">
        <v>853</v>
      </c>
      <c r="D41" s="391"/>
      <c r="E41" s="385"/>
      <c r="F41" s="342"/>
      <c r="G41" s="343">
        <f t="shared" si="0"/>
        <v>0</v>
      </c>
      <c r="H41" s="518"/>
    </row>
    <row r="42" spans="2:8" ht="26" x14ac:dyDescent="0.35">
      <c r="B42" s="392"/>
      <c r="C42" s="393" t="s">
        <v>854</v>
      </c>
      <c r="D42" s="370">
        <v>12</v>
      </c>
      <c r="E42" s="372">
        <v>1</v>
      </c>
      <c r="F42" s="354">
        <v>187</v>
      </c>
      <c r="G42" s="355">
        <f t="shared" si="0"/>
        <v>2244</v>
      </c>
      <c r="H42" s="520">
        <v>1573</v>
      </c>
    </row>
    <row r="43" spans="2:8" ht="26.5" thickBot="1" x14ac:dyDescent="0.4">
      <c r="B43" s="355"/>
      <c r="C43" s="393" t="s">
        <v>782</v>
      </c>
      <c r="D43" s="394">
        <v>0</v>
      </c>
      <c r="E43" s="372">
        <f>D21*E21+D22*E22+D23*E23+D24*E24+D26*E26+D27*E27+D28*E28+D29*E29+D30*E30+D31*E31+D32*E32+D33*E33+D34*E34+D35*E35+D36*E36+D37*E37+D38*E38+D39*E39+D40*E40+D41*E41</f>
        <v>21</v>
      </c>
      <c r="F43" s="372">
        <v>27</v>
      </c>
      <c r="G43" s="355">
        <f>E43*F43</f>
        <v>567</v>
      </c>
      <c r="H43" s="523">
        <v>397</v>
      </c>
    </row>
    <row r="44" spans="2:8" ht="15" thickBot="1" x14ac:dyDescent="0.4">
      <c r="B44" s="395">
        <v>5014</v>
      </c>
      <c r="C44" s="395" t="s">
        <v>797</v>
      </c>
      <c r="D44" s="396"/>
      <c r="E44" s="397"/>
      <c r="F44" s="398"/>
      <c r="G44" s="399">
        <f>G45+G46+G47+G48+G49</f>
        <v>15688</v>
      </c>
      <c r="H44" s="527">
        <f>H45+H46+H47+H48</f>
        <v>5230</v>
      </c>
    </row>
    <row r="45" spans="2:8" x14ac:dyDescent="0.35">
      <c r="B45" s="400"/>
      <c r="C45" s="401" t="s">
        <v>855</v>
      </c>
      <c r="D45" s="402">
        <v>1</v>
      </c>
      <c r="E45" s="403">
        <v>3</v>
      </c>
      <c r="F45" s="404">
        <v>2500</v>
      </c>
      <c r="G45" s="405">
        <f>D45*E45*F45</f>
        <v>7500</v>
      </c>
      <c r="H45" s="528">
        <v>2500</v>
      </c>
    </row>
    <row r="46" spans="2:8" x14ac:dyDescent="0.35">
      <c r="B46" s="400"/>
      <c r="C46" s="406" t="s">
        <v>856</v>
      </c>
      <c r="D46" s="402">
        <v>1</v>
      </c>
      <c r="E46" s="403">
        <v>3</v>
      </c>
      <c r="F46" s="404">
        <v>2500</v>
      </c>
      <c r="G46" s="405">
        <f>D46*E46*F46</f>
        <v>7500</v>
      </c>
      <c r="H46" s="528">
        <v>2500</v>
      </c>
    </row>
    <row r="47" spans="2:8" x14ac:dyDescent="0.35">
      <c r="B47" s="355"/>
      <c r="C47" s="393" t="s">
        <v>857</v>
      </c>
      <c r="D47" s="394"/>
      <c r="E47" s="372">
        <f>SUM(E44:E46)</f>
        <v>6</v>
      </c>
      <c r="F47" s="372">
        <v>100</v>
      </c>
      <c r="G47" s="355">
        <f>+F47*E47</f>
        <v>600</v>
      </c>
      <c r="H47" s="523">
        <v>200</v>
      </c>
    </row>
    <row r="48" spans="2:8" x14ac:dyDescent="0.35">
      <c r="B48" s="355"/>
      <c r="C48" s="393" t="s">
        <v>857</v>
      </c>
      <c r="D48" s="394"/>
      <c r="E48" s="372">
        <v>2</v>
      </c>
      <c r="F48" s="372">
        <v>44</v>
      </c>
      <c r="G48" s="355">
        <f>+F48*E48</f>
        <v>88</v>
      </c>
      <c r="H48" s="523">
        <v>30</v>
      </c>
    </row>
    <row r="49" spans="2:12" ht="26.5" thickBot="1" x14ac:dyDescent="0.4">
      <c r="B49" s="355"/>
      <c r="C49" s="355" t="s">
        <v>858</v>
      </c>
      <c r="D49" s="394"/>
      <c r="E49" s="372">
        <v>0</v>
      </c>
      <c r="F49" s="372">
        <v>1948</v>
      </c>
      <c r="G49" s="355">
        <f>+F49*E49</f>
        <v>0</v>
      </c>
      <c r="H49" s="523"/>
    </row>
    <row r="50" spans="2:12" ht="15" thickBot="1" x14ac:dyDescent="0.4">
      <c r="B50" s="395">
        <v>5020</v>
      </c>
      <c r="C50" s="407" t="s">
        <v>859</v>
      </c>
      <c r="D50" s="408"/>
      <c r="E50" s="409"/>
      <c r="F50" s="410"/>
      <c r="G50" s="411">
        <v>17000</v>
      </c>
      <c r="H50" s="529">
        <v>7000</v>
      </c>
    </row>
    <row r="51" spans="2:12" x14ac:dyDescent="0.35">
      <c r="B51" s="412"/>
      <c r="C51" s="413" t="s">
        <v>859</v>
      </c>
      <c r="D51" s="414"/>
      <c r="E51" s="415"/>
      <c r="F51" s="416"/>
      <c r="G51" s="417">
        <v>17000</v>
      </c>
      <c r="H51" s="530">
        <v>7000</v>
      </c>
    </row>
    <row r="52" spans="2:12" ht="15" thickBot="1" x14ac:dyDescent="0.4">
      <c r="B52" s="418">
        <v>5021</v>
      </c>
      <c r="C52" s="418" t="s">
        <v>729</v>
      </c>
      <c r="D52" s="419"/>
      <c r="E52" s="420"/>
      <c r="F52" s="421"/>
      <c r="G52" s="422">
        <f>SUM(G53:G60)</f>
        <v>88720</v>
      </c>
      <c r="H52" s="531">
        <f>SUM(H53:H61)</f>
        <v>46024</v>
      </c>
    </row>
    <row r="53" spans="2:12" x14ac:dyDescent="0.35">
      <c r="B53" s="423">
        <v>5685</v>
      </c>
      <c r="C53" s="423" t="s">
        <v>860</v>
      </c>
      <c r="D53" s="424"/>
      <c r="E53" s="425"/>
      <c r="F53" s="426"/>
      <c r="G53" s="427">
        <v>60000</v>
      </c>
      <c r="H53" s="532">
        <v>20000</v>
      </c>
    </row>
    <row r="54" spans="2:12" x14ac:dyDescent="0.35">
      <c r="B54" s="339">
        <v>5686</v>
      </c>
      <c r="C54" s="423" t="s">
        <v>861</v>
      </c>
      <c r="D54" s="428">
        <v>1</v>
      </c>
      <c r="E54" s="429">
        <v>1</v>
      </c>
      <c r="F54" s="430">
        <v>2500</v>
      </c>
      <c r="G54" s="431">
        <f>D54*E54*F54</f>
        <v>2500</v>
      </c>
      <c r="H54" s="533">
        <v>12500</v>
      </c>
    </row>
    <row r="55" spans="2:12" x14ac:dyDescent="0.35">
      <c r="B55" s="339">
        <v>5661</v>
      </c>
      <c r="C55" s="339" t="s">
        <v>862</v>
      </c>
      <c r="D55" s="428"/>
      <c r="E55" s="429">
        <v>40</v>
      </c>
      <c r="F55" s="430">
        <v>195</v>
      </c>
      <c r="G55" s="405">
        <f>D55*E55*F55</f>
        <v>0</v>
      </c>
      <c r="H55" s="533"/>
    </row>
    <row r="56" spans="2:12" x14ac:dyDescent="0.35">
      <c r="B56" s="339">
        <v>5661</v>
      </c>
      <c r="C56" s="339" t="s">
        <v>863</v>
      </c>
      <c r="D56" s="428"/>
      <c r="E56" s="429">
        <v>1</v>
      </c>
      <c r="F56" s="430">
        <v>3012</v>
      </c>
      <c r="G56" s="405">
        <f>D56*E56*F56</f>
        <v>0</v>
      </c>
      <c r="H56" s="533"/>
    </row>
    <row r="57" spans="2:12" x14ac:dyDescent="0.35">
      <c r="B57" s="339">
        <v>5661</v>
      </c>
      <c r="C57" s="339" t="s">
        <v>864</v>
      </c>
      <c r="D57" s="428">
        <v>1</v>
      </c>
      <c r="E57" s="429">
        <v>2</v>
      </c>
      <c r="F57" s="430">
        <v>3000</v>
      </c>
      <c r="G57" s="405">
        <f t="shared" ref="G57:G59" si="1">D57*E57*F57</f>
        <v>6000</v>
      </c>
      <c r="H57" s="533">
        <v>3454</v>
      </c>
    </row>
    <row r="58" spans="2:12" x14ac:dyDescent="0.35">
      <c r="B58" s="339">
        <v>5661</v>
      </c>
      <c r="C58" s="339" t="s">
        <v>865</v>
      </c>
      <c r="D58" s="428">
        <v>1</v>
      </c>
      <c r="E58" s="429">
        <v>4</v>
      </c>
      <c r="F58" s="430">
        <v>2500</v>
      </c>
      <c r="G58" s="405">
        <f t="shared" si="1"/>
        <v>10000</v>
      </c>
      <c r="H58" s="533">
        <v>5000</v>
      </c>
    </row>
    <row r="59" spans="2:12" x14ac:dyDescent="0.35">
      <c r="B59" s="339">
        <v>5661</v>
      </c>
      <c r="C59" s="339" t="s">
        <v>866</v>
      </c>
      <c r="D59" s="428">
        <v>1</v>
      </c>
      <c r="E59" s="429">
        <v>4</v>
      </c>
      <c r="F59" s="430">
        <v>2500</v>
      </c>
      <c r="G59" s="405">
        <f t="shared" si="1"/>
        <v>10000</v>
      </c>
      <c r="H59" s="533">
        <v>5000</v>
      </c>
    </row>
    <row r="60" spans="2:12" x14ac:dyDescent="0.35">
      <c r="B60" s="432"/>
      <c r="C60" s="433" t="s">
        <v>796</v>
      </c>
      <c r="D60" s="434"/>
      <c r="E60" s="435">
        <v>5</v>
      </c>
      <c r="F60" s="436">
        <v>44</v>
      </c>
      <c r="G60" s="437">
        <f>+E60*F60</f>
        <v>220</v>
      </c>
      <c r="H60" s="534">
        <v>70</v>
      </c>
    </row>
    <row r="61" spans="2:12" ht="15" thickBot="1" x14ac:dyDescent="0.4">
      <c r="B61" s="438"/>
      <c r="C61" s="439"/>
      <c r="D61" s="440"/>
      <c r="E61" s="441"/>
      <c r="F61" s="442"/>
      <c r="G61" s="443"/>
      <c r="H61" s="535"/>
    </row>
    <row r="62" spans="2:12" ht="15" thickBot="1" x14ac:dyDescent="0.4">
      <c r="B62" s="444">
        <v>5023</v>
      </c>
      <c r="C62" s="444" t="s">
        <v>740</v>
      </c>
      <c r="D62" s="445"/>
      <c r="E62" s="446"/>
      <c r="F62" s="447"/>
      <c r="G62" s="448">
        <f>+G63+G64</f>
        <v>150176</v>
      </c>
      <c r="H62" s="536">
        <f>H63+H64</f>
        <v>67827.666666666672</v>
      </c>
      <c r="L62" s="449">
        <f>G62+G52</f>
        <v>238896</v>
      </c>
    </row>
    <row r="63" spans="2:12" x14ac:dyDescent="0.35">
      <c r="B63" s="423">
        <v>5905</v>
      </c>
      <c r="C63" s="423" t="s">
        <v>867</v>
      </c>
      <c r="D63" s="424"/>
      <c r="E63" s="425">
        <v>1</v>
      </c>
      <c r="F63" s="426">
        <v>1</v>
      </c>
      <c r="G63" s="450">
        <v>150000</v>
      </c>
      <c r="H63" s="532">
        <v>67769</v>
      </c>
    </row>
    <row r="64" spans="2:12" ht="15" thickBot="1" x14ac:dyDescent="0.4">
      <c r="B64" s="451"/>
      <c r="C64" s="452" t="s">
        <v>804</v>
      </c>
      <c r="D64" s="434"/>
      <c r="E64" s="435">
        <v>4</v>
      </c>
      <c r="F64" s="436">
        <v>44</v>
      </c>
      <c r="G64" s="437">
        <f>+E64*F64</f>
        <v>176</v>
      </c>
      <c r="H64" s="534">
        <f>50000*176/150000</f>
        <v>58.666666666666664</v>
      </c>
    </row>
    <row r="65" spans="2:11" ht="15" thickBot="1" x14ac:dyDescent="0.4">
      <c r="B65" s="395">
        <v>5024</v>
      </c>
      <c r="C65" s="395" t="s">
        <v>784</v>
      </c>
      <c r="D65" s="396"/>
      <c r="E65" s="397"/>
      <c r="F65" s="398"/>
      <c r="G65" s="453">
        <f>SUM(G66:G71)</f>
        <v>897514</v>
      </c>
      <c r="H65" s="527">
        <f>H66+H67+H68+H69+H71+H70</f>
        <v>299172.00000000006</v>
      </c>
    </row>
    <row r="66" spans="2:11" ht="42" customHeight="1" x14ac:dyDescent="0.35">
      <c r="B66" s="454">
        <v>6000</v>
      </c>
      <c r="C66" s="423" t="s">
        <v>868</v>
      </c>
      <c r="D66" s="423">
        <v>1</v>
      </c>
      <c r="E66" s="423">
        <v>1</v>
      </c>
      <c r="F66" s="426">
        <v>692770</v>
      </c>
      <c r="G66" s="427">
        <f>F66*E66*D66</f>
        <v>692770</v>
      </c>
      <c r="H66" s="532">
        <f>692770/3</f>
        <v>230923.33333333334</v>
      </c>
    </row>
    <row r="67" spans="2:11" ht="42" customHeight="1" x14ac:dyDescent="0.35">
      <c r="B67" s="339"/>
      <c r="C67" s="423" t="s">
        <v>593</v>
      </c>
      <c r="D67" s="423">
        <v>1</v>
      </c>
      <c r="E67" s="423">
        <v>1</v>
      </c>
      <c r="F67" s="426">
        <v>105000</v>
      </c>
      <c r="G67" s="427">
        <f t="shared" ref="G67" si="2">F67*E67*D67</f>
        <v>105000</v>
      </c>
      <c r="H67" s="532">
        <f>105000/3</f>
        <v>35000</v>
      </c>
    </row>
    <row r="68" spans="2:11" ht="15.75" customHeight="1" x14ac:dyDescent="0.35">
      <c r="B68" s="423">
        <v>6000</v>
      </c>
      <c r="C68" s="423" t="s">
        <v>590</v>
      </c>
      <c r="D68" s="423">
        <v>1</v>
      </c>
      <c r="E68" s="423">
        <v>1</v>
      </c>
      <c r="F68" s="426">
        <v>60500</v>
      </c>
      <c r="G68" s="427">
        <f>F68*E68*D68</f>
        <v>60500</v>
      </c>
      <c r="H68" s="532">
        <f>60500/3</f>
        <v>20166.666666666668</v>
      </c>
    </row>
    <row r="69" spans="2:11" x14ac:dyDescent="0.35">
      <c r="B69" s="455">
        <v>6000</v>
      </c>
      <c r="C69" s="456" t="s">
        <v>788</v>
      </c>
      <c r="D69" s="457"/>
      <c r="E69" s="458">
        <f>E66</f>
        <v>1</v>
      </c>
      <c r="F69" s="459">
        <v>44</v>
      </c>
      <c r="G69" s="460">
        <f>+F69*E69</f>
        <v>44</v>
      </c>
      <c r="H69" s="537">
        <v>15</v>
      </c>
    </row>
    <row r="70" spans="2:11" ht="26" x14ac:dyDescent="0.35">
      <c r="B70" s="455">
        <v>6000</v>
      </c>
      <c r="C70" s="456" t="s">
        <v>869</v>
      </c>
      <c r="D70" s="457"/>
      <c r="E70" s="458"/>
      <c r="F70" s="459">
        <v>4320</v>
      </c>
      <c r="G70" s="460">
        <f>+F70*E70</f>
        <v>0</v>
      </c>
      <c r="H70" s="537">
        <v>0</v>
      </c>
    </row>
    <row r="71" spans="2:11" x14ac:dyDescent="0.35">
      <c r="B71" s="455">
        <v>6000</v>
      </c>
      <c r="C71" s="461" t="s">
        <v>870</v>
      </c>
      <c r="D71" s="457">
        <v>1</v>
      </c>
      <c r="E71" s="458">
        <v>4</v>
      </c>
      <c r="F71" s="459">
        <v>9800</v>
      </c>
      <c r="G71" s="460">
        <f>+F71*E71</f>
        <v>39200</v>
      </c>
      <c r="H71" s="537">
        <v>13067</v>
      </c>
    </row>
    <row r="72" spans="2:11" ht="15" thickBot="1" x14ac:dyDescent="0.4">
      <c r="B72" s="418">
        <v>5025</v>
      </c>
      <c r="C72" s="418" t="s">
        <v>789</v>
      </c>
      <c r="D72" s="419"/>
      <c r="E72" s="420"/>
      <c r="F72" s="421"/>
      <c r="G72" s="422">
        <f>SUM(G73:G79)</f>
        <v>45088</v>
      </c>
      <c r="H72" s="531">
        <f>SUM(H73:H79)</f>
        <v>5088</v>
      </c>
    </row>
    <row r="73" spans="2:11" ht="15" thickBot="1" x14ac:dyDescent="0.4">
      <c r="B73" s="462">
        <v>6100</v>
      </c>
      <c r="C73" s="463" t="s">
        <v>871</v>
      </c>
      <c r="D73" s="464">
        <v>1</v>
      </c>
      <c r="E73" s="465">
        <v>1</v>
      </c>
      <c r="F73" s="466">
        <v>45000</v>
      </c>
      <c r="G73" s="467">
        <f>D73*E73*F73</f>
        <v>45000</v>
      </c>
      <c r="H73" s="538"/>
    </row>
    <row r="74" spans="2:11" x14ac:dyDescent="0.35">
      <c r="B74" s="454">
        <v>6100</v>
      </c>
      <c r="C74" s="463" t="s">
        <v>871</v>
      </c>
      <c r="D74" s="464"/>
      <c r="E74" s="465">
        <v>1</v>
      </c>
      <c r="F74" s="466">
        <v>35000</v>
      </c>
      <c r="G74" s="467">
        <f>D74*E74*F74</f>
        <v>0</v>
      </c>
      <c r="H74" s="538"/>
    </row>
    <row r="75" spans="2:11" x14ac:dyDescent="0.35">
      <c r="B75" s="468">
        <v>6100</v>
      </c>
      <c r="C75" s="468" t="s">
        <v>872</v>
      </c>
      <c r="D75" s="424"/>
      <c r="E75" s="469">
        <v>2</v>
      </c>
      <c r="F75" s="426">
        <v>1600</v>
      </c>
      <c r="G75" s="427">
        <f>D75*E75*F75</f>
        <v>0</v>
      </c>
      <c r="H75" s="532">
        <v>3000</v>
      </c>
    </row>
    <row r="76" spans="2:11" x14ac:dyDescent="0.35">
      <c r="B76" s="468">
        <v>6100</v>
      </c>
      <c r="C76" s="468" t="s">
        <v>873</v>
      </c>
      <c r="D76" s="424"/>
      <c r="E76" s="426">
        <v>5</v>
      </c>
      <c r="F76" s="426">
        <v>1600</v>
      </c>
      <c r="G76" s="427">
        <f>D76*E76*F76</f>
        <v>0</v>
      </c>
      <c r="H76" s="532">
        <v>2000</v>
      </c>
    </row>
    <row r="77" spans="2:11" x14ac:dyDescent="0.35">
      <c r="B77" s="468">
        <v>6100</v>
      </c>
      <c r="C77" s="468" t="s">
        <v>874</v>
      </c>
      <c r="D77" s="424"/>
      <c r="E77" s="426">
        <v>1</v>
      </c>
      <c r="F77" s="426">
        <v>7500</v>
      </c>
      <c r="G77" s="427">
        <f>D77*E77*F77</f>
        <v>0</v>
      </c>
      <c r="H77" s="532"/>
    </row>
    <row r="78" spans="2:11" x14ac:dyDescent="0.35">
      <c r="B78" s="455">
        <v>6100</v>
      </c>
      <c r="C78" s="456" t="s">
        <v>790</v>
      </c>
      <c r="D78" s="457">
        <v>1</v>
      </c>
      <c r="E78" s="459">
        <v>2</v>
      </c>
      <c r="F78" s="459">
        <v>44</v>
      </c>
      <c r="G78" s="437">
        <f>E78*F78</f>
        <v>88</v>
      </c>
      <c r="H78" s="537">
        <v>88</v>
      </c>
    </row>
    <row r="79" spans="2:11" ht="27" thickBot="1" x14ac:dyDescent="0.4">
      <c r="B79" s="455">
        <v>6100</v>
      </c>
      <c r="C79" s="470" t="s">
        <v>869</v>
      </c>
      <c r="D79" s="471"/>
      <c r="E79" s="459"/>
      <c r="F79" s="459">
        <v>4320</v>
      </c>
      <c r="G79" s="437">
        <f>E79*F79</f>
        <v>0</v>
      </c>
      <c r="H79" s="537"/>
    </row>
    <row r="80" spans="2:11" ht="15" thickBot="1" x14ac:dyDescent="0.4">
      <c r="B80" s="444">
        <v>5027</v>
      </c>
      <c r="C80" s="444" t="s">
        <v>743</v>
      </c>
      <c r="D80" s="445"/>
      <c r="E80" s="446"/>
      <c r="F80" s="447"/>
      <c r="G80" s="448">
        <f>SUM(G81:G83)</f>
        <v>65003</v>
      </c>
      <c r="H80" s="536">
        <f>H81+H82+H83</f>
        <v>43334</v>
      </c>
      <c r="K80" s="449"/>
    </row>
    <row r="81" spans="2:12" x14ac:dyDescent="0.35">
      <c r="B81" s="472">
        <v>6120</v>
      </c>
      <c r="C81" s="473" t="s">
        <v>875</v>
      </c>
      <c r="D81" s="474"/>
      <c r="E81" s="429">
        <v>1</v>
      </c>
      <c r="F81" s="475">
        <v>3</v>
      </c>
      <c r="G81" s="476">
        <f>+E81*F81</f>
        <v>3</v>
      </c>
      <c r="H81" s="539">
        <v>13334</v>
      </c>
    </row>
    <row r="82" spans="2:12" x14ac:dyDescent="0.35">
      <c r="B82" s="468">
        <v>6111</v>
      </c>
      <c r="C82" s="477" t="s">
        <v>876</v>
      </c>
      <c r="D82" s="478"/>
      <c r="E82" s="425">
        <v>1</v>
      </c>
      <c r="F82" s="479">
        <v>5000</v>
      </c>
      <c r="G82" s="476">
        <f>+E82*F82</f>
        <v>5000</v>
      </c>
      <c r="H82" s="540">
        <v>5000</v>
      </c>
    </row>
    <row r="83" spans="2:12" ht="15" thickBot="1" x14ac:dyDescent="0.4">
      <c r="B83" s="480">
        <v>6116</v>
      </c>
      <c r="C83" s="481" t="s">
        <v>747</v>
      </c>
      <c r="D83" s="482"/>
      <c r="E83" s="483">
        <v>1</v>
      </c>
      <c r="F83" s="484">
        <v>60000</v>
      </c>
      <c r="G83" s="476">
        <f>+E83*F83</f>
        <v>60000</v>
      </c>
      <c r="H83" s="541">
        <v>25000</v>
      </c>
    </row>
    <row r="84" spans="2:12" ht="15" thickBot="1" x14ac:dyDescent="0.4">
      <c r="B84" s="485">
        <v>5028</v>
      </c>
      <c r="C84" s="444" t="s">
        <v>751</v>
      </c>
      <c r="D84" s="445"/>
      <c r="E84" s="486"/>
      <c r="F84" s="487"/>
      <c r="G84" s="488">
        <f>SUM(G85:G88)</f>
        <v>30038</v>
      </c>
      <c r="H84" s="542">
        <f>H85+H86+H87+H88</f>
        <v>14638</v>
      </c>
    </row>
    <row r="85" spans="2:12" x14ac:dyDescent="0.35">
      <c r="B85" s="468">
        <v>6300</v>
      </c>
      <c r="C85" s="489" t="s">
        <v>808</v>
      </c>
      <c r="D85" s="490"/>
      <c r="E85" s="491">
        <v>1</v>
      </c>
      <c r="F85" s="492">
        <v>10000</v>
      </c>
      <c r="G85" s="493">
        <f>E85*F85</f>
        <v>10000</v>
      </c>
      <c r="H85" s="543">
        <v>5000</v>
      </c>
    </row>
    <row r="86" spans="2:12" ht="15" thickBot="1" x14ac:dyDescent="0.4">
      <c r="B86" s="468">
        <v>6300</v>
      </c>
      <c r="C86" s="489" t="s">
        <v>877</v>
      </c>
      <c r="D86" s="490"/>
      <c r="E86" s="491">
        <v>1</v>
      </c>
      <c r="F86" s="492">
        <v>15000</v>
      </c>
      <c r="G86" s="494">
        <f>E86*F86</f>
        <v>15000</v>
      </c>
      <c r="H86" s="543">
        <v>7000</v>
      </c>
    </row>
    <row r="87" spans="2:12" x14ac:dyDescent="0.35">
      <c r="B87" s="456">
        <v>6300</v>
      </c>
      <c r="C87" s="495" t="s">
        <v>809</v>
      </c>
      <c r="D87" s="457">
        <f>+E43+12</f>
        <v>33</v>
      </c>
      <c r="E87" s="458"/>
      <c r="F87" s="459">
        <v>130</v>
      </c>
      <c r="G87" s="437">
        <f>D87*F87</f>
        <v>4290</v>
      </c>
      <c r="H87" s="537">
        <v>2290</v>
      </c>
      <c r="J87" s="496"/>
      <c r="K87" s="496"/>
      <c r="L87" s="496"/>
    </row>
    <row r="88" spans="2:12" ht="26.5" thickBot="1" x14ac:dyDescent="0.4">
      <c r="B88" s="495">
        <v>6300</v>
      </c>
      <c r="C88" s="456" t="s">
        <v>810</v>
      </c>
      <c r="D88" s="457"/>
      <c r="E88" s="458">
        <f>10+7</f>
        <v>17</v>
      </c>
      <c r="F88" s="459">
        <v>44</v>
      </c>
      <c r="G88" s="460">
        <f>+E88*F88</f>
        <v>748</v>
      </c>
      <c r="H88" s="537">
        <v>348</v>
      </c>
    </row>
    <row r="89" spans="2:12" ht="26.5" thickBot="1" x14ac:dyDescent="0.4">
      <c r="B89" s="544">
        <v>5050</v>
      </c>
      <c r="C89" s="497" t="s">
        <v>762</v>
      </c>
      <c r="D89" s="498"/>
      <c r="E89" s="486"/>
      <c r="F89" s="487"/>
      <c r="G89" s="488">
        <f>+G90+G91</f>
        <v>13360</v>
      </c>
      <c r="H89" s="542">
        <f>H90+H91</f>
        <v>6120</v>
      </c>
    </row>
    <row r="90" spans="2:12" x14ac:dyDescent="0.35">
      <c r="B90" s="499"/>
      <c r="C90" s="456" t="s">
        <v>811</v>
      </c>
      <c r="D90" s="500">
        <f>D19*E19+D21*E21+D23*E23+D24*E24+D26*E26+D28*E28+D29*E29+D30*E30+D32*E32+D33*E33+D34*E34</f>
        <v>20</v>
      </c>
      <c r="E90" s="458">
        <v>1</v>
      </c>
      <c r="F90" s="459">
        <v>168</v>
      </c>
      <c r="G90" s="501">
        <f>D90*F90</f>
        <v>3360</v>
      </c>
      <c r="H90" s="537">
        <v>1120</v>
      </c>
    </row>
    <row r="91" spans="2:12" ht="15" thickBot="1" x14ac:dyDescent="0.4">
      <c r="B91" s="499"/>
      <c r="C91" s="499" t="s">
        <v>764</v>
      </c>
      <c r="D91" s="440"/>
      <c r="E91" s="441"/>
      <c r="F91" s="442"/>
      <c r="G91" s="443">
        <v>10000</v>
      </c>
      <c r="H91" s="535">
        <v>5000</v>
      </c>
    </row>
    <row r="92" spans="2:12" ht="15" thickBot="1" x14ac:dyDescent="0.4">
      <c r="B92" s="502"/>
      <c r="C92" s="502" t="s">
        <v>878</v>
      </c>
      <c r="D92" s="503"/>
      <c r="E92" s="504"/>
      <c r="F92" s="505"/>
      <c r="G92" s="506">
        <f>G89+G84+G80+G72+G65+G62+G52+G50+G44+G10</f>
        <v>1322587</v>
      </c>
      <c r="H92" s="545">
        <f>H89+H84+H80+H72+H65+H62+H52+H50+H44+H18+H15+H11</f>
        <v>654206.66666666674</v>
      </c>
    </row>
    <row r="93" spans="2:12" ht="15" thickBot="1" x14ac:dyDescent="0.4">
      <c r="B93" s="508">
        <v>5029</v>
      </c>
      <c r="C93" s="508" t="s">
        <v>813</v>
      </c>
      <c r="D93" s="509"/>
      <c r="E93" s="510"/>
      <c r="F93" s="511"/>
      <c r="G93" s="512">
        <f>+G92*0.07</f>
        <v>92581.090000000011</v>
      </c>
      <c r="H93" s="546">
        <f>H92*7/100</f>
        <v>45794.466666666667</v>
      </c>
    </row>
    <row r="94" spans="2:12" ht="15" thickBot="1" x14ac:dyDescent="0.4">
      <c r="B94" s="748" t="s">
        <v>814</v>
      </c>
      <c r="C94" s="749"/>
      <c r="D94" s="513"/>
      <c r="E94" s="514"/>
      <c r="F94" s="515"/>
      <c r="G94" s="507">
        <f>+G93+G92</f>
        <v>1415168.09</v>
      </c>
      <c r="H94" s="547">
        <f>H92+H93</f>
        <v>700001.13333333342</v>
      </c>
    </row>
  </sheetData>
  <mergeCells count="1">
    <mergeCell ref="B94:C94"/>
  </mergeCells>
  <dataValidations count="1">
    <dataValidation allowBlank="1" showInputMessage="1" showErrorMessage="1" prompt="Insert *text* description of Output here" sqref="C66:C68"/>
  </dataValidation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223"/>
  <sheetViews>
    <sheetView showGridLines="0" showZeros="0" tabSelected="1" topLeftCell="T1" zoomScale="70" zoomScaleNormal="70" zoomScalePageLayoutView="55" workbookViewId="0">
      <selection activeCell="C16" sqref="C16:AC16"/>
    </sheetView>
  </sheetViews>
  <sheetFormatPr defaultColWidth="9.1796875" defaultRowHeight="14.5" x14ac:dyDescent="0.35"/>
  <cols>
    <col min="1" max="1" width="9.1796875" style="39"/>
    <col min="2" max="2" width="30.453125" style="39" customWidth="1"/>
    <col min="3" max="3" width="55.54296875" style="39" customWidth="1"/>
    <col min="4" max="6" width="23.1796875" style="39" hidden="1" customWidth="1"/>
    <col min="7" max="8" width="19.453125" style="39" hidden="1" customWidth="1"/>
    <col min="9" max="11" width="24.81640625" style="39" hidden="1" customWidth="1"/>
    <col min="12" max="16" width="23.1796875" style="39" customWidth="1"/>
    <col min="17" max="20" width="26.81640625" style="39" customWidth="1"/>
    <col min="21" max="25" width="23.1796875" style="39" customWidth="1"/>
    <col min="26" max="28" width="26.81640625" style="39" customWidth="1"/>
    <col min="29" max="29" width="30.453125" style="39" customWidth="1"/>
    <col min="30" max="30" width="19.453125" style="39" customWidth="1"/>
    <col min="31" max="31" width="26.453125" style="39" customWidth="1"/>
    <col min="32" max="32" width="22.453125" style="39" customWidth="1"/>
    <col min="33" max="33" width="29.453125" style="39" customWidth="1"/>
    <col min="34" max="34" width="23.453125" style="39" customWidth="1"/>
    <col min="35" max="35" width="18.453125" style="39" customWidth="1"/>
    <col min="36" max="36" width="17.453125" style="39" customWidth="1"/>
    <col min="37" max="37" width="25.1796875" style="39" customWidth="1"/>
    <col min="38" max="16384" width="9.1796875" style="39"/>
  </cols>
  <sheetData>
    <row r="1" spans="2:31" ht="40.25" customHeight="1" x14ac:dyDescent="0.7">
      <c r="B1" s="722" t="s">
        <v>772</v>
      </c>
    </row>
    <row r="2" spans="2:31" ht="40.25" customHeight="1" x14ac:dyDescent="1">
      <c r="B2" s="770" t="s">
        <v>517</v>
      </c>
      <c r="C2" s="770"/>
      <c r="D2" s="770"/>
      <c r="E2" s="770"/>
      <c r="F2" s="37"/>
      <c r="G2" s="37"/>
      <c r="H2" s="37"/>
      <c r="I2" s="37"/>
      <c r="J2" s="37"/>
      <c r="K2" s="38"/>
      <c r="L2" s="37"/>
      <c r="M2" s="37"/>
      <c r="N2" s="37"/>
      <c r="O2" s="37"/>
      <c r="P2" s="37"/>
      <c r="Q2" s="37"/>
      <c r="R2" s="37"/>
      <c r="S2" s="37"/>
      <c r="T2" s="38"/>
      <c r="U2" s="37"/>
      <c r="V2" s="37"/>
      <c r="W2" s="37"/>
      <c r="X2" s="37"/>
      <c r="Y2" s="37"/>
      <c r="Z2" s="37"/>
      <c r="AA2" s="37"/>
      <c r="AB2" s="38"/>
      <c r="AC2" s="38"/>
    </row>
    <row r="3" spans="2:31" ht="40.25" customHeight="1" x14ac:dyDescent="0.35">
      <c r="B3" s="130"/>
    </row>
    <row r="4" spans="2:31" ht="40.25" customHeight="1" thickBot="1" x14ac:dyDescent="0.4">
      <c r="B4" s="41"/>
    </row>
    <row r="5" spans="2:31" ht="36" x14ac:dyDescent="0.8">
      <c r="B5" s="105" t="s">
        <v>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2"/>
    </row>
    <row r="6" spans="2:31" ht="21.5" thickBot="1" x14ac:dyDescent="0.55000000000000004">
      <c r="B6" s="767" t="s">
        <v>576</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9"/>
    </row>
    <row r="7" spans="2:31" x14ac:dyDescent="0.35">
      <c r="B7" s="42"/>
    </row>
    <row r="8" spans="2:31" ht="15" thickBot="1" x14ac:dyDescent="0.4"/>
    <row r="9" spans="2:31" ht="26.5" thickBot="1" x14ac:dyDescent="0.65">
      <c r="B9" s="771" t="s">
        <v>373</v>
      </c>
      <c r="C9" s="772"/>
      <c r="D9" s="772"/>
      <c r="E9" s="772"/>
      <c r="F9" s="772"/>
      <c r="G9" s="772"/>
      <c r="H9" s="772"/>
      <c r="I9" s="772"/>
      <c r="J9" s="772"/>
      <c r="K9" s="772"/>
      <c r="L9" s="772"/>
      <c r="M9" s="772"/>
      <c r="N9" s="772"/>
      <c r="O9" s="772"/>
      <c r="P9" s="772"/>
      <c r="Q9" s="772"/>
      <c r="R9" s="772"/>
      <c r="S9" s="772"/>
      <c r="T9" s="773"/>
      <c r="U9" s="720"/>
      <c r="V9" s="720"/>
      <c r="W9" s="720"/>
      <c r="X9" s="720"/>
      <c r="Y9" s="720"/>
      <c r="Z9" s="720"/>
      <c r="AA9" s="720"/>
      <c r="AB9" s="721"/>
    </row>
    <row r="11" spans="2:31" ht="15" thickBot="1" x14ac:dyDescent="0.4"/>
    <row r="12" spans="2:31" ht="40.4" customHeight="1" thickBot="1" x14ac:dyDescent="0.85">
      <c r="B12" s="775" t="s">
        <v>374</v>
      </c>
      <c r="C12" s="95"/>
      <c r="D12" s="776" t="s">
        <v>951</v>
      </c>
      <c r="E12" s="777"/>
      <c r="F12" s="777"/>
      <c r="G12" s="777"/>
      <c r="H12" s="777"/>
      <c r="I12" s="777"/>
      <c r="J12" s="777"/>
      <c r="K12" s="777"/>
      <c r="L12" s="778" t="s">
        <v>888</v>
      </c>
      <c r="M12" s="779"/>
      <c r="N12" s="779"/>
      <c r="O12" s="779"/>
      <c r="P12" s="779"/>
      <c r="Q12" s="779"/>
      <c r="R12" s="779"/>
      <c r="S12" s="779"/>
      <c r="T12" s="780"/>
      <c r="U12" s="915" t="s">
        <v>957</v>
      </c>
      <c r="V12" s="916"/>
      <c r="W12" s="916"/>
      <c r="X12" s="916"/>
      <c r="Y12" s="916"/>
      <c r="Z12" s="916"/>
      <c r="AA12" s="916"/>
      <c r="AB12" s="916"/>
      <c r="AC12" s="40"/>
    </row>
    <row r="13" spans="2:31" ht="124" x14ac:dyDescent="0.35">
      <c r="B13" s="775"/>
      <c r="C13" s="95" t="s">
        <v>518</v>
      </c>
      <c r="D13" s="586" t="s">
        <v>654</v>
      </c>
      <c r="E13" s="26" t="s">
        <v>655</v>
      </c>
      <c r="F13" s="26" t="s">
        <v>656</v>
      </c>
      <c r="G13" s="26" t="s">
        <v>653</v>
      </c>
      <c r="H13" s="26" t="s">
        <v>657</v>
      </c>
      <c r="I13" s="26" t="s">
        <v>661</v>
      </c>
      <c r="J13" s="26" t="s">
        <v>13</v>
      </c>
      <c r="K13" s="26" t="s">
        <v>519</v>
      </c>
      <c r="L13" s="617" t="s">
        <v>654</v>
      </c>
      <c r="M13" s="617" t="s">
        <v>655</v>
      </c>
      <c r="N13" s="617" t="s">
        <v>656</v>
      </c>
      <c r="O13" s="617" t="s">
        <v>653</v>
      </c>
      <c r="P13" s="617" t="s">
        <v>657</v>
      </c>
      <c r="Q13" s="617" t="s">
        <v>661</v>
      </c>
      <c r="R13" s="617" t="s">
        <v>13</v>
      </c>
      <c r="S13" s="617" t="s">
        <v>887</v>
      </c>
      <c r="T13" s="617" t="s">
        <v>519</v>
      </c>
      <c r="U13" s="877" t="s">
        <v>953</v>
      </c>
      <c r="V13" s="877" t="s">
        <v>953</v>
      </c>
      <c r="W13" s="877" t="s">
        <v>953</v>
      </c>
      <c r="X13" s="877" t="s">
        <v>953</v>
      </c>
      <c r="Y13" s="877" t="s">
        <v>953</v>
      </c>
      <c r="Z13" s="877" t="s">
        <v>953</v>
      </c>
      <c r="AA13" s="878" t="s">
        <v>13</v>
      </c>
      <c r="AB13" s="878" t="s">
        <v>954</v>
      </c>
      <c r="AC13" s="26" t="s">
        <v>520</v>
      </c>
      <c r="AD13" s="39" t="s">
        <v>891</v>
      </c>
      <c r="AE13" s="95" t="s">
        <v>890</v>
      </c>
    </row>
    <row r="14" spans="2:31" ht="15.5" x14ac:dyDescent="0.35">
      <c r="B14" s="46"/>
      <c r="C14" s="46"/>
      <c r="D14" s="146" t="s">
        <v>650</v>
      </c>
      <c r="E14" s="146" t="s">
        <v>651</v>
      </c>
      <c r="F14" s="146" t="s">
        <v>652</v>
      </c>
      <c r="G14" s="146" t="s">
        <v>658</v>
      </c>
      <c r="H14" s="146" t="s">
        <v>659</v>
      </c>
      <c r="I14" s="146" t="s">
        <v>660</v>
      </c>
      <c r="J14" s="26"/>
      <c r="K14" s="46"/>
      <c r="L14" s="26" t="s">
        <v>650</v>
      </c>
      <c r="M14" s="26" t="s">
        <v>651</v>
      </c>
      <c r="N14" s="26" t="s">
        <v>652</v>
      </c>
      <c r="O14" s="26" t="s">
        <v>658</v>
      </c>
      <c r="P14" s="26" t="s">
        <v>659</v>
      </c>
      <c r="Q14" s="26" t="s">
        <v>660</v>
      </c>
      <c r="R14" s="26"/>
      <c r="S14" s="26"/>
      <c r="T14" s="46"/>
      <c r="U14" s="877" t="s">
        <v>650</v>
      </c>
      <c r="V14" s="877" t="s">
        <v>651</v>
      </c>
      <c r="W14" s="877" t="s">
        <v>652</v>
      </c>
      <c r="X14" s="877" t="s">
        <v>658</v>
      </c>
      <c r="Y14" s="877" t="s">
        <v>659</v>
      </c>
      <c r="Z14" s="877" t="s">
        <v>660</v>
      </c>
      <c r="AA14" s="877"/>
      <c r="AB14" s="879"/>
      <c r="AC14" s="46"/>
      <c r="AE14" s="646"/>
    </row>
    <row r="15" spans="2:31" ht="15.65" customHeight="1" x14ac:dyDescent="0.35">
      <c r="B15" s="93" t="s">
        <v>375</v>
      </c>
      <c r="C15" s="723" t="s">
        <v>583</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E15" s="646"/>
    </row>
    <row r="16" spans="2:31" ht="36.65" customHeight="1" x14ac:dyDescent="0.35">
      <c r="B16" s="93" t="s">
        <v>376</v>
      </c>
      <c r="C16" s="774" t="s">
        <v>584</v>
      </c>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E16" s="646"/>
    </row>
    <row r="17" spans="1:31" ht="77.5" x14ac:dyDescent="0.35">
      <c r="B17" s="94" t="s">
        <v>377</v>
      </c>
      <c r="C17" s="654" t="s">
        <v>894</v>
      </c>
      <c r="D17" s="17">
        <v>56935</v>
      </c>
      <c r="E17" s="17">
        <v>10915</v>
      </c>
      <c r="F17" s="17">
        <v>10915</v>
      </c>
      <c r="G17" s="17"/>
      <c r="H17" s="17">
        <v>0</v>
      </c>
      <c r="I17" s="17"/>
      <c r="J17" s="115">
        <f t="shared" ref="J17:J24" si="0">SUM(D17:I17)</f>
        <v>78765</v>
      </c>
      <c r="K17" s="112">
        <v>0.3</v>
      </c>
      <c r="L17" s="618">
        <f>56000-16000</f>
        <v>40000</v>
      </c>
      <c r="M17" s="618">
        <v>10125</v>
      </c>
      <c r="N17" s="618">
        <v>10125</v>
      </c>
      <c r="O17" s="17"/>
      <c r="P17" s="17">
        <v>0</v>
      </c>
      <c r="Q17" s="17"/>
      <c r="R17" s="587">
        <f>SUM(L17:Q17)</f>
        <v>60250</v>
      </c>
      <c r="S17" s="17">
        <f>+R17-J17</f>
        <v>-18515</v>
      </c>
      <c r="T17" s="112">
        <v>0.3</v>
      </c>
      <c r="U17" s="17">
        <v>49350.78</v>
      </c>
      <c r="V17" s="17">
        <v>10219.27</v>
      </c>
      <c r="W17" s="17">
        <v>9845.83</v>
      </c>
      <c r="X17" s="880"/>
      <c r="Y17" s="880"/>
      <c r="Z17" s="880"/>
      <c r="AA17" s="881">
        <f>SUM(U17:Z17)</f>
        <v>69415.88</v>
      </c>
      <c r="AB17" s="882">
        <f t="shared" ref="AB17:AB22" si="1">AA17*T17</f>
        <v>20824.763999999999</v>
      </c>
      <c r="AC17" s="103" t="s">
        <v>642</v>
      </c>
      <c r="AD17" s="39">
        <v>6</v>
      </c>
      <c r="AE17" s="647">
        <f>IFERROR(S17/J17,"")</f>
        <v>-0.23506633657081191</v>
      </c>
    </row>
    <row r="18" spans="1:31" ht="62" x14ac:dyDescent="0.35">
      <c r="B18" s="94" t="s">
        <v>378</v>
      </c>
      <c r="C18" s="16" t="s">
        <v>631</v>
      </c>
      <c r="D18" s="17">
        <v>11705</v>
      </c>
      <c r="E18" s="17">
        <v>4920</v>
      </c>
      <c r="F18" s="17">
        <v>4920</v>
      </c>
      <c r="G18" s="17"/>
      <c r="H18" s="17">
        <v>0</v>
      </c>
      <c r="I18" s="17"/>
      <c r="J18" s="115">
        <f t="shared" si="0"/>
        <v>21545</v>
      </c>
      <c r="K18" s="112">
        <v>0.3</v>
      </c>
      <c r="L18" s="618">
        <v>11000</v>
      </c>
      <c r="M18" s="618">
        <v>4000</v>
      </c>
      <c r="N18" s="618">
        <v>4000</v>
      </c>
      <c r="O18" s="17"/>
      <c r="P18" s="17">
        <v>0</v>
      </c>
      <c r="Q18" s="17"/>
      <c r="R18" s="587">
        <f t="shared" ref="R18:R24" si="2">SUM(L18:Q18)</f>
        <v>19000</v>
      </c>
      <c r="S18" s="17">
        <f t="shared" ref="S18:S24" si="3">+R18-J18</f>
        <v>-2545</v>
      </c>
      <c r="T18" s="112">
        <v>0.3</v>
      </c>
      <c r="U18" s="17">
        <v>12842.2</v>
      </c>
      <c r="V18" s="17">
        <v>4285.53</v>
      </c>
      <c r="W18" s="17">
        <v>1557.09</v>
      </c>
      <c r="X18" s="880"/>
      <c r="Y18" s="880"/>
      <c r="Z18" s="880"/>
      <c r="AA18" s="881">
        <f t="shared" ref="AA18:AA24" si="4">SUM(U18:Z18)</f>
        <v>18684.82</v>
      </c>
      <c r="AB18" s="882">
        <f t="shared" si="1"/>
        <v>5605.4459999999999</v>
      </c>
      <c r="AC18" s="103" t="s">
        <v>637</v>
      </c>
      <c r="AD18" s="39">
        <v>6</v>
      </c>
      <c r="AE18" s="647">
        <f t="shared" ref="AE18:AE83" si="5">IFERROR(S18/J18,"")</f>
        <v>-0.11812485495474588</v>
      </c>
    </row>
    <row r="19" spans="1:31" ht="77.5" x14ac:dyDescent="0.35">
      <c r="B19" s="94" t="s">
        <v>379</v>
      </c>
      <c r="C19" s="16" t="s">
        <v>632</v>
      </c>
      <c r="D19" s="17">
        <v>198550</v>
      </c>
      <c r="E19" s="17">
        <v>51580</v>
      </c>
      <c r="F19" s="17">
        <v>51580</v>
      </c>
      <c r="G19" s="17"/>
      <c r="H19" s="17">
        <v>0</v>
      </c>
      <c r="I19" s="17"/>
      <c r="J19" s="115">
        <f t="shared" si="0"/>
        <v>301710</v>
      </c>
      <c r="K19" s="112">
        <v>0.3</v>
      </c>
      <c r="L19" s="618">
        <f>198550-20000-2977.37383177574</f>
        <v>175572.62616822426</v>
      </c>
      <c r="M19" s="618">
        <v>51580</v>
      </c>
      <c r="N19" s="618">
        <v>51580</v>
      </c>
      <c r="O19" s="17"/>
      <c r="P19" s="17">
        <v>0</v>
      </c>
      <c r="Q19" s="17"/>
      <c r="R19" s="587">
        <f t="shared" si="2"/>
        <v>278732.62616822426</v>
      </c>
      <c r="S19" s="17">
        <f t="shared" si="3"/>
        <v>-22977.373831775738</v>
      </c>
      <c r="T19" s="112">
        <v>0.3</v>
      </c>
      <c r="U19" s="241">
        <v>200920.33</v>
      </c>
      <c r="V19" s="17">
        <v>51477.04</v>
      </c>
      <c r="W19" s="17">
        <v>51323.57</v>
      </c>
      <c r="X19" s="880"/>
      <c r="Y19" s="880"/>
      <c r="Z19" s="880"/>
      <c r="AA19" s="881">
        <f t="shared" si="4"/>
        <v>303720.94</v>
      </c>
      <c r="AB19" s="882">
        <f t="shared" si="1"/>
        <v>91116.281999999992</v>
      </c>
      <c r="AC19" s="103" t="s">
        <v>643</v>
      </c>
      <c r="AD19" s="39">
        <v>6</v>
      </c>
      <c r="AE19" s="647">
        <f t="shared" si="5"/>
        <v>-7.6157150348930225E-2</v>
      </c>
    </row>
    <row r="20" spans="1:31" ht="46.5" x14ac:dyDescent="0.35">
      <c r="B20" s="94" t="s">
        <v>380</v>
      </c>
      <c r="C20" s="144" t="s">
        <v>633</v>
      </c>
      <c r="D20" s="17">
        <v>6000</v>
      </c>
      <c r="E20" s="17">
        <v>2000</v>
      </c>
      <c r="F20" s="17">
        <v>2000</v>
      </c>
      <c r="G20" s="17"/>
      <c r="H20" s="17"/>
      <c r="I20" s="17"/>
      <c r="J20" s="115">
        <f t="shared" si="0"/>
        <v>10000</v>
      </c>
      <c r="K20" s="112">
        <v>0.3</v>
      </c>
      <c r="L20" s="618">
        <v>6000</v>
      </c>
      <c r="M20" s="618">
        <v>2000</v>
      </c>
      <c r="N20" s="618">
        <v>2000</v>
      </c>
      <c r="O20" s="17"/>
      <c r="P20" s="17"/>
      <c r="Q20" s="17"/>
      <c r="R20" s="587">
        <f t="shared" si="2"/>
        <v>10000</v>
      </c>
      <c r="S20" s="17">
        <f t="shared" si="3"/>
        <v>0</v>
      </c>
      <c r="T20" s="112">
        <v>0.3</v>
      </c>
      <c r="U20" s="17">
        <v>6202.55</v>
      </c>
      <c r="V20" s="17">
        <v>1953.85</v>
      </c>
      <c r="W20" s="17">
        <v>2000</v>
      </c>
      <c r="X20" s="880"/>
      <c r="Y20" s="880"/>
      <c r="Z20" s="880"/>
      <c r="AA20" s="881">
        <f t="shared" si="4"/>
        <v>10156.4</v>
      </c>
      <c r="AB20" s="882">
        <f t="shared" si="1"/>
        <v>3046.9199999999996</v>
      </c>
      <c r="AC20" s="103" t="s">
        <v>638</v>
      </c>
      <c r="AD20" s="39">
        <v>4</v>
      </c>
      <c r="AE20" s="647">
        <f t="shared" si="5"/>
        <v>0</v>
      </c>
    </row>
    <row r="21" spans="1:31" ht="62" x14ac:dyDescent="0.35">
      <c r="B21" s="94" t="s">
        <v>381</v>
      </c>
      <c r="C21" s="658" t="s">
        <v>895</v>
      </c>
      <c r="D21" s="683"/>
      <c r="E21" s="683"/>
      <c r="F21" s="683"/>
      <c r="G21" s="17"/>
      <c r="H21" s="17"/>
      <c r="I21" s="17"/>
      <c r="J21" s="115">
        <f t="shared" si="0"/>
        <v>0</v>
      </c>
      <c r="K21" s="112"/>
      <c r="L21" s="683">
        <v>30000</v>
      </c>
      <c r="M21" s="683">
        <f>20000-5000</f>
        <v>15000</v>
      </c>
      <c r="N21" s="683">
        <f>20000-5000</f>
        <v>15000</v>
      </c>
      <c r="O21" s="618"/>
      <c r="P21" s="618"/>
      <c r="Q21" s="618"/>
      <c r="R21" s="655">
        <f t="shared" si="2"/>
        <v>60000</v>
      </c>
      <c r="S21" s="618">
        <f t="shared" si="3"/>
        <v>60000</v>
      </c>
      <c r="T21" s="656">
        <v>0.3</v>
      </c>
      <c r="U21" s="880"/>
      <c r="V21" s="880"/>
      <c r="W21" s="880"/>
      <c r="X21" s="880"/>
      <c r="Y21" s="880"/>
      <c r="Z21" s="880"/>
      <c r="AA21" s="881">
        <f t="shared" si="4"/>
        <v>0</v>
      </c>
      <c r="AB21" s="883">
        <f t="shared" si="1"/>
        <v>0</v>
      </c>
      <c r="AC21" s="103" t="s">
        <v>640</v>
      </c>
      <c r="AE21" s="647" t="str">
        <f t="shared" si="5"/>
        <v/>
      </c>
    </row>
    <row r="22" spans="1:31" ht="62" x14ac:dyDescent="0.35">
      <c r="B22" s="94" t="s">
        <v>382</v>
      </c>
      <c r="C22" s="658" t="s">
        <v>896</v>
      </c>
      <c r="D22" s="683"/>
      <c r="E22" s="683"/>
      <c r="F22" s="683"/>
      <c r="G22" s="17"/>
      <c r="H22" s="17"/>
      <c r="I22" s="17"/>
      <c r="J22" s="115">
        <f t="shared" si="0"/>
        <v>0</v>
      </c>
      <c r="K22" s="112"/>
      <c r="L22" s="683">
        <v>40000</v>
      </c>
      <c r="M22" s="683">
        <f>30000-7039.44859813081</f>
        <v>22960.55140186919</v>
      </c>
      <c r="N22" s="683">
        <f>30000-7039.44859813081</f>
        <v>22960.55140186919</v>
      </c>
      <c r="O22" s="618"/>
      <c r="P22" s="618"/>
      <c r="Q22" s="618"/>
      <c r="R22" s="655">
        <f t="shared" si="2"/>
        <v>85921.10280373838</v>
      </c>
      <c r="S22" s="618">
        <f t="shared" si="3"/>
        <v>85921.10280373838</v>
      </c>
      <c r="T22" s="656">
        <v>0.3</v>
      </c>
      <c r="U22" s="880"/>
      <c r="V22" s="880"/>
      <c r="W22" s="880"/>
      <c r="X22" s="880"/>
      <c r="Y22" s="880"/>
      <c r="Z22" s="880"/>
      <c r="AA22" s="881">
        <f t="shared" si="4"/>
        <v>0</v>
      </c>
      <c r="AB22" s="883">
        <f t="shared" si="1"/>
        <v>0</v>
      </c>
      <c r="AC22" s="103" t="s">
        <v>640</v>
      </c>
      <c r="AE22" s="647" t="str">
        <f t="shared" si="5"/>
        <v/>
      </c>
    </row>
    <row r="23" spans="1:31" ht="15.5" x14ac:dyDescent="0.35">
      <c r="B23" s="94" t="s">
        <v>383</v>
      </c>
      <c r="C23" s="653"/>
      <c r="D23" s="18"/>
      <c r="E23" s="18"/>
      <c r="F23" s="18"/>
      <c r="G23" s="18"/>
      <c r="H23" s="18"/>
      <c r="I23" s="18"/>
      <c r="J23" s="115">
        <f t="shared" si="0"/>
        <v>0</v>
      </c>
      <c r="K23" s="113"/>
      <c r="L23" s="18"/>
      <c r="M23" s="18"/>
      <c r="N23" s="18"/>
      <c r="O23" s="18"/>
      <c r="P23" s="18"/>
      <c r="Q23" s="17"/>
      <c r="R23" s="587">
        <f t="shared" si="2"/>
        <v>0</v>
      </c>
      <c r="S23" s="17">
        <f t="shared" si="3"/>
        <v>0</v>
      </c>
      <c r="T23" s="113"/>
      <c r="U23" s="880"/>
      <c r="V23" s="880"/>
      <c r="W23" s="880"/>
      <c r="X23" s="880"/>
      <c r="Y23" s="880"/>
      <c r="Z23" s="880"/>
      <c r="AA23" s="881">
        <f t="shared" si="4"/>
        <v>0</v>
      </c>
      <c r="AB23" s="113"/>
      <c r="AC23" s="104"/>
      <c r="AE23" s="647" t="str">
        <f t="shared" si="5"/>
        <v/>
      </c>
    </row>
    <row r="24" spans="1:31" ht="15.5" x14ac:dyDescent="0.35">
      <c r="A24" s="40"/>
      <c r="B24" s="94" t="s">
        <v>384</v>
      </c>
      <c r="C24" s="653"/>
      <c r="D24" s="18"/>
      <c r="E24" s="18"/>
      <c r="F24" s="18"/>
      <c r="G24" s="18"/>
      <c r="H24" s="18"/>
      <c r="I24" s="18"/>
      <c r="J24" s="115">
        <f t="shared" si="0"/>
        <v>0</v>
      </c>
      <c r="K24" s="113"/>
      <c r="L24" s="18"/>
      <c r="M24" s="18"/>
      <c r="N24" s="18"/>
      <c r="O24" s="18"/>
      <c r="P24" s="18"/>
      <c r="Q24" s="17"/>
      <c r="R24" s="587">
        <f t="shared" si="2"/>
        <v>0</v>
      </c>
      <c r="S24" s="17">
        <f t="shared" si="3"/>
        <v>0</v>
      </c>
      <c r="T24" s="113"/>
      <c r="U24" s="18"/>
      <c r="V24" s="18"/>
      <c r="W24" s="18"/>
      <c r="X24" s="18"/>
      <c r="Y24" s="18"/>
      <c r="Z24" s="17"/>
      <c r="AA24" s="881">
        <f t="shared" si="4"/>
        <v>0</v>
      </c>
      <c r="AB24" s="113"/>
      <c r="AC24" s="104"/>
      <c r="AE24" s="647" t="str">
        <f t="shared" si="5"/>
        <v/>
      </c>
    </row>
    <row r="25" spans="1:31" ht="15.5" x14ac:dyDescent="0.35">
      <c r="A25" s="40"/>
      <c r="C25" s="95" t="s">
        <v>521</v>
      </c>
      <c r="D25" s="19">
        <f>SUM(D17:D24)</f>
        <v>273190</v>
      </c>
      <c r="E25" s="19">
        <f>SUM(E17:E24)</f>
        <v>69415</v>
      </c>
      <c r="F25" s="19">
        <f>SUM(F17:F24)</f>
        <v>69415</v>
      </c>
      <c r="G25" s="19">
        <f t="shared" ref="G25:I25" si="6">SUM(G17:G24)</f>
        <v>0</v>
      </c>
      <c r="H25" s="19">
        <f>SUM(H17:H24)</f>
        <v>0</v>
      </c>
      <c r="I25" s="19">
        <f t="shared" si="6"/>
        <v>0</v>
      </c>
      <c r="J25" s="19">
        <f>SUM(J17:J24)</f>
        <v>412020</v>
      </c>
      <c r="K25" s="19">
        <f>(K17*J17)+(K18*J18)+(K19*J19)+(K20*J20)+(K21*J21)+(K22*J22)+(K23*J23)+(K24*J24)</f>
        <v>123606</v>
      </c>
      <c r="L25" s="588">
        <f>SUM(L17:L24)</f>
        <v>302572.62616822426</v>
      </c>
      <c r="M25" s="588">
        <f>SUM(M17:M24)</f>
        <v>105665.55140186919</v>
      </c>
      <c r="N25" s="588">
        <f>SUM(N17:N24)</f>
        <v>105665.55140186919</v>
      </c>
      <c r="O25" s="588">
        <f t="shared" ref="O25:Q25" si="7">SUM(O17:O24)</f>
        <v>0</v>
      </c>
      <c r="P25" s="588">
        <f t="shared" si="7"/>
        <v>0</v>
      </c>
      <c r="Q25" s="588">
        <f t="shared" si="7"/>
        <v>0</v>
      </c>
      <c r="R25" s="588">
        <f>SUM(R17:R24)</f>
        <v>513903.72897196264</v>
      </c>
      <c r="S25" s="588">
        <f t="shared" ref="S25" si="8">SUM(S17:S24)</f>
        <v>101883.72897196264</v>
      </c>
      <c r="T25" s="19">
        <f>(T17*R17)+(T18*R18)+(T19*R19)+(T20*R20)+(T21*R21)+(T22*R22)+(T23*R23)+(T24*R24)</f>
        <v>154171.11869158878</v>
      </c>
      <c r="U25" s="884">
        <f t="shared" ref="U25:Z25" si="9">SUM(U17:U24)</f>
        <v>269315.86</v>
      </c>
      <c r="V25" s="884">
        <f t="shared" si="9"/>
        <v>67935.69</v>
      </c>
      <c r="W25" s="884">
        <f t="shared" si="9"/>
        <v>64726.49</v>
      </c>
      <c r="X25" s="884">
        <f t="shared" si="9"/>
        <v>0</v>
      </c>
      <c r="Y25" s="884">
        <f t="shared" si="9"/>
        <v>0</v>
      </c>
      <c r="Z25" s="884">
        <f t="shared" si="9"/>
        <v>0</v>
      </c>
      <c r="AA25" s="884">
        <f>SUM(AA17:AA24)</f>
        <v>401978.04000000004</v>
      </c>
      <c r="AB25" s="884">
        <f>SUM(AB17:AB24)</f>
        <v>120593.412</v>
      </c>
      <c r="AC25" s="104"/>
      <c r="AE25" s="648">
        <f t="shared" si="5"/>
        <v>0.24727860048532266</v>
      </c>
    </row>
    <row r="26" spans="1:31" ht="15.5" x14ac:dyDescent="0.35">
      <c r="A26" s="40"/>
      <c r="B26" s="93" t="s">
        <v>385</v>
      </c>
      <c r="C26" s="774" t="s">
        <v>585</v>
      </c>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E26" s="647" t="str">
        <f t="shared" si="5"/>
        <v/>
      </c>
    </row>
    <row r="27" spans="1:31" ht="46.5" x14ac:dyDescent="0.35">
      <c r="A27" s="40"/>
      <c r="B27" s="94" t="s">
        <v>386</v>
      </c>
      <c r="C27" s="145" t="s">
        <v>634</v>
      </c>
      <c r="D27" s="17">
        <v>6000</v>
      </c>
      <c r="E27" s="17">
        <v>8661.5</v>
      </c>
      <c r="F27" s="17">
        <v>8661.5</v>
      </c>
      <c r="G27" s="17"/>
      <c r="H27" s="17">
        <v>0</v>
      </c>
      <c r="I27" s="17"/>
      <c r="J27" s="115">
        <f t="shared" ref="J27:J34" si="10">SUM(D27:I27)</f>
        <v>23323</v>
      </c>
      <c r="K27" s="112">
        <v>0.3</v>
      </c>
      <c r="L27" s="682">
        <v>8661.5</v>
      </c>
      <c r="M27" s="682">
        <v>8661.5</v>
      </c>
      <c r="N27" s="682">
        <v>8661.5</v>
      </c>
      <c r="O27" s="17"/>
      <c r="P27" s="17">
        <v>0</v>
      </c>
      <c r="Q27" s="17"/>
      <c r="R27" s="587">
        <f>SUM(L27:Q27)</f>
        <v>25984.5</v>
      </c>
      <c r="S27" s="17">
        <f>+R27-J27</f>
        <v>2661.5</v>
      </c>
      <c r="T27" s="112">
        <v>0.3</v>
      </c>
      <c r="U27" s="17">
        <v>6202.55</v>
      </c>
      <c r="V27" s="17">
        <v>8588.64</v>
      </c>
      <c r="W27" s="17">
        <v>8537.64</v>
      </c>
      <c r="X27" s="880"/>
      <c r="Y27" s="880"/>
      <c r="Z27" s="880"/>
      <c r="AA27" s="881">
        <f>SUM(U27:Z27)</f>
        <v>23328.829999999998</v>
      </c>
      <c r="AB27" s="882">
        <f t="shared" ref="AB27:AB32" si="11">AA27*T27</f>
        <v>6998.6489999999994</v>
      </c>
      <c r="AC27" s="103" t="s">
        <v>639</v>
      </c>
      <c r="AD27" s="39">
        <v>4</v>
      </c>
      <c r="AE27" s="647">
        <f t="shared" si="5"/>
        <v>0.1141148222784376</v>
      </c>
    </row>
    <row r="28" spans="1:31" ht="62" x14ac:dyDescent="0.35">
      <c r="A28" s="40"/>
      <c r="B28" s="94" t="s">
        <v>387</v>
      </c>
      <c r="C28" s="145" t="s">
        <v>635</v>
      </c>
      <c r="D28" s="17">
        <v>15760</v>
      </c>
      <c r="E28" s="17">
        <v>44740</v>
      </c>
      <c r="F28" s="17">
        <v>44740</v>
      </c>
      <c r="G28" s="17"/>
      <c r="H28" s="17">
        <v>0</v>
      </c>
      <c r="I28" s="17"/>
      <c r="J28" s="115">
        <f t="shared" si="10"/>
        <v>105240</v>
      </c>
      <c r="K28" s="112">
        <v>0.3</v>
      </c>
      <c r="L28" s="682">
        <v>15760</v>
      </c>
      <c r="M28" s="682">
        <f>30740-15000</f>
        <v>15740</v>
      </c>
      <c r="N28" s="682">
        <f>30740-15000</f>
        <v>15740</v>
      </c>
      <c r="O28" s="17"/>
      <c r="P28" s="17">
        <v>0</v>
      </c>
      <c r="Q28" s="17"/>
      <c r="R28" s="587">
        <f t="shared" ref="R28:R34" si="12">SUM(L28:Q28)</f>
        <v>47240</v>
      </c>
      <c r="S28" s="17">
        <f t="shared" ref="S28:S34" si="13">+R28-J28</f>
        <v>-58000</v>
      </c>
      <c r="T28" s="112">
        <v>0.3</v>
      </c>
      <c r="U28" s="17">
        <v>7175.14</v>
      </c>
      <c r="V28" s="17">
        <v>38093.599999999999</v>
      </c>
      <c r="W28" s="17">
        <v>35691.68</v>
      </c>
      <c r="X28" s="880"/>
      <c r="Y28" s="880"/>
      <c r="Z28" s="880"/>
      <c r="AA28" s="881">
        <f t="shared" ref="AA28:AA34" si="14">SUM(U28:Z28)</f>
        <v>80960.42</v>
      </c>
      <c r="AB28" s="882">
        <f t="shared" si="11"/>
        <v>24288.126</v>
      </c>
      <c r="AC28" s="103" t="s">
        <v>640</v>
      </c>
      <c r="AD28" s="39">
        <v>2</v>
      </c>
      <c r="AE28" s="647">
        <f t="shared" si="5"/>
        <v>-0.55112124667426832</v>
      </c>
    </row>
    <row r="29" spans="1:31" ht="62" x14ac:dyDescent="0.35">
      <c r="A29" s="40"/>
      <c r="B29" s="94" t="s">
        <v>388</v>
      </c>
      <c r="C29" s="145" t="s">
        <v>636</v>
      </c>
      <c r="D29" s="17">
        <v>14620</v>
      </c>
      <c r="E29" s="17">
        <v>4255</v>
      </c>
      <c r="F29" s="17">
        <v>4255</v>
      </c>
      <c r="G29" s="17"/>
      <c r="H29" s="17">
        <v>0</v>
      </c>
      <c r="I29" s="17"/>
      <c r="J29" s="115">
        <f t="shared" si="10"/>
        <v>23130</v>
      </c>
      <c r="K29" s="112">
        <v>0.3</v>
      </c>
      <c r="L29" s="682">
        <v>14625</v>
      </c>
      <c r="M29" s="682">
        <v>4195</v>
      </c>
      <c r="N29" s="682">
        <v>4195</v>
      </c>
      <c r="O29" s="17"/>
      <c r="P29" s="17">
        <v>0</v>
      </c>
      <c r="Q29" s="17"/>
      <c r="R29" s="587">
        <f t="shared" si="12"/>
        <v>23015</v>
      </c>
      <c r="S29" s="17">
        <f t="shared" si="13"/>
        <v>-115</v>
      </c>
      <c r="T29" s="112">
        <v>0.3</v>
      </c>
      <c r="U29" s="17">
        <v>16126.63</v>
      </c>
      <c r="V29" s="17">
        <v>3333.19</v>
      </c>
      <c r="W29" s="17">
        <v>2076.12</v>
      </c>
      <c r="X29" s="880"/>
      <c r="Y29" s="880"/>
      <c r="Z29" s="880"/>
      <c r="AA29" s="881">
        <f t="shared" si="14"/>
        <v>21535.94</v>
      </c>
      <c r="AB29" s="882">
        <f t="shared" si="11"/>
        <v>6460.7819999999992</v>
      </c>
      <c r="AC29" s="103" t="s">
        <v>641</v>
      </c>
      <c r="AD29" s="39">
        <v>2</v>
      </c>
      <c r="AE29" s="647">
        <f t="shared" si="5"/>
        <v>-4.9718979680069171E-3</v>
      </c>
    </row>
    <row r="30" spans="1:31" ht="46.5" x14ac:dyDescent="0.35">
      <c r="A30" s="40"/>
      <c r="B30" s="94" t="s">
        <v>389</v>
      </c>
      <c r="C30" s="658" t="s">
        <v>897</v>
      </c>
      <c r="D30" s="683"/>
      <c r="E30" s="683"/>
      <c r="F30" s="683"/>
      <c r="G30" s="17"/>
      <c r="H30" s="17"/>
      <c r="I30" s="17"/>
      <c r="J30" s="115">
        <f t="shared" si="10"/>
        <v>0</v>
      </c>
      <c r="K30" s="656"/>
      <c r="L30" s="683">
        <v>25000</v>
      </c>
      <c r="M30" s="683">
        <v>20000</v>
      </c>
      <c r="N30" s="683">
        <v>20000</v>
      </c>
      <c r="O30" s="618"/>
      <c r="P30" s="618"/>
      <c r="Q30" s="618"/>
      <c r="R30" s="655">
        <f t="shared" si="12"/>
        <v>65000</v>
      </c>
      <c r="S30" s="618">
        <f t="shared" si="13"/>
        <v>65000</v>
      </c>
      <c r="T30" s="656">
        <v>0.3</v>
      </c>
      <c r="U30" s="683"/>
      <c r="V30" s="683"/>
      <c r="W30" s="683"/>
      <c r="X30" s="618"/>
      <c r="Y30" s="618"/>
      <c r="Z30" s="618"/>
      <c r="AA30" s="885">
        <f t="shared" si="14"/>
        <v>0</v>
      </c>
      <c r="AB30" s="883">
        <f t="shared" si="11"/>
        <v>0</v>
      </c>
      <c r="AC30" s="657"/>
      <c r="AE30" s="647" t="str">
        <f t="shared" si="5"/>
        <v/>
      </c>
    </row>
    <row r="31" spans="1:31" ht="62" x14ac:dyDescent="0.35">
      <c r="A31" s="40"/>
      <c r="B31" s="94" t="s">
        <v>390</v>
      </c>
      <c r="C31" s="658" t="s">
        <v>898</v>
      </c>
      <c r="D31" s="683"/>
      <c r="E31" s="683"/>
      <c r="F31" s="683"/>
      <c r="G31" s="17"/>
      <c r="H31" s="17"/>
      <c r="I31" s="17"/>
      <c r="J31" s="115">
        <f t="shared" si="10"/>
        <v>0</v>
      </c>
      <c r="K31" s="656"/>
      <c r="L31" s="683">
        <v>30000</v>
      </c>
      <c r="M31" s="683">
        <v>20000</v>
      </c>
      <c r="N31" s="683">
        <v>20000</v>
      </c>
      <c r="O31" s="618"/>
      <c r="P31" s="618"/>
      <c r="Q31" s="618"/>
      <c r="R31" s="655">
        <f t="shared" si="12"/>
        <v>70000</v>
      </c>
      <c r="S31" s="618">
        <f t="shared" si="13"/>
        <v>70000</v>
      </c>
      <c r="T31" s="656">
        <v>0.3</v>
      </c>
      <c r="U31" s="683"/>
      <c r="V31" s="683"/>
      <c r="W31" s="683"/>
      <c r="X31" s="618"/>
      <c r="Y31" s="618"/>
      <c r="Z31" s="618"/>
      <c r="AA31" s="885">
        <f t="shared" si="14"/>
        <v>0</v>
      </c>
      <c r="AB31" s="883">
        <f t="shared" si="11"/>
        <v>0</v>
      </c>
      <c r="AC31" s="657" t="s">
        <v>940</v>
      </c>
      <c r="AE31" s="647" t="str">
        <f t="shared" si="5"/>
        <v/>
      </c>
    </row>
    <row r="32" spans="1:31" ht="15.5" x14ac:dyDescent="0.35">
      <c r="A32" s="40"/>
      <c r="B32" s="94" t="s">
        <v>391</v>
      </c>
      <c r="C32" s="16"/>
      <c r="D32" s="17"/>
      <c r="E32" s="17"/>
      <c r="F32" s="17"/>
      <c r="G32" s="17"/>
      <c r="H32" s="17"/>
      <c r="I32" s="17"/>
      <c r="J32" s="115">
        <f t="shared" si="10"/>
        <v>0</v>
      </c>
      <c r="K32" s="112"/>
      <c r="L32" s="17"/>
      <c r="M32" s="17"/>
      <c r="N32" s="17"/>
      <c r="O32" s="17"/>
      <c r="P32" s="17"/>
      <c r="Q32" s="17"/>
      <c r="R32" s="587">
        <f t="shared" si="12"/>
        <v>0</v>
      </c>
      <c r="S32" s="17">
        <f t="shared" si="13"/>
        <v>0</v>
      </c>
      <c r="T32" s="112"/>
      <c r="U32" s="17"/>
      <c r="V32" s="17"/>
      <c r="W32" s="17"/>
      <c r="X32" s="17"/>
      <c r="Y32" s="17"/>
      <c r="Z32" s="17"/>
      <c r="AA32" s="881">
        <f t="shared" si="14"/>
        <v>0</v>
      </c>
      <c r="AB32" s="882">
        <f t="shared" si="11"/>
        <v>0</v>
      </c>
      <c r="AC32" s="103"/>
      <c r="AE32" s="647" t="str">
        <f t="shared" si="5"/>
        <v/>
      </c>
    </row>
    <row r="33" spans="1:31" ht="20.5" customHeight="1" x14ac:dyDescent="0.35">
      <c r="A33" s="40"/>
      <c r="B33" s="94" t="s">
        <v>392</v>
      </c>
      <c r="C33" s="653"/>
      <c r="D33" s="18"/>
      <c r="E33" s="18"/>
      <c r="F33" s="18"/>
      <c r="G33" s="18"/>
      <c r="H33" s="18"/>
      <c r="I33" s="18"/>
      <c r="J33" s="115">
        <f t="shared" si="10"/>
        <v>0</v>
      </c>
      <c r="K33" s="113"/>
      <c r="L33" s="17"/>
      <c r="M33" s="17"/>
      <c r="N33" s="17"/>
      <c r="O33" s="17"/>
      <c r="P33" s="17"/>
      <c r="Q33" s="17"/>
      <c r="R33" s="587">
        <f t="shared" si="12"/>
        <v>0</v>
      </c>
      <c r="S33" s="17">
        <f t="shared" si="13"/>
        <v>0</v>
      </c>
      <c r="T33" s="113"/>
      <c r="U33" s="17"/>
      <c r="V33" s="17"/>
      <c r="W33" s="17"/>
      <c r="X33" s="17"/>
      <c r="Y33" s="17"/>
      <c r="Z33" s="17"/>
      <c r="AA33" s="881">
        <f t="shared" si="14"/>
        <v>0</v>
      </c>
      <c r="AB33" s="113"/>
      <c r="AC33" s="104"/>
      <c r="AE33" s="647" t="str">
        <f t="shared" si="5"/>
        <v/>
      </c>
    </row>
    <row r="34" spans="1:31" ht="15.5" x14ac:dyDescent="0.35">
      <c r="A34" s="40"/>
      <c r="B34" s="94" t="s">
        <v>393</v>
      </c>
      <c r="C34" s="653"/>
      <c r="D34" s="18"/>
      <c r="E34" s="18"/>
      <c r="F34" s="18"/>
      <c r="G34" s="18"/>
      <c r="H34" s="18"/>
      <c r="I34" s="18"/>
      <c r="J34" s="115">
        <f t="shared" si="10"/>
        <v>0</v>
      </c>
      <c r="K34" s="113"/>
      <c r="L34" s="18"/>
      <c r="M34" s="18"/>
      <c r="N34" s="18"/>
      <c r="O34" s="18"/>
      <c r="P34" s="18"/>
      <c r="Q34" s="18"/>
      <c r="R34" s="587">
        <f t="shared" si="12"/>
        <v>0</v>
      </c>
      <c r="S34" s="17">
        <f t="shared" si="13"/>
        <v>0</v>
      </c>
      <c r="T34" s="113"/>
      <c r="U34" s="18"/>
      <c r="V34" s="18"/>
      <c r="W34" s="18"/>
      <c r="X34" s="18"/>
      <c r="Y34" s="18"/>
      <c r="Z34" s="18"/>
      <c r="AA34" s="881">
        <f t="shared" si="14"/>
        <v>0</v>
      </c>
      <c r="AB34" s="113"/>
      <c r="AC34" s="104"/>
      <c r="AE34" s="647" t="str">
        <f t="shared" si="5"/>
        <v/>
      </c>
    </row>
    <row r="35" spans="1:31" ht="15.5" x14ac:dyDescent="0.35">
      <c r="A35" s="40"/>
      <c r="C35" s="95" t="s">
        <v>521</v>
      </c>
      <c r="D35" s="22">
        <f>SUM(D27:D34)</f>
        <v>36380</v>
      </c>
      <c r="E35" s="22">
        <f>SUM(E27:E34)</f>
        <v>57656.5</v>
      </c>
      <c r="F35" s="22">
        <f>SUM(F27:F34)</f>
        <v>57656.5</v>
      </c>
      <c r="G35" s="22">
        <f t="shared" ref="G35:I35" si="15">SUM(G27:G34)</f>
        <v>0</v>
      </c>
      <c r="H35" s="22">
        <f>SUM(H27:H34)</f>
        <v>0</v>
      </c>
      <c r="I35" s="22">
        <f t="shared" si="15"/>
        <v>0</v>
      </c>
      <c r="J35" s="22">
        <f>SUM(J27:J34)</f>
        <v>151693</v>
      </c>
      <c r="K35" s="19">
        <f>(K27*J27)+(K28*J28)+(K29*J29)+(K30*J30)+(K31*J31)+(K32*J32)+(K33*J33)+(K34*J34)</f>
        <v>45507.9</v>
      </c>
      <c r="L35" s="589">
        <f>SUM(L27:L34)</f>
        <v>94046.5</v>
      </c>
      <c r="M35" s="589">
        <f t="shared" ref="M35:S35" si="16">SUM(M27:M34)</f>
        <v>68596.5</v>
      </c>
      <c r="N35" s="589">
        <f t="shared" si="16"/>
        <v>68596.5</v>
      </c>
      <c r="O35" s="589">
        <f t="shared" si="16"/>
        <v>0</v>
      </c>
      <c r="P35" s="589">
        <f t="shared" si="16"/>
        <v>0</v>
      </c>
      <c r="Q35" s="589">
        <f t="shared" si="16"/>
        <v>0</v>
      </c>
      <c r="R35" s="589">
        <f t="shared" si="16"/>
        <v>231239.5</v>
      </c>
      <c r="S35" s="589">
        <f t="shared" si="16"/>
        <v>79546.5</v>
      </c>
      <c r="T35" s="19">
        <f>(T27*R27)+(T28*R28)+(T29*R29)+(T30*R30)+(T31*R31)+(T32*R32)+(T33*R33)+(T34*R34)</f>
        <v>69371.850000000006</v>
      </c>
      <c r="U35" s="886">
        <f>SUM(U27:U34)</f>
        <v>29504.32</v>
      </c>
      <c r="V35" s="886">
        <f t="shared" ref="V35:AA35" si="17">SUM(V27:V34)</f>
        <v>50015.43</v>
      </c>
      <c r="W35" s="886">
        <f t="shared" si="17"/>
        <v>46305.440000000002</v>
      </c>
      <c r="X35" s="886">
        <f t="shared" si="17"/>
        <v>0</v>
      </c>
      <c r="Y35" s="886">
        <f t="shared" si="17"/>
        <v>0</v>
      </c>
      <c r="Z35" s="886">
        <f t="shared" si="17"/>
        <v>0</v>
      </c>
      <c r="AA35" s="886">
        <f t="shared" si="17"/>
        <v>125825.19</v>
      </c>
      <c r="AB35" s="19">
        <f>SUM(AB27:AB34)</f>
        <v>37747.557000000001</v>
      </c>
      <c r="AC35" s="104"/>
      <c r="AE35" s="648">
        <f t="shared" si="5"/>
        <v>0.52439136941058584</v>
      </c>
    </row>
    <row r="36" spans="1:31" ht="15.5" hidden="1" x14ac:dyDescent="0.35">
      <c r="A36" s="40"/>
      <c r="B36" s="93" t="s">
        <v>394</v>
      </c>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E36" s="647" t="str">
        <f t="shared" si="5"/>
        <v/>
      </c>
    </row>
    <row r="37" spans="1:31" ht="15.5" hidden="1" x14ac:dyDescent="0.35">
      <c r="A37" s="40"/>
      <c r="B37" s="94" t="s">
        <v>395</v>
      </c>
      <c r="C37" s="16"/>
      <c r="D37" s="17"/>
      <c r="E37" s="17"/>
      <c r="F37" s="17"/>
      <c r="G37" s="17"/>
      <c r="H37" s="17"/>
      <c r="I37" s="17"/>
      <c r="J37" s="115">
        <f t="shared" ref="J37:J44" si="18">SUM(D37:I37)</f>
        <v>0</v>
      </c>
      <c r="K37" s="112"/>
      <c r="L37" s="17"/>
      <c r="M37" s="17"/>
      <c r="N37" s="17"/>
      <c r="O37" s="17"/>
      <c r="P37" s="17"/>
      <c r="Q37" s="17"/>
      <c r="R37" s="587">
        <f>SUM(L37:Q37)</f>
        <v>0</v>
      </c>
      <c r="S37" s="17">
        <f>+R37-J37</f>
        <v>0</v>
      </c>
      <c r="T37" s="112"/>
      <c r="U37" s="17"/>
      <c r="V37" s="17"/>
      <c r="W37" s="17"/>
      <c r="X37" s="17"/>
      <c r="Y37" s="17"/>
      <c r="Z37" s="17"/>
      <c r="AA37" s="881">
        <f>SUM(U37:Z37)</f>
        <v>0</v>
      </c>
      <c r="AB37" s="112"/>
      <c r="AC37" s="103"/>
      <c r="AD37" s="39">
        <v>2</v>
      </c>
      <c r="AE37" s="647" t="str">
        <f t="shared" si="5"/>
        <v/>
      </c>
    </row>
    <row r="38" spans="1:31" ht="15.5" hidden="1" x14ac:dyDescent="0.35">
      <c r="A38" s="40"/>
      <c r="B38" s="94" t="s">
        <v>396</v>
      </c>
      <c r="C38" s="16"/>
      <c r="D38" s="17"/>
      <c r="E38" s="17"/>
      <c r="F38" s="17"/>
      <c r="G38" s="17"/>
      <c r="H38" s="17"/>
      <c r="I38" s="17"/>
      <c r="J38" s="115">
        <f t="shared" si="18"/>
        <v>0</v>
      </c>
      <c r="K38" s="112"/>
      <c r="L38" s="17"/>
      <c r="M38" s="17"/>
      <c r="N38" s="17"/>
      <c r="O38" s="17"/>
      <c r="P38" s="17"/>
      <c r="Q38" s="17"/>
      <c r="R38" s="587">
        <f t="shared" ref="R38:R44" si="19">SUM(L38:Q38)</f>
        <v>0</v>
      </c>
      <c r="S38" s="17">
        <f t="shared" ref="S38:S44" si="20">+R38-J38</f>
        <v>0</v>
      </c>
      <c r="T38" s="112"/>
      <c r="U38" s="17"/>
      <c r="V38" s="17"/>
      <c r="W38" s="17"/>
      <c r="X38" s="17"/>
      <c r="Y38" s="17"/>
      <c r="Z38" s="17"/>
      <c r="AA38" s="881">
        <f t="shared" ref="AA38:AA44" si="21">SUM(U38:Z38)</f>
        <v>0</v>
      </c>
      <c r="AB38" s="112"/>
      <c r="AC38" s="103"/>
      <c r="AD38" s="39">
        <v>2</v>
      </c>
      <c r="AE38" s="647" t="str">
        <f t="shared" si="5"/>
        <v/>
      </c>
    </row>
    <row r="39" spans="1:31" ht="15.5" hidden="1" x14ac:dyDescent="0.35">
      <c r="A39" s="40"/>
      <c r="B39" s="94" t="s">
        <v>397</v>
      </c>
      <c r="C39" s="16"/>
      <c r="D39" s="17"/>
      <c r="E39" s="17"/>
      <c r="F39" s="17"/>
      <c r="G39" s="17"/>
      <c r="H39" s="17"/>
      <c r="I39" s="17"/>
      <c r="J39" s="115">
        <f t="shared" si="18"/>
        <v>0</v>
      </c>
      <c r="K39" s="112"/>
      <c r="L39" s="17"/>
      <c r="M39" s="17"/>
      <c r="N39" s="17"/>
      <c r="O39" s="17"/>
      <c r="P39" s="17"/>
      <c r="Q39" s="17"/>
      <c r="R39" s="587">
        <f t="shared" si="19"/>
        <v>0</v>
      </c>
      <c r="S39" s="17">
        <f t="shared" si="20"/>
        <v>0</v>
      </c>
      <c r="T39" s="112"/>
      <c r="U39" s="17"/>
      <c r="V39" s="17"/>
      <c r="W39" s="17"/>
      <c r="X39" s="17"/>
      <c r="Y39" s="17"/>
      <c r="Z39" s="17"/>
      <c r="AA39" s="881">
        <f t="shared" si="21"/>
        <v>0</v>
      </c>
      <c r="AB39" s="112"/>
      <c r="AC39" s="103"/>
      <c r="AE39" s="647" t="str">
        <f t="shared" si="5"/>
        <v/>
      </c>
    </row>
    <row r="40" spans="1:31" ht="15.5" hidden="1" x14ac:dyDescent="0.35">
      <c r="A40" s="40"/>
      <c r="B40" s="94" t="s">
        <v>398</v>
      </c>
      <c r="C40" s="16"/>
      <c r="D40" s="17"/>
      <c r="E40" s="17"/>
      <c r="F40" s="17"/>
      <c r="G40" s="17"/>
      <c r="H40" s="17"/>
      <c r="I40" s="17"/>
      <c r="J40" s="115">
        <f t="shared" si="18"/>
        <v>0</v>
      </c>
      <c r="K40" s="112"/>
      <c r="L40" s="17"/>
      <c r="M40" s="17"/>
      <c r="N40" s="17"/>
      <c r="O40" s="17"/>
      <c r="P40" s="17"/>
      <c r="Q40" s="17"/>
      <c r="R40" s="587">
        <f t="shared" si="19"/>
        <v>0</v>
      </c>
      <c r="S40" s="17">
        <f t="shared" si="20"/>
        <v>0</v>
      </c>
      <c r="T40" s="112"/>
      <c r="U40" s="17"/>
      <c r="V40" s="17"/>
      <c r="W40" s="17"/>
      <c r="X40" s="17"/>
      <c r="Y40" s="17"/>
      <c r="Z40" s="17"/>
      <c r="AA40" s="881">
        <f t="shared" si="21"/>
        <v>0</v>
      </c>
      <c r="AB40" s="112"/>
      <c r="AC40" s="103"/>
      <c r="AE40" s="647" t="str">
        <f t="shared" si="5"/>
        <v/>
      </c>
    </row>
    <row r="41" spans="1:31" s="40" customFormat="1" ht="15.5" hidden="1" x14ac:dyDescent="0.35">
      <c r="B41" s="94" t="s">
        <v>399</v>
      </c>
      <c r="C41" s="16"/>
      <c r="D41" s="17"/>
      <c r="E41" s="17"/>
      <c r="F41" s="17"/>
      <c r="G41" s="17"/>
      <c r="H41" s="17"/>
      <c r="I41" s="17"/>
      <c r="J41" s="115">
        <f t="shared" si="18"/>
        <v>0</v>
      </c>
      <c r="K41" s="112"/>
      <c r="L41" s="17"/>
      <c r="M41" s="17"/>
      <c r="N41" s="17"/>
      <c r="O41" s="17"/>
      <c r="P41" s="17"/>
      <c r="Q41" s="17"/>
      <c r="R41" s="587">
        <f t="shared" si="19"/>
        <v>0</v>
      </c>
      <c r="S41" s="17">
        <f t="shared" si="20"/>
        <v>0</v>
      </c>
      <c r="T41" s="112"/>
      <c r="U41" s="17"/>
      <c r="V41" s="17"/>
      <c r="W41" s="17"/>
      <c r="X41" s="17"/>
      <c r="Y41" s="17"/>
      <c r="Z41" s="17"/>
      <c r="AA41" s="881">
        <f t="shared" si="21"/>
        <v>0</v>
      </c>
      <c r="AB41" s="112"/>
      <c r="AC41" s="103"/>
      <c r="AE41" s="647" t="str">
        <f t="shared" si="5"/>
        <v/>
      </c>
    </row>
    <row r="42" spans="1:31" s="40" customFormat="1" ht="15.5" hidden="1" x14ac:dyDescent="0.35">
      <c r="B42" s="94" t="s">
        <v>400</v>
      </c>
      <c r="C42" s="16"/>
      <c r="D42" s="17"/>
      <c r="E42" s="17"/>
      <c r="F42" s="17"/>
      <c r="G42" s="17"/>
      <c r="H42" s="17"/>
      <c r="I42" s="17"/>
      <c r="J42" s="115">
        <f t="shared" si="18"/>
        <v>0</v>
      </c>
      <c r="K42" s="112"/>
      <c r="L42" s="17"/>
      <c r="M42" s="17"/>
      <c r="N42" s="17"/>
      <c r="O42" s="17"/>
      <c r="P42" s="17"/>
      <c r="Q42" s="17"/>
      <c r="R42" s="587">
        <f t="shared" si="19"/>
        <v>0</v>
      </c>
      <c r="S42" s="17">
        <f t="shared" si="20"/>
        <v>0</v>
      </c>
      <c r="T42" s="112"/>
      <c r="U42" s="17"/>
      <c r="V42" s="17"/>
      <c r="W42" s="17"/>
      <c r="X42" s="17"/>
      <c r="Y42" s="17"/>
      <c r="Z42" s="17"/>
      <c r="AA42" s="881">
        <f t="shared" si="21"/>
        <v>0</v>
      </c>
      <c r="AB42" s="112"/>
      <c r="AC42" s="103"/>
      <c r="AE42" s="647" t="str">
        <f t="shared" si="5"/>
        <v/>
      </c>
    </row>
    <row r="43" spans="1:31" s="40" customFormat="1" ht="15.5" hidden="1" x14ac:dyDescent="0.35">
      <c r="A43" s="39"/>
      <c r="B43" s="94" t="s">
        <v>401</v>
      </c>
      <c r="C43" s="653"/>
      <c r="D43" s="18"/>
      <c r="E43" s="18"/>
      <c r="F43" s="18"/>
      <c r="G43" s="18"/>
      <c r="H43" s="18"/>
      <c r="I43" s="18"/>
      <c r="J43" s="115">
        <f t="shared" si="18"/>
        <v>0</v>
      </c>
      <c r="K43" s="113"/>
      <c r="L43" s="17"/>
      <c r="M43" s="17"/>
      <c r="N43" s="17"/>
      <c r="O43" s="17"/>
      <c r="P43" s="17"/>
      <c r="Q43" s="17"/>
      <c r="R43" s="587">
        <f t="shared" si="19"/>
        <v>0</v>
      </c>
      <c r="S43" s="17">
        <f t="shared" si="20"/>
        <v>0</v>
      </c>
      <c r="T43" s="113"/>
      <c r="U43" s="17"/>
      <c r="V43" s="17"/>
      <c r="W43" s="17"/>
      <c r="X43" s="17"/>
      <c r="Y43" s="17"/>
      <c r="Z43" s="17"/>
      <c r="AA43" s="881">
        <f t="shared" si="21"/>
        <v>0</v>
      </c>
      <c r="AB43" s="113"/>
      <c r="AC43" s="104"/>
      <c r="AE43" s="647" t="str">
        <f t="shared" si="5"/>
        <v/>
      </c>
    </row>
    <row r="44" spans="1:31" ht="15.5" hidden="1" x14ac:dyDescent="0.35">
      <c r="B44" s="94" t="s">
        <v>402</v>
      </c>
      <c r="C44" s="653"/>
      <c r="D44" s="18"/>
      <c r="E44" s="18"/>
      <c r="F44" s="18"/>
      <c r="G44" s="18"/>
      <c r="H44" s="18"/>
      <c r="I44" s="18"/>
      <c r="J44" s="115">
        <f t="shared" si="18"/>
        <v>0</v>
      </c>
      <c r="K44" s="113"/>
      <c r="L44" s="17"/>
      <c r="M44" s="17"/>
      <c r="N44" s="17"/>
      <c r="O44" s="17"/>
      <c r="P44" s="17"/>
      <c r="Q44" s="17"/>
      <c r="R44" s="587">
        <f t="shared" si="19"/>
        <v>0</v>
      </c>
      <c r="S44" s="17">
        <f t="shared" si="20"/>
        <v>0</v>
      </c>
      <c r="T44" s="113"/>
      <c r="U44" s="17"/>
      <c r="V44" s="17"/>
      <c r="W44" s="17"/>
      <c r="X44" s="17"/>
      <c r="Y44" s="17"/>
      <c r="Z44" s="17"/>
      <c r="AA44" s="881">
        <f t="shared" si="21"/>
        <v>0</v>
      </c>
      <c r="AB44" s="113"/>
      <c r="AC44" s="104"/>
      <c r="AE44" s="647" t="str">
        <f t="shared" si="5"/>
        <v/>
      </c>
    </row>
    <row r="45" spans="1:31" ht="15.5" hidden="1" x14ac:dyDescent="0.35">
      <c r="C45" s="95" t="s">
        <v>521</v>
      </c>
      <c r="D45" s="22">
        <f>SUM(D37:D44)</f>
        <v>0</v>
      </c>
      <c r="E45" s="22">
        <f>SUM(E37:E44)</f>
        <v>0</v>
      </c>
      <c r="F45" s="22">
        <f>SUM(F37:F44)</f>
        <v>0</v>
      </c>
      <c r="G45" s="22">
        <f t="shared" ref="G45:I45" si="22">SUM(G37:G44)</f>
        <v>0</v>
      </c>
      <c r="H45" s="22">
        <f t="shared" si="22"/>
        <v>0</v>
      </c>
      <c r="I45" s="22">
        <f t="shared" si="22"/>
        <v>0</v>
      </c>
      <c r="J45" s="22">
        <f>SUM(J37:J44)</f>
        <v>0</v>
      </c>
      <c r="K45" s="19">
        <f>(K37*J37)+(K38*J38)+(K39*J39)+(K40*J40)+(K41*J41)+(K42*J42)+(K43*J43)+(K44*J44)</f>
        <v>0</v>
      </c>
      <c r="L45" s="589">
        <f>SUM(L37:L44)</f>
        <v>0</v>
      </c>
      <c r="M45" s="589">
        <f t="shared" ref="M45:S45" si="23">SUM(M37:M44)</f>
        <v>0</v>
      </c>
      <c r="N45" s="589">
        <f t="shared" si="23"/>
        <v>0</v>
      </c>
      <c r="O45" s="589">
        <f t="shared" si="23"/>
        <v>0</v>
      </c>
      <c r="P45" s="589">
        <f t="shared" si="23"/>
        <v>0</v>
      </c>
      <c r="Q45" s="589">
        <f t="shared" si="23"/>
        <v>0</v>
      </c>
      <c r="R45" s="589">
        <f t="shared" si="23"/>
        <v>0</v>
      </c>
      <c r="S45" s="589">
        <f t="shared" si="23"/>
        <v>0</v>
      </c>
      <c r="T45" s="19">
        <f>(T37*R37)+(T38*R38)+(T39*R39)+(T40*R40)+(T41*R41)+(T42*R42)+(T43*R43)+(T44*R44)</f>
        <v>0</v>
      </c>
      <c r="U45" s="886">
        <f>SUM(U37:U44)</f>
        <v>0</v>
      </c>
      <c r="V45" s="886">
        <f t="shared" ref="V45:AA45" si="24">SUM(V37:V44)</f>
        <v>0</v>
      </c>
      <c r="W45" s="886">
        <f t="shared" si="24"/>
        <v>0</v>
      </c>
      <c r="X45" s="886">
        <f t="shared" si="24"/>
        <v>0</v>
      </c>
      <c r="Y45" s="886">
        <f t="shared" si="24"/>
        <v>0</v>
      </c>
      <c r="Z45" s="886">
        <f t="shared" si="24"/>
        <v>0</v>
      </c>
      <c r="AA45" s="886">
        <f t="shared" si="24"/>
        <v>0</v>
      </c>
      <c r="AB45" s="19">
        <f>(AB37*AA37)+(AB38*AA38)+(AB39*AA39)+(AB40*AA40)+(AB41*AA41)+(AB42*AA42)+(AB43*AA43)+(AB44*AA44)</f>
        <v>0</v>
      </c>
      <c r="AC45" s="104"/>
      <c r="AE45" s="647" t="str">
        <f t="shared" si="5"/>
        <v/>
      </c>
    </row>
    <row r="46" spans="1:31" ht="15.5" hidden="1" x14ac:dyDescent="0.35">
      <c r="B46" s="93" t="s">
        <v>403</v>
      </c>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E46" s="647" t="str">
        <f t="shared" si="5"/>
        <v/>
      </c>
    </row>
    <row r="47" spans="1:31" ht="15.5" hidden="1" x14ac:dyDescent="0.35">
      <c r="B47" s="94" t="s">
        <v>404</v>
      </c>
      <c r="C47" s="16"/>
      <c r="D47" s="17"/>
      <c r="E47" s="17"/>
      <c r="F47" s="17"/>
      <c r="G47" s="17"/>
      <c r="H47" s="17"/>
      <c r="I47" s="17"/>
      <c r="J47" s="115">
        <f t="shared" ref="J47:J54" si="25">SUM(D47:I47)</f>
        <v>0</v>
      </c>
      <c r="K47" s="112"/>
      <c r="L47" s="17"/>
      <c r="M47" s="17"/>
      <c r="N47" s="17"/>
      <c r="O47" s="17"/>
      <c r="P47" s="17"/>
      <c r="Q47" s="17"/>
      <c r="R47" s="587">
        <f>SUM(L47:Q47)</f>
        <v>0</v>
      </c>
      <c r="S47" s="17">
        <f>+R47-J47</f>
        <v>0</v>
      </c>
      <c r="T47" s="112"/>
      <c r="U47" s="17"/>
      <c r="V47" s="17"/>
      <c r="W47" s="17"/>
      <c r="X47" s="17"/>
      <c r="Y47" s="17"/>
      <c r="Z47" s="17"/>
      <c r="AA47" s="881">
        <f>SUM(U47:Z47)</f>
        <v>0</v>
      </c>
      <c r="AB47" s="112"/>
      <c r="AC47" s="103"/>
      <c r="AE47" s="647" t="str">
        <f t="shared" si="5"/>
        <v/>
      </c>
    </row>
    <row r="48" spans="1:31" ht="15.5" hidden="1" x14ac:dyDescent="0.35">
      <c r="B48" s="94" t="s">
        <v>405</v>
      </c>
      <c r="C48" s="16"/>
      <c r="D48" s="17"/>
      <c r="E48" s="17"/>
      <c r="F48" s="17"/>
      <c r="G48" s="17"/>
      <c r="H48" s="17"/>
      <c r="I48" s="17"/>
      <c r="J48" s="115">
        <f t="shared" si="25"/>
        <v>0</v>
      </c>
      <c r="K48" s="112"/>
      <c r="L48" s="17"/>
      <c r="M48" s="17"/>
      <c r="N48" s="17"/>
      <c r="O48" s="17"/>
      <c r="P48" s="17"/>
      <c r="Q48" s="17"/>
      <c r="R48" s="587">
        <f t="shared" ref="R48:R54" si="26">SUM(L48:Q48)</f>
        <v>0</v>
      </c>
      <c r="S48" s="17">
        <f t="shared" ref="S48:S54" si="27">+R48-J48</f>
        <v>0</v>
      </c>
      <c r="T48" s="112"/>
      <c r="U48" s="17"/>
      <c r="V48" s="17"/>
      <c r="W48" s="17"/>
      <c r="X48" s="17"/>
      <c r="Y48" s="17"/>
      <c r="Z48" s="17"/>
      <c r="AA48" s="881">
        <f t="shared" ref="AA48:AA54" si="28">SUM(U48:Z48)</f>
        <v>0</v>
      </c>
      <c r="AB48" s="112"/>
      <c r="AC48" s="103"/>
      <c r="AE48" s="647" t="str">
        <f t="shared" si="5"/>
        <v/>
      </c>
    </row>
    <row r="49" spans="1:31" ht="13.5" customHeight="1" x14ac:dyDescent="0.35">
      <c r="B49" s="94" t="s">
        <v>406</v>
      </c>
      <c r="C49" s="16"/>
      <c r="D49" s="17"/>
      <c r="E49" s="17"/>
      <c r="F49" s="17"/>
      <c r="G49" s="17"/>
      <c r="H49" s="17"/>
      <c r="I49" s="17"/>
      <c r="J49" s="115">
        <f t="shared" si="25"/>
        <v>0</v>
      </c>
      <c r="K49" s="112"/>
      <c r="L49" s="17"/>
      <c r="M49" s="17"/>
      <c r="N49" s="17"/>
      <c r="O49" s="17"/>
      <c r="P49" s="17"/>
      <c r="Q49" s="17"/>
      <c r="R49" s="587">
        <f t="shared" si="26"/>
        <v>0</v>
      </c>
      <c r="S49" s="17">
        <f t="shared" si="27"/>
        <v>0</v>
      </c>
      <c r="T49" s="112"/>
      <c r="U49" s="17"/>
      <c r="V49" s="17"/>
      <c r="W49" s="17"/>
      <c r="X49" s="17"/>
      <c r="Y49" s="17"/>
      <c r="Z49" s="17"/>
      <c r="AA49" s="881">
        <f t="shared" si="28"/>
        <v>0</v>
      </c>
      <c r="AB49" s="112"/>
      <c r="AC49" s="103"/>
      <c r="AE49" s="647" t="str">
        <f t="shared" si="5"/>
        <v/>
      </c>
    </row>
    <row r="50" spans="1:31" ht="12" customHeight="1" x14ac:dyDescent="0.35">
      <c r="B50" s="94" t="s">
        <v>407</v>
      </c>
      <c r="C50" s="16"/>
      <c r="D50" s="17"/>
      <c r="E50" s="17"/>
      <c r="F50" s="17"/>
      <c r="G50" s="17"/>
      <c r="H50" s="17"/>
      <c r="I50" s="17"/>
      <c r="J50" s="115">
        <f t="shared" si="25"/>
        <v>0</v>
      </c>
      <c r="K50" s="112"/>
      <c r="L50" s="17"/>
      <c r="M50" s="17"/>
      <c r="N50" s="17"/>
      <c r="O50" s="17"/>
      <c r="P50" s="17"/>
      <c r="Q50" s="17"/>
      <c r="R50" s="587">
        <f t="shared" si="26"/>
        <v>0</v>
      </c>
      <c r="S50" s="17">
        <f t="shared" si="27"/>
        <v>0</v>
      </c>
      <c r="T50" s="112"/>
      <c r="U50" s="17"/>
      <c r="V50" s="17"/>
      <c r="W50" s="17"/>
      <c r="X50" s="17"/>
      <c r="Y50" s="17"/>
      <c r="Z50" s="17"/>
      <c r="AA50" s="881">
        <f t="shared" si="28"/>
        <v>0</v>
      </c>
      <c r="AB50" s="112"/>
      <c r="AC50" s="103"/>
      <c r="AE50" s="647" t="str">
        <f t="shared" si="5"/>
        <v/>
      </c>
    </row>
    <row r="51" spans="1:31" ht="13" customHeight="1" x14ac:dyDescent="0.35">
      <c r="B51" s="94" t="s">
        <v>408</v>
      </c>
      <c r="C51" s="16"/>
      <c r="D51" s="17"/>
      <c r="E51" s="17"/>
      <c r="F51" s="17"/>
      <c r="G51" s="17"/>
      <c r="H51" s="17"/>
      <c r="I51" s="17"/>
      <c r="J51" s="115">
        <f t="shared" si="25"/>
        <v>0</v>
      </c>
      <c r="K51" s="112"/>
      <c r="L51" s="17"/>
      <c r="M51" s="17"/>
      <c r="N51" s="17"/>
      <c r="O51" s="17"/>
      <c r="P51" s="17"/>
      <c r="Q51" s="17"/>
      <c r="R51" s="587">
        <f t="shared" si="26"/>
        <v>0</v>
      </c>
      <c r="S51" s="17">
        <f t="shared" si="27"/>
        <v>0</v>
      </c>
      <c r="T51" s="112"/>
      <c r="U51" s="17"/>
      <c r="V51" s="17"/>
      <c r="W51" s="17"/>
      <c r="X51" s="17"/>
      <c r="Y51" s="17"/>
      <c r="Z51" s="17"/>
      <c r="AA51" s="881">
        <f t="shared" si="28"/>
        <v>0</v>
      </c>
      <c r="AB51" s="112"/>
      <c r="AC51" s="103"/>
      <c r="AE51" s="647" t="str">
        <f t="shared" si="5"/>
        <v/>
      </c>
    </row>
    <row r="52" spans="1:31" ht="17.5" customHeight="1" x14ac:dyDescent="0.35">
      <c r="A52" s="40"/>
      <c r="B52" s="94" t="s">
        <v>409</v>
      </c>
      <c r="C52" s="16"/>
      <c r="D52" s="17"/>
      <c r="E52" s="17"/>
      <c r="F52" s="17"/>
      <c r="G52" s="17"/>
      <c r="H52" s="17"/>
      <c r="I52" s="17"/>
      <c r="J52" s="115">
        <f t="shared" si="25"/>
        <v>0</v>
      </c>
      <c r="K52" s="112"/>
      <c r="L52" s="17"/>
      <c r="M52" s="17"/>
      <c r="N52" s="17"/>
      <c r="O52" s="17"/>
      <c r="P52" s="17"/>
      <c r="Q52" s="17"/>
      <c r="R52" s="587">
        <f t="shared" si="26"/>
        <v>0</v>
      </c>
      <c r="S52" s="17">
        <f t="shared" si="27"/>
        <v>0</v>
      </c>
      <c r="T52" s="112"/>
      <c r="U52" s="17"/>
      <c r="V52" s="17"/>
      <c r="W52" s="17"/>
      <c r="X52" s="17"/>
      <c r="Y52" s="17"/>
      <c r="Z52" s="17"/>
      <c r="AA52" s="881">
        <f t="shared" si="28"/>
        <v>0</v>
      </c>
      <c r="AB52" s="112"/>
      <c r="AC52" s="103"/>
      <c r="AE52" s="647" t="str">
        <f t="shared" si="5"/>
        <v/>
      </c>
    </row>
    <row r="53" spans="1:31" s="40" customFormat="1" ht="18.649999999999999" customHeight="1" x14ac:dyDescent="0.35">
      <c r="A53" s="39"/>
      <c r="B53" s="94" t="s">
        <v>410</v>
      </c>
      <c r="C53" s="653"/>
      <c r="D53" s="18"/>
      <c r="E53" s="18"/>
      <c r="F53" s="18"/>
      <c r="G53" s="18"/>
      <c r="H53" s="18"/>
      <c r="I53" s="18"/>
      <c r="J53" s="115">
        <f t="shared" si="25"/>
        <v>0</v>
      </c>
      <c r="K53" s="113"/>
      <c r="L53" s="17"/>
      <c r="M53" s="17"/>
      <c r="N53" s="17"/>
      <c r="O53" s="17"/>
      <c r="P53" s="17"/>
      <c r="Q53" s="17"/>
      <c r="R53" s="587">
        <f t="shared" si="26"/>
        <v>0</v>
      </c>
      <c r="S53" s="17">
        <f t="shared" si="27"/>
        <v>0</v>
      </c>
      <c r="T53" s="113"/>
      <c r="U53" s="17"/>
      <c r="V53" s="17"/>
      <c r="W53" s="17"/>
      <c r="X53" s="17"/>
      <c r="Y53" s="17"/>
      <c r="Z53" s="17"/>
      <c r="AA53" s="881">
        <f t="shared" si="28"/>
        <v>0</v>
      </c>
      <c r="AB53" s="113"/>
      <c r="AC53" s="104"/>
      <c r="AE53" s="647" t="str">
        <f t="shared" si="5"/>
        <v/>
      </c>
    </row>
    <row r="54" spans="1:31" ht="29.15" customHeight="1" x14ac:dyDescent="0.35">
      <c r="B54" s="94" t="s">
        <v>411</v>
      </c>
      <c r="C54" s="653"/>
      <c r="D54" s="18"/>
      <c r="E54" s="18"/>
      <c r="F54" s="18"/>
      <c r="G54" s="18"/>
      <c r="H54" s="18"/>
      <c r="I54" s="18"/>
      <c r="J54" s="115">
        <f t="shared" si="25"/>
        <v>0</v>
      </c>
      <c r="K54" s="113"/>
      <c r="L54" s="17"/>
      <c r="M54" s="17"/>
      <c r="N54" s="17"/>
      <c r="O54" s="17"/>
      <c r="P54" s="17"/>
      <c r="Q54" s="17"/>
      <c r="R54" s="587">
        <f t="shared" si="26"/>
        <v>0</v>
      </c>
      <c r="S54" s="17">
        <f t="shared" si="27"/>
        <v>0</v>
      </c>
      <c r="T54" s="113"/>
      <c r="U54" s="17"/>
      <c r="V54" s="17"/>
      <c r="W54" s="17"/>
      <c r="X54" s="17"/>
      <c r="Y54" s="17"/>
      <c r="Z54" s="17"/>
      <c r="AA54" s="881">
        <f t="shared" si="28"/>
        <v>0</v>
      </c>
      <c r="AB54" s="113"/>
      <c r="AC54" s="104"/>
      <c r="AE54" s="647" t="str">
        <f t="shared" si="5"/>
        <v/>
      </c>
    </row>
    <row r="55" spans="1:31" ht="16" customHeight="1" x14ac:dyDescent="0.35">
      <c r="C55" s="95" t="s">
        <v>521</v>
      </c>
      <c r="D55" s="19">
        <f>SUM(D47:D54)</f>
        <v>0</v>
      </c>
      <c r="E55" s="19">
        <f>SUM(E47:E54)</f>
        <v>0</v>
      </c>
      <c r="F55" s="19">
        <f>SUM(F47:F54)</f>
        <v>0</v>
      </c>
      <c r="G55" s="19">
        <f t="shared" ref="G55:I55" si="29">SUM(G47:G54)</f>
        <v>0</v>
      </c>
      <c r="H55" s="19">
        <f t="shared" si="29"/>
        <v>0</v>
      </c>
      <c r="I55" s="19">
        <f t="shared" si="29"/>
        <v>0</v>
      </c>
      <c r="J55" s="19">
        <f>SUM(J47:J54)</f>
        <v>0</v>
      </c>
      <c r="K55" s="19">
        <f>(K47*J47)+(K48*J48)+(K49*J49)+(K50*J50)+(K51*J51)+(K52*J52)+(K53*J53)+(K54*J54)</f>
        <v>0</v>
      </c>
      <c r="L55" s="588">
        <f>SUM(L47:L54)</f>
        <v>0</v>
      </c>
      <c r="M55" s="588">
        <f t="shared" ref="M55:S55" si="30">SUM(M47:M54)</f>
        <v>0</v>
      </c>
      <c r="N55" s="588">
        <f t="shared" si="30"/>
        <v>0</v>
      </c>
      <c r="O55" s="588">
        <f t="shared" si="30"/>
        <v>0</v>
      </c>
      <c r="P55" s="588">
        <f t="shared" si="30"/>
        <v>0</v>
      </c>
      <c r="Q55" s="588">
        <f t="shared" si="30"/>
        <v>0</v>
      </c>
      <c r="R55" s="588">
        <f t="shared" si="30"/>
        <v>0</v>
      </c>
      <c r="S55" s="588">
        <f t="shared" si="30"/>
        <v>0</v>
      </c>
      <c r="T55" s="19">
        <f>(T47*R47)+(T48*R48)+(T49*R49)+(T50*R50)+(T51*R51)+(T52*R52)+(T53*R53)+(T54*R54)</f>
        <v>0</v>
      </c>
      <c r="U55" s="884">
        <f>SUM(U47:U54)</f>
        <v>0</v>
      </c>
      <c r="V55" s="884">
        <f t="shared" ref="V55:AA55" si="31">SUM(V47:V54)</f>
        <v>0</v>
      </c>
      <c r="W55" s="884">
        <f t="shared" si="31"/>
        <v>0</v>
      </c>
      <c r="X55" s="884">
        <f t="shared" si="31"/>
        <v>0</v>
      </c>
      <c r="Y55" s="884">
        <f t="shared" si="31"/>
        <v>0</v>
      </c>
      <c r="Z55" s="884">
        <f t="shared" si="31"/>
        <v>0</v>
      </c>
      <c r="AA55" s="884">
        <f t="shared" si="31"/>
        <v>0</v>
      </c>
      <c r="AB55" s="19">
        <f>(AB47*AA47)+(AB48*AA48)+(AB49*AA49)+(AB50*AA50)+(AB51*AA51)+(AB52*AA52)+(AB53*AA53)+(AB54*AA54)</f>
        <v>0</v>
      </c>
      <c r="AC55" s="104"/>
      <c r="AE55" s="647" t="str">
        <f t="shared" si="5"/>
        <v/>
      </c>
    </row>
    <row r="56" spans="1:31" ht="15.5" x14ac:dyDescent="0.35">
      <c r="B56" s="12"/>
      <c r="C56" s="13"/>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E56" s="647" t="str">
        <f t="shared" si="5"/>
        <v/>
      </c>
    </row>
    <row r="57" spans="1:31" ht="15.5" x14ac:dyDescent="0.35">
      <c r="B57" s="95" t="s">
        <v>412</v>
      </c>
      <c r="C57" s="754" t="s">
        <v>586</v>
      </c>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E57" s="647" t="str">
        <f t="shared" si="5"/>
        <v/>
      </c>
    </row>
    <row r="58" spans="1:31" ht="15.5" x14ac:dyDescent="0.35">
      <c r="B58" s="93" t="s">
        <v>413</v>
      </c>
      <c r="C58" s="754" t="s">
        <v>612</v>
      </c>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E58" s="647" t="str">
        <f t="shared" si="5"/>
        <v/>
      </c>
    </row>
    <row r="59" spans="1:31" ht="139.5" x14ac:dyDescent="0.35">
      <c r="B59" s="94" t="s">
        <v>414</v>
      </c>
      <c r="C59" s="16" t="s">
        <v>605</v>
      </c>
      <c r="D59" s="17">
        <v>6000</v>
      </c>
      <c r="E59" s="17">
        <v>7000</v>
      </c>
      <c r="F59" s="17">
        <v>7000</v>
      </c>
      <c r="G59" s="17"/>
      <c r="H59" s="17">
        <v>4500</v>
      </c>
      <c r="I59" s="17"/>
      <c r="J59" s="115">
        <f t="shared" ref="J59:J68" si="32">SUM(D59:I59)</f>
        <v>24500</v>
      </c>
      <c r="K59" s="112">
        <v>0.3</v>
      </c>
      <c r="L59" s="17">
        <v>6000</v>
      </c>
      <c r="M59" s="17">
        <v>7000</v>
      </c>
      <c r="N59" s="17">
        <v>7000</v>
      </c>
      <c r="O59" s="17"/>
      <c r="P59" s="17">
        <v>4500</v>
      </c>
      <c r="Q59" s="17"/>
      <c r="R59" s="587">
        <f>SUM(L59:Q59)</f>
        <v>24500</v>
      </c>
      <c r="S59" s="17">
        <f>+R59-J59</f>
        <v>0</v>
      </c>
      <c r="T59" s="112">
        <v>0.3</v>
      </c>
      <c r="U59" s="17">
        <v>6202.55</v>
      </c>
      <c r="V59" s="628">
        <v>7000</v>
      </c>
      <c r="W59" s="17">
        <v>5857.19</v>
      </c>
      <c r="X59" s="880"/>
      <c r="Y59" s="880"/>
      <c r="Z59" s="880">
        <v>4500</v>
      </c>
      <c r="AA59" s="881">
        <f>SUM(U59:Z59)</f>
        <v>23559.739999999998</v>
      </c>
      <c r="AB59" s="880">
        <f t="shared" ref="AB59:AB68" si="33">AA59*T59</f>
        <v>7067.9219999999996</v>
      </c>
      <c r="AC59" s="103" t="s">
        <v>644</v>
      </c>
      <c r="AD59" s="39">
        <v>4</v>
      </c>
      <c r="AE59" s="647">
        <f t="shared" si="5"/>
        <v>0</v>
      </c>
    </row>
    <row r="60" spans="1:31" ht="62" x14ac:dyDescent="0.35">
      <c r="B60" s="94" t="s">
        <v>415</v>
      </c>
      <c r="C60" s="16" t="s">
        <v>620</v>
      </c>
      <c r="D60" s="17">
        <v>18000</v>
      </c>
      <c r="E60" s="17">
        <v>22000</v>
      </c>
      <c r="F60" s="17">
        <v>17300</v>
      </c>
      <c r="G60" s="17"/>
      <c r="H60" s="17"/>
      <c r="I60" s="17"/>
      <c r="J60" s="115">
        <f t="shared" si="32"/>
        <v>57300</v>
      </c>
      <c r="K60" s="112">
        <v>0.3</v>
      </c>
      <c r="L60" s="17">
        <v>18000</v>
      </c>
      <c r="M60" s="17">
        <v>22000</v>
      </c>
      <c r="N60" s="17">
        <v>17300</v>
      </c>
      <c r="O60" s="17"/>
      <c r="P60" s="17"/>
      <c r="Q60" s="17"/>
      <c r="R60" s="587">
        <f t="shared" ref="R60:R68" si="34">SUM(L60:Q60)</f>
        <v>57300</v>
      </c>
      <c r="S60" s="17">
        <f t="shared" ref="S60:S68" si="35">+R60-J60</f>
        <v>0</v>
      </c>
      <c r="T60" s="112">
        <v>0.3</v>
      </c>
      <c r="U60" s="17">
        <v>18022.27</v>
      </c>
      <c r="V60" s="628">
        <v>15657.46</v>
      </c>
      <c r="W60" s="628">
        <v>19689.099999999999</v>
      </c>
      <c r="X60" s="880"/>
      <c r="Y60" s="880"/>
      <c r="Z60" s="880"/>
      <c r="AA60" s="881">
        <f t="shared" ref="AA60:AA68" si="36">SUM(U60:Z60)</f>
        <v>53368.829999999994</v>
      </c>
      <c r="AB60" s="880">
        <f t="shared" si="33"/>
        <v>16010.648999999998</v>
      </c>
      <c r="AC60" s="103" t="s">
        <v>645</v>
      </c>
      <c r="AD60" s="39">
        <v>2</v>
      </c>
      <c r="AE60" s="647">
        <f t="shared" si="5"/>
        <v>0</v>
      </c>
    </row>
    <row r="61" spans="1:31" ht="62" x14ac:dyDescent="0.35">
      <c r="B61" s="94" t="s">
        <v>416</v>
      </c>
      <c r="C61" s="16" t="s">
        <v>606</v>
      </c>
      <c r="D61" s="17">
        <v>6000</v>
      </c>
      <c r="E61" s="17">
        <v>12000</v>
      </c>
      <c r="F61" s="17">
        <v>12000</v>
      </c>
      <c r="G61" s="16"/>
      <c r="H61" s="17">
        <v>12000</v>
      </c>
      <c r="I61" s="17"/>
      <c r="J61" s="115">
        <f t="shared" si="32"/>
        <v>42000</v>
      </c>
      <c r="K61" s="112">
        <v>0.3</v>
      </c>
      <c r="L61" s="17">
        <v>6000</v>
      </c>
      <c r="M61" s="17">
        <v>12000</v>
      </c>
      <c r="N61" s="17">
        <v>12000</v>
      </c>
      <c r="O61" s="16"/>
      <c r="P61" s="17">
        <v>12000</v>
      </c>
      <c r="Q61" s="17"/>
      <c r="R61" s="587">
        <f t="shared" si="34"/>
        <v>42000</v>
      </c>
      <c r="S61" s="17">
        <f t="shared" si="35"/>
        <v>0</v>
      </c>
      <c r="T61" s="112">
        <v>0.3</v>
      </c>
      <c r="U61" s="17">
        <v>6156.76</v>
      </c>
      <c r="V61" s="628">
        <v>3493.37</v>
      </c>
      <c r="W61" s="628">
        <v>10520.69</v>
      </c>
      <c r="X61" s="880"/>
      <c r="Y61" s="880"/>
      <c r="Z61" s="880"/>
      <c r="AA61" s="881">
        <f t="shared" si="36"/>
        <v>20170.82</v>
      </c>
      <c r="AB61" s="880">
        <f t="shared" si="33"/>
        <v>6051.2460000000001</v>
      </c>
      <c r="AC61" s="103" t="s">
        <v>645</v>
      </c>
      <c r="AD61" s="39">
        <v>2</v>
      </c>
      <c r="AE61" s="647">
        <f t="shared" si="5"/>
        <v>0</v>
      </c>
    </row>
    <row r="62" spans="1:31" ht="31" x14ac:dyDescent="0.35">
      <c r="B62" s="94" t="s">
        <v>417</v>
      </c>
      <c r="C62" s="16" t="s">
        <v>607</v>
      </c>
      <c r="D62" s="17">
        <v>0</v>
      </c>
      <c r="E62" s="17">
        <v>0</v>
      </c>
      <c r="F62" s="17">
        <v>0</v>
      </c>
      <c r="G62" s="17"/>
      <c r="H62" s="17"/>
      <c r="I62" s="17"/>
      <c r="J62" s="115">
        <f t="shared" si="32"/>
        <v>0</v>
      </c>
      <c r="K62" s="112">
        <v>0.5</v>
      </c>
      <c r="L62" s="17">
        <v>0</v>
      </c>
      <c r="M62" s="17">
        <v>0</v>
      </c>
      <c r="N62" s="17">
        <v>0</v>
      </c>
      <c r="O62" s="17"/>
      <c r="P62" s="17"/>
      <c r="Q62" s="17"/>
      <c r="R62" s="587">
        <f t="shared" si="34"/>
        <v>0</v>
      </c>
      <c r="S62" s="17">
        <f t="shared" si="35"/>
        <v>0</v>
      </c>
      <c r="T62" s="112">
        <v>0.5</v>
      </c>
      <c r="U62" s="17"/>
      <c r="V62" s="17"/>
      <c r="W62" s="112"/>
      <c r="X62" s="880"/>
      <c r="Y62" s="880"/>
      <c r="Z62" s="880"/>
      <c r="AA62" s="881">
        <f t="shared" si="36"/>
        <v>0</v>
      </c>
      <c r="AB62" s="880">
        <f t="shared" si="33"/>
        <v>0</v>
      </c>
      <c r="AC62" s="103" t="s">
        <v>889</v>
      </c>
      <c r="AD62" s="39">
        <v>2</v>
      </c>
      <c r="AE62" s="647" t="str">
        <f t="shared" si="5"/>
        <v/>
      </c>
    </row>
    <row r="63" spans="1:31" ht="108.5" x14ac:dyDescent="0.35">
      <c r="B63" s="94" t="s">
        <v>418</v>
      </c>
      <c r="C63" s="16" t="s">
        <v>608</v>
      </c>
      <c r="D63" s="17">
        <v>21000</v>
      </c>
      <c r="E63" s="17">
        <v>18000</v>
      </c>
      <c r="F63" s="17">
        <v>11000</v>
      </c>
      <c r="G63" s="17"/>
      <c r="H63" s="17"/>
      <c r="I63" s="17"/>
      <c r="J63" s="115">
        <f t="shared" si="32"/>
        <v>50000</v>
      </c>
      <c r="K63" s="112">
        <v>0.3</v>
      </c>
      <c r="L63" s="17">
        <v>21000</v>
      </c>
      <c r="M63" s="17">
        <v>27000</v>
      </c>
      <c r="N63" s="17">
        <v>11000</v>
      </c>
      <c r="O63" s="17"/>
      <c r="P63" s="17"/>
      <c r="Q63" s="17"/>
      <c r="R63" s="587">
        <f t="shared" si="34"/>
        <v>59000</v>
      </c>
      <c r="S63" s="17">
        <f t="shared" si="35"/>
        <v>9000</v>
      </c>
      <c r="T63" s="112">
        <v>0.3</v>
      </c>
      <c r="U63" s="17">
        <v>25284.38</v>
      </c>
      <c r="V63" s="17">
        <v>19656.34</v>
      </c>
      <c r="W63" s="17">
        <v>11257</v>
      </c>
      <c r="X63" s="880"/>
      <c r="Y63" s="880"/>
      <c r="Z63" s="880"/>
      <c r="AA63" s="881">
        <f t="shared" si="36"/>
        <v>56197.72</v>
      </c>
      <c r="AB63" s="880">
        <f t="shared" si="33"/>
        <v>16859.315999999999</v>
      </c>
      <c r="AC63" s="103" t="s">
        <v>892</v>
      </c>
      <c r="AD63" s="39">
        <v>2</v>
      </c>
      <c r="AE63" s="647">
        <f t="shared" si="5"/>
        <v>0.18</v>
      </c>
    </row>
    <row r="64" spans="1:31" ht="62" x14ac:dyDescent="0.35">
      <c r="B64" s="94" t="s">
        <v>419</v>
      </c>
      <c r="C64" s="16" t="s">
        <v>609</v>
      </c>
      <c r="D64" s="18">
        <v>0</v>
      </c>
      <c r="E64" s="18">
        <v>11000</v>
      </c>
      <c r="F64" s="18">
        <v>11000</v>
      </c>
      <c r="G64" s="17"/>
      <c r="H64" s="17"/>
      <c r="I64" s="17"/>
      <c r="J64" s="115">
        <f t="shared" si="32"/>
        <v>22000</v>
      </c>
      <c r="K64" s="112">
        <v>0.3</v>
      </c>
      <c r="L64" s="18">
        <v>0</v>
      </c>
      <c r="M64" s="18">
        <v>11000</v>
      </c>
      <c r="N64" s="18">
        <v>11000</v>
      </c>
      <c r="O64" s="17"/>
      <c r="P64" s="17"/>
      <c r="Q64" s="17"/>
      <c r="R64" s="587">
        <f t="shared" si="34"/>
        <v>22000</v>
      </c>
      <c r="S64" s="17">
        <f t="shared" si="35"/>
        <v>0</v>
      </c>
      <c r="T64" s="112">
        <v>0.3</v>
      </c>
      <c r="U64" s="17"/>
      <c r="V64" s="17">
        <v>9647.61</v>
      </c>
      <c r="W64" s="17">
        <v>10602.89</v>
      </c>
      <c r="X64" s="880"/>
      <c r="Y64" s="880"/>
      <c r="Z64" s="880"/>
      <c r="AA64" s="881">
        <f t="shared" si="36"/>
        <v>20250.5</v>
      </c>
      <c r="AB64" s="880">
        <f t="shared" si="33"/>
        <v>6075.15</v>
      </c>
      <c r="AC64" s="103" t="s">
        <v>646</v>
      </c>
      <c r="AD64" s="39">
        <v>2</v>
      </c>
      <c r="AE64" s="647">
        <f t="shared" si="5"/>
        <v>0</v>
      </c>
    </row>
    <row r="65" spans="1:31" ht="62" x14ac:dyDescent="0.35">
      <c r="B65" s="94" t="s">
        <v>420</v>
      </c>
      <c r="C65" s="659" t="s">
        <v>901</v>
      </c>
      <c r="D65" s="681"/>
      <c r="E65" s="681"/>
      <c r="F65" s="681"/>
      <c r="G65" s="17"/>
      <c r="H65" s="17"/>
      <c r="I65" s="17"/>
      <c r="J65" s="115">
        <f t="shared" si="32"/>
        <v>0</v>
      </c>
      <c r="K65" s="656"/>
      <c r="L65" s="681">
        <v>66600.5</v>
      </c>
      <c r="M65" s="681">
        <f>66112.5-22000</f>
        <v>44112.5</v>
      </c>
      <c r="N65" s="681">
        <f>66112.5-22000</f>
        <v>44112.5</v>
      </c>
      <c r="O65" s="618"/>
      <c r="P65" s="618"/>
      <c r="Q65" s="618"/>
      <c r="R65" s="655">
        <f>SUM(L65:Q65)</f>
        <v>154825.5</v>
      </c>
      <c r="S65" s="17">
        <f t="shared" si="35"/>
        <v>154825.5</v>
      </c>
      <c r="T65" s="656">
        <v>0.7</v>
      </c>
      <c r="U65" s="880"/>
      <c r="V65" s="880"/>
      <c r="W65" s="880"/>
      <c r="X65" s="880"/>
      <c r="Y65" s="880"/>
      <c r="Z65" s="880"/>
      <c r="AA65" s="885">
        <f>SUM(U65:Z65)</f>
        <v>0</v>
      </c>
      <c r="AB65" s="887">
        <f t="shared" si="33"/>
        <v>0</v>
      </c>
      <c r="AC65" s="657" t="s">
        <v>647</v>
      </c>
      <c r="AE65" s="647"/>
    </row>
    <row r="66" spans="1:31" ht="46.5" x14ac:dyDescent="0.35">
      <c r="B66" s="94" t="s">
        <v>421</v>
      </c>
      <c r="C66" s="659" t="s">
        <v>904</v>
      </c>
      <c r="D66" s="682"/>
      <c r="E66" s="682"/>
      <c r="F66" s="682"/>
      <c r="G66" s="17"/>
      <c r="H66" s="17"/>
      <c r="I66" s="17"/>
      <c r="J66" s="115">
        <f t="shared" si="32"/>
        <v>0</v>
      </c>
      <c r="K66" s="656"/>
      <c r="L66" s="682">
        <v>40000</v>
      </c>
      <c r="M66" s="682">
        <v>25000</v>
      </c>
      <c r="N66" s="682">
        <v>25000</v>
      </c>
      <c r="O66" s="618"/>
      <c r="P66" s="618"/>
      <c r="Q66" s="618"/>
      <c r="R66" s="655">
        <f t="shared" si="34"/>
        <v>90000</v>
      </c>
      <c r="S66" s="17">
        <f t="shared" si="35"/>
        <v>90000</v>
      </c>
      <c r="T66" s="656">
        <v>0.3</v>
      </c>
      <c r="U66" s="880"/>
      <c r="V66" s="880"/>
      <c r="W66" s="880"/>
      <c r="X66" s="880"/>
      <c r="Y66" s="880"/>
      <c r="Z66" s="880"/>
      <c r="AA66" s="885">
        <f t="shared" si="36"/>
        <v>0</v>
      </c>
      <c r="AB66" s="887">
        <f t="shared" si="33"/>
        <v>0</v>
      </c>
      <c r="AC66" s="657" t="s">
        <v>941</v>
      </c>
      <c r="AE66" s="647"/>
    </row>
    <row r="67" spans="1:31" ht="62" x14ac:dyDescent="0.35">
      <c r="A67" s="40"/>
      <c r="B67" s="94" t="s">
        <v>899</v>
      </c>
      <c r="C67" s="659" t="s">
        <v>903</v>
      </c>
      <c r="D67" s="683"/>
      <c r="E67" s="683"/>
      <c r="F67" s="683"/>
      <c r="G67" s="18"/>
      <c r="H67" s="18"/>
      <c r="I67" s="18"/>
      <c r="J67" s="115">
        <f t="shared" si="32"/>
        <v>0</v>
      </c>
      <c r="K67" s="660"/>
      <c r="L67" s="683">
        <v>41000</v>
      </c>
      <c r="M67" s="683">
        <f>34000-4000</f>
        <v>30000</v>
      </c>
      <c r="N67" s="683">
        <f>34000-4000</f>
        <v>30000</v>
      </c>
      <c r="O67" s="618"/>
      <c r="P67" s="618"/>
      <c r="Q67" s="618"/>
      <c r="R67" s="655">
        <f t="shared" si="34"/>
        <v>101000</v>
      </c>
      <c r="S67" s="618">
        <f t="shared" si="35"/>
        <v>101000</v>
      </c>
      <c r="T67" s="656">
        <v>0.3</v>
      </c>
      <c r="U67" s="683"/>
      <c r="V67" s="683"/>
      <c r="W67" s="683"/>
      <c r="X67" s="618"/>
      <c r="Y67" s="618"/>
      <c r="Z67" s="618"/>
      <c r="AA67" s="885">
        <f t="shared" si="36"/>
        <v>0</v>
      </c>
      <c r="AB67" s="887">
        <f t="shared" si="33"/>
        <v>0</v>
      </c>
      <c r="AC67" s="657" t="s">
        <v>647</v>
      </c>
      <c r="AE67" s="647" t="str">
        <f t="shared" si="5"/>
        <v/>
      </c>
    </row>
    <row r="68" spans="1:31" s="40" customFormat="1" ht="62" x14ac:dyDescent="0.35">
      <c r="B68" s="94" t="s">
        <v>900</v>
      </c>
      <c r="C68" s="659" t="s">
        <v>902</v>
      </c>
      <c r="D68" s="683"/>
      <c r="E68" s="683"/>
      <c r="F68" s="683"/>
      <c r="G68" s="18"/>
      <c r="H68" s="18"/>
      <c r="I68" s="18"/>
      <c r="J68" s="115">
        <f t="shared" si="32"/>
        <v>0</v>
      </c>
      <c r="K68" s="660"/>
      <c r="L68" s="683">
        <v>40000</v>
      </c>
      <c r="M68" s="683">
        <v>25000</v>
      </c>
      <c r="N68" s="683">
        <v>25000</v>
      </c>
      <c r="O68" s="618"/>
      <c r="P68" s="618"/>
      <c r="Q68" s="618"/>
      <c r="R68" s="655">
        <f t="shared" si="34"/>
        <v>90000</v>
      </c>
      <c r="S68" s="618">
        <f t="shared" si="35"/>
        <v>90000</v>
      </c>
      <c r="T68" s="656">
        <v>0.3</v>
      </c>
      <c r="U68" s="683"/>
      <c r="V68" s="683"/>
      <c r="W68" s="683"/>
      <c r="X68" s="618"/>
      <c r="Y68" s="618"/>
      <c r="Z68" s="618"/>
      <c r="AA68" s="885">
        <f t="shared" si="36"/>
        <v>0</v>
      </c>
      <c r="AB68" s="887">
        <f t="shared" si="33"/>
        <v>0</v>
      </c>
      <c r="AC68" s="657" t="s">
        <v>647</v>
      </c>
      <c r="AE68" s="647" t="str">
        <f t="shared" si="5"/>
        <v/>
      </c>
    </row>
    <row r="69" spans="1:31" s="40" customFormat="1" ht="15.5" x14ac:dyDescent="0.35">
      <c r="A69" s="39"/>
      <c r="B69" s="39"/>
      <c r="C69" s="95" t="s">
        <v>521</v>
      </c>
      <c r="D69" s="19">
        <f>SUM(D59:D68)</f>
        <v>51000</v>
      </c>
      <c r="E69" s="19">
        <f>SUM(E59:E68)</f>
        <v>70000</v>
      </c>
      <c r="F69" s="19">
        <f>SUM(F59:F68)</f>
        <v>58300</v>
      </c>
      <c r="G69" s="19">
        <f t="shared" ref="G69:I69" si="37">SUM(G59:G68)</f>
        <v>0</v>
      </c>
      <c r="H69" s="19">
        <f>SUM(H59:H68)</f>
        <v>16500</v>
      </c>
      <c r="I69" s="19">
        <f t="shared" si="37"/>
        <v>0</v>
      </c>
      <c r="J69" s="22">
        <f>SUM(J59:J68)</f>
        <v>195800</v>
      </c>
      <c r="K69" s="19">
        <f>(K59*J59)+(K60*J60)+(K61*J61)+(K62*J62)+(K63*J63)+(K64*J64)+(K67*J67)+(K68*J68)</f>
        <v>58740</v>
      </c>
      <c r="L69" s="589">
        <f>SUM(L59:L68)</f>
        <v>238600.5</v>
      </c>
      <c r="M69" s="589">
        <f>SUM(M59:M68)</f>
        <v>203112.5</v>
      </c>
      <c r="N69" s="589">
        <f>SUM(N59:N68)</f>
        <v>182412.5</v>
      </c>
      <c r="O69" s="589">
        <f t="shared" ref="O69:S69" si="38">SUM(O59:O68)</f>
        <v>0</v>
      </c>
      <c r="P69" s="589">
        <f t="shared" si="38"/>
        <v>16500</v>
      </c>
      <c r="Q69" s="589">
        <f t="shared" si="38"/>
        <v>0</v>
      </c>
      <c r="R69" s="589">
        <f t="shared" si="38"/>
        <v>640625.5</v>
      </c>
      <c r="S69" s="589">
        <f t="shared" si="38"/>
        <v>444825.5</v>
      </c>
      <c r="T69" s="19">
        <f>(T59*R59)+(T60*R60)+(T61*R61)+(T62*R62)+(T63*R63)+(T64*R64)+(T65*R65)+(T66*R66)+(T67*R67)+(T68*R68)</f>
        <v>254117.84999999998</v>
      </c>
      <c r="U69" s="886">
        <f t="shared" ref="U69:AA69" si="39">SUM(U59:U68)</f>
        <v>55665.960000000006</v>
      </c>
      <c r="V69" s="886">
        <f t="shared" si="39"/>
        <v>55454.78</v>
      </c>
      <c r="W69" s="886">
        <f t="shared" si="39"/>
        <v>57926.869999999995</v>
      </c>
      <c r="X69" s="886">
        <f t="shared" si="39"/>
        <v>0</v>
      </c>
      <c r="Y69" s="886">
        <f t="shared" si="39"/>
        <v>0</v>
      </c>
      <c r="Z69" s="886">
        <f t="shared" si="39"/>
        <v>4500</v>
      </c>
      <c r="AA69" s="886">
        <f t="shared" si="39"/>
        <v>173547.61</v>
      </c>
      <c r="AB69" s="19">
        <f>SUM(AB59:AB68)</f>
        <v>52064.282999999996</v>
      </c>
      <c r="AC69" s="104"/>
      <c r="AE69" s="648">
        <f t="shared" si="5"/>
        <v>2.2718360572012259</v>
      </c>
    </row>
    <row r="70" spans="1:31" ht="15.5" x14ac:dyDescent="0.35">
      <c r="B70" s="93" t="s">
        <v>422</v>
      </c>
      <c r="C70" s="754" t="s">
        <v>611</v>
      </c>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754"/>
      <c r="AB70" s="754"/>
      <c r="AC70" s="754"/>
      <c r="AE70" s="647" t="str">
        <f t="shared" si="5"/>
        <v/>
      </c>
    </row>
    <row r="71" spans="1:31" ht="62" x14ac:dyDescent="0.35">
      <c r="B71" s="94" t="s">
        <v>423</v>
      </c>
      <c r="C71" s="16" t="s">
        <v>610</v>
      </c>
      <c r="D71" s="17">
        <v>6000</v>
      </c>
      <c r="E71" s="17">
        <v>0</v>
      </c>
      <c r="F71" s="17">
        <v>4700</v>
      </c>
      <c r="G71" s="17"/>
      <c r="H71" s="17">
        <v>0</v>
      </c>
      <c r="I71" s="17"/>
      <c r="J71" s="115">
        <f t="shared" ref="J71:J78" si="40">SUM(D71:I71)</f>
        <v>10700</v>
      </c>
      <c r="K71" s="112">
        <v>0.3</v>
      </c>
      <c r="L71" s="17">
        <v>6000</v>
      </c>
      <c r="M71" s="17">
        <v>0</v>
      </c>
      <c r="N71" s="17">
        <v>4700</v>
      </c>
      <c r="O71" s="17"/>
      <c r="P71" s="17">
        <v>0</v>
      </c>
      <c r="Q71" s="17"/>
      <c r="R71" s="587">
        <f>SUM(L71:Q71)</f>
        <v>10700</v>
      </c>
      <c r="S71" s="17">
        <f>+R71-J71</f>
        <v>0</v>
      </c>
      <c r="T71" s="112">
        <v>0.3</v>
      </c>
      <c r="U71" s="628">
        <v>6000</v>
      </c>
      <c r="V71" s="628"/>
      <c r="W71" s="628">
        <v>4693.32</v>
      </c>
      <c r="X71" s="880"/>
      <c r="Y71" s="880"/>
      <c r="Z71" s="880"/>
      <c r="AA71" s="881">
        <f>SUM(U71:Z71)</f>
        <v>10693.32</v>
      </c>
      <c r="AB71" s="880">
        <f>AA71*T71</f>
        <v>3207.9959999999996</v>
      </c>
      <c r="AC71" s="103" t="s">
        <v>647</v>
      </c>
      <c r="AD71" s="39">
        <v>2</v>
      </c>
      <c r="AE71" s="647">
        <f t="shared" si="5"/>
        <v>0</v>
      </c>
    </row>
    <row r="72" spans="1:31" ht="62" x14ac:dyDescent="0.35">
      <c r="B72" s="94" t="s">
        <v>424</v>
      </c>
      <c r="C72" s="16" t="s">
        <v>621</v>
      </c>
      <c r="D72" s="17">
        <v>0</v>
      </c>
      <c r="E72" s="17">
        <v>16000</v>
      </c>
      <c r="F72" s="17">
        <v>16000</v>
      </c>
      <c r="G72" s="17"/>
      <c r="H72" s="17">
        <v>5000</v>
      </c>
      <c r="I72" s="17"/>
      <c r="J72" s="115">
        <f t="shared" si="40"/>
        <v>37000</v>
      </c>
      <c r="K72" s="112">
        <v>0.3</v>
      </c>
      <c r="L72" s="17">
        <v>0</v>
      </c>
      <c r="M72" s="628">
        <v>16000</v>
      </c>
      <c r="N72" s="628">
        <v>16000</v>
      </c>
      <c r="O72" s="17"/>
      <c r="P72" s="17">
        <v>5000</v>
      </c>
      <c r="Q72" s="17"/>
      <c r="R72" s="587">
        <f t="shared" ref="R72:R78" si="41">SUM(L72:Q72)</f>
        <v>37000</v>
      </c>
      <c r="S72" s="17">
        <f t="shared" ref="S72:S78" si="42">+R72-J72</f>
        <v>0</v>
      </c>
      <c r="T72" s="112">
        <v>0.3</v>
      </c>
      <c r="U72" s="628"/>
      <c r="V72" s="628">
        <v>18402.689999999999</v>
      </c>
      <c r="W72" s="628">
        <v>31003.96</v>
      </c>
      <c r="X72" s="880"/>
      <c r="Y72" s="880"/>
      <c r="Z72" s="880">
        <v>5000</v>
      </c>
      <c r="AA72" s="881">
        <f t="shared" ref="AA72:AA78" si="43">SUM(U72:Z72)</f>
        <v>54406.649999999994</v>
      </c>
      <c r="AB72" s="880">
        <f t="shared" ref="AB72:AB77" si="44">AA72*T72</f>
        <v>16321.994999999997</v>
      </c>
      <c r="AC72" s="103" t="s">
        <v>645</v>
      </c>
      <c r="AD72" s="39">
        <v>2</v>
      </c>
      <c r="AE72" s="647">
        <f t="shared" si="5"/>
        <v>0</v>
      </c>
    </row>
    <row r="73" spans="1:31" ht="77.5" x14ac:dyDescent="0.35">
      <c r="B73" s="94" t="s">
        <v>425</v>
      </c>
      <c r="C73" s="16" t="s">
        <v>613</v>
      </c>
      <c r="D73" s="18">
        <v>8000</v>
      </c>
      <c r="E73" s="18">
        <v>9000</v>
      </c>
      <c r="F73" s="18">
        <v>16000</v>
      </c>
      <c r="G73" s="17"/>
      <c r="H73" s="17"/>
      <c r="I73" s="17"/>
      <c r="J73" s="115">
        <f t="shared" si="40"/>
        <v>33000</v>
      </c>
      <c r="K73" s="112">
        <v>0.3</v>
      </c>
      <c r="L73" s="17">
        <v>8000</v>
      </c>
      <c r="M73" s="628">
        <v>0</v>
      </c>
      <c r="N73" s="628">
        <v>16000</v>
      </c>
      <c r="O73" s="17"/>
      <c r="P73" s="17"/>
      <c r="Q73" s="17"/>
      <c r="R73" s="587">
        <f t="shared" si="41"/>
        <v>24000</v>
      </c>
      <c r="S73" s="17">
        <f t="shared" si="42"/>
        <v>-9000</v>
      </c>
      <c r="T73" s="112">
        <v>0.3</v>
      </c>
      <c r="U73" s="628">
        <v>7978.29</v>
      </c>
      <c r="V73" s="628"/>
      <c r="W73" s="628">
        <v>15411.79</v>
      </c>
      <c r="X73" s="880"/>
      <c r="Y73" s="880"/>
      <c r="Z73" s="880"/>
      <c r="AA73" s="881">
        <f t="shared" si="43"/>
        <v>23390.080000000002</v>
      </c>
      <c r="AB73" s="880">
        <f t="shared" si="44"/>
        <v>7017.0240000000003</v>
      </c>
      <c r="AC73" s="103" t="s">
        <v>648</v>
      </c>
      <c r="AD73" s="39">
        <v>2</v>
      </c>
      <c r="AE73" s="647">
        <f t="shared" si="5"/>
        <v>-0.27272727272727271</v>
      </c>
    </row>
    <row r="74" spans="1:31" ht="77.5" x14ac:dyDescent="0.35">
      <c r="B74" s="94" t="s">
        <v>426</v>
      </c>
      <c r="C74" s="16" t="s">
        <v>614</v>
      </c>
      <c r="D74" s="17">
        <v>8000</v>
      </c>
      <c r="E74" s="17">
        <v>16000</v>
      </c>
      <c r="F74" s="17">
        <v>16000</v>
      </c>
      <c r="G74" s="17"/>
      <c r="H74" s="17"/>
      <c r="I74" s="17"/>
      <c r="J74" s="115">
        <f t="shared" si="40"/>
        <v>40000</v>
      </c>
      <c r="K74" s="112">
        <v>0.3</v>
      </c>
      <c r="L74" s="17">
        <v>8000</v>
      </c>
      <c r="M74" s="628">
        <v>16000</v>
      </c>
      <c r="N74" s="628">
        <v>16000</v>
      </c>
      <c r="O74" s="17"/>
      <c r="P74" s="17"/>
      <c r="Q74" s="17"/>
      <c r="R74" s="587">
        <f t="shared" si="41"/>
        <v>40000</v>
      </c>
      <c r="S74" s="17">
        <f t="shared" si="42"/>
        <v>0</v>
      </c>
      <c r="T74" s="112">
        <v>0.3</v>
      </c>
      <c r="U74" s="628">
        <v>6496.66</v>
      </c>
      <c r="V74" s="628">
        <v>16000</v>
      </c>
      <c r="W74" s="628">
        <v>16000</v>
      </c>
      <c r="X74" s="880"/>
      <c r="Y74" s="880"/>
      <c r="Z74" s="880"/>
      <c r="AA74" s="881">
        <f t="shared" si="43"/>
        <v>38496.660000000003</v>
      </c>
      <c r="AB74" s="880">
        <f t="shared" si="44"/>
        <v>11548.998000000001</v>
      </c>
      <c r="AC74" s="103" t="s">
        <v>649</v>
      </c>
      <c r="AD74" s="39">
        <v>4</v>
      </c>
      <c r="AE74" s="647">
        <f t="shared" si="5"/>
        <v>0</v>
      </c>
    </row>
    <row r="75" spans="1:31" ht="31" x14ac:dyDescent="0.35">
      <c r="B75" s="94" t="s">
        <v>427</v>
      </c>
      <c r="C75" s="662" t="s">
        <v>905</v>
      </c>
      <c r="D75" s="682"/>
      <c r="E75" s="682"/>
      <c r="F75" s="682"/>
      <c r="G75" s="17"/>
      <c r="H75" s="17"/>
      <c r="I75" s="17"/>
      <c r="J75" s="115">
        <f t="shared" si="40"/>
        <v>0</v>
      </c>
      <c r="K75" s="112"/>
      <c r="L75" s="682">
        <v>10000</v>
      </c>
      <c r="M75" s="682">
        <v>10000</v>
      </c>
      <c r="N75" s="682">
        <v>10000</v>
      </c>
      <c r="O75" s="618"/>
      <c r="P75" s="618"/>
      <c r="Q75" s="618"/>
      <c r="R75" s="655">
        <f t="shared" si="41"/>
        <v>30000</v>
      </c>
      <c r="S75" s="618">
        <f t="shared" si="42"/>
        <v>30000</v>
      </c>
      <c r="T75" s="656">
        <v>0.3</v>
      </c>
      <c r="U75" s="880"/>
      <c r="V75" s="880"/>
      <c r="W75" s="880"/>
      <c r="X75" s="880"/>
      <c r="Y75" s="880"/>
      <c r="Z75" s="880"/>
      <c r="AA75" s="885">
        <f t="shared" si="43"/>
        <v>0</v>
      </c>
      <c r="AB75" s="887">
        <f t="shared" si="44"/>
        <v>0</v>
      </c>
      <c r="AC75" s="657"/>
      <c r="AE75" s="647" t="str">
        <f t="shared" si="5"/>
        <v/>
      </c>
    </row>
    <row r="76" spans="1:31" ht="31" x14ac:dyDescent="0.35">
      <c r="B76" s="94" t="s">
        <v>428</v>
      </c>
      <c r="C76" s="662" t="s">
        <v>906</v>
      </c>
      <c r="D76" s="683"/>
      <c r="E76" s="683"/>
      <c r="F76" s="683"/>
      <c r="G76" s="17"/>
      <c r="H76" s="17"/>
      <c r="I76" s="17"/>
      <c r="J76" s="115">
        <f t="shared" si="40"/>
        <v>0</v>
      </c>
      <c r="K76" s="112"/>
      <c r="L76" s="683">
        <v>15000</v>
      </c>
      <c r="M76" s="683">
        <f>15000-5000</f>
        <v>10000</v>
      </c>
      <c r="N76" s="683">
        <f>15000-5000</f>
        <v>10000</v>
      </c>
      <c r="O76" s="618"/>
      <c r="P76" s="618"/>
      <c r="Q76" s="618"/>
      <c r="R76" s="655">
        <f t="shared" si="41"/>
        <v>35000</v>
      </c>
      <c r="S76" s="618">
        <f t="shared" si="42"/>
        <v>35000</v>
      </c>
      <c r="T76" s="656"/>
      <c r="U76" s="880"/>
      <c r="V76" s="880"/>
      <c r="W76" s="880"/>
      <c r="X76" s="880"/>
      <c r="Y76" s="880"/>
      <c r="Z76" s="880"/>
      <c r="AA76" s="885">
        <f t="shared" si="43"/>
        <v>0</v>
      </c>
      <c r="AB76" s="887">
        <f t="shared" si="44"/>
        <v>0</v>
      </c>
      <c r="AC76" s="657"/>
      <c r="AE76" s="647" t="str">
        <f t="shared" si="5"/>
        <v/>
      </c>
    </row>
    <row r="77" spans="1:31" ht="62" x14ac:dyDescent="0.35">
      <c r="B77" s="94" t="s">
        <v>429</v>
      </c>
      <c r="C77" s="662" t="s">
        <v>907</v>
      </c>
      <c r="D77" s="683"/>
      <c r="E77" s="683"/>
      <c r="F77" s="683"/>
      <c r="G77" s="18"/>
      <c r="H77" s="18"/>
      <c r="I77" s="18"/>
      <c r="J77" s="115">
        <f t="shared" si="40"/>
        <v>0</v>
      </c>
      <c r="K77" s="113"/>
      <c r="L77" s="683">
        <v>20000</v>
      </c>
      <c r="M77" s="683">
        <f>20000-5000</f>
        <v>15000</v>
      </c>
      <c r="N77" s="683">
        <f>20000-5000</f>
        <v>15000</v>
      </c>
      <c r="O77" s="618"/>
      <c r="P77" s="618"/>
      <c r="Q77" s="618"/>
      <c r="R77" s="655">
        <f t="shared" si="41"/>
        <v>50000</v>
      </c>
      <c r="S77" s="618">
        <f t="shared" si="42"/>
        <v>50000</v>
      </c>
      <c r="T77" s="660">
        <v>0.3</v>
      </c>
      <c r="U77" s="880"/>
      <c r="V77" s="880"/>
      <c r="W77" s="880"/>
      <c r="X77" s="880"/>
      <c r="Y77" s="880"/>
      <c r="Z77" s="880"/>
      <c r="AA77" s="885">
        <f t="shared" si="43"/>
        <v>0</v>
      </c>
      <c r="AB77" s="887">
        <f t="shared" si="44"/>
        <v>0</v>
      </c>
      <c r="AC77" s="657" t="s">
        <v>645</v>
      </c>
      <c r="AE77" s="647" t="str">
        <f t="shared" si="5"/>
        <v/>
      </c>
    </row>
    <row r="78" spans="1:31" ht="15.5" x14ac:dyDescent="0.35">
      <c r="B78" s="94" t="s">
        <v>430</v>
      </c>
      <c r="C78" s="653"/>
      <c r="D78" s="18"/>
      <c r="E78" s="18"/>
      <c r="F78" s="18"/>
      <c r="G78" s="18"/>
      <c r="H78" s="18"/>
      <c r="I78" s="18"/>
      <c r="J78" s="115">
        <f t="shared" si="40"/>
        <v>0</v>
      </c>
      <c r="K78" s="113"/>
      <c r="L78" s="17"/>
      <c r="M78" s="17"/>
      <c r="N78" s="17"/>
      <c r="O78" s="17"/>
      <c r="P78" s="17"/>
      <c r="Q78" s="17"/>
      <c r="R78" s="587">
        <f t="shared" si="41"/>
        <v>0</v>
      </c>
      <c r="S78" s="17">
        <f t="shared" si="42"/>
        <v>0</v>
      </c>
      <c r="T78" s="113"/>
      <c r="U78" s="880"/>
      <c r="V78" s="880"/>
      <c r="W78" s="880"/>
      <c r="X78" s="880"/>
      <c r="Y78" s="880"/>
      <c r="Z78" s="880"/>
      <c r="AA78" s="881">
        <f t="shared" si="43"/>
        <v>0</v>
      </c>
      <c r="AB78" s="113"/>
      <c r="AC78" s="104"/>
      <c r="AE78" s="647" t="str">
        <f t="shared" si="5"/>
        <v/>
      </c>
    </row>
    <row r="79" spans="1:31" ht="15.5" x14ac:dyDescent="0.35">
      <c r="C79" s="95" t="s">
        <v>521</v>
      </c>
      <c r="D79" s="22">
        <f>SUM(D71:D78)</f>
        <v>22000</v>
      </c>
      <c r="E79" s="22">
        <f>SUM(E71:E78)</f>
        <v>41000</v>
      </c>
      <c r="F79" s="22">
        <f>SUM(F71:F78)</f>
        <v>52700</v>
      </c>
      <c r="G79" s="22">
        <f t="shared" ref="G79:I79" si="45">SUM(G71:G78)</f>
        <v>0</v>
      </c>
      <c r="H79" s="22">
        <f t="shared" si="45"/>
        <v>5000</v>
      </c>
      <c r="I79" s="22">
        <f t="shared" si="45"/>
        <v>0</v>
      </c>
      <c r="J79" s="22">
        <f>SUM(J71:J78)</f>
        <v>120700</v>
      </c>
      <c r="K79" s="19">
        <f>(K71*J71)+(K72*J72)+(K73*J73)+(K74*J74)+(K75*J75)+(K76*J76)+(K77*J77)+(K78*J78)</f>
        <v>36210</v>
      </c>
      <c r="L79" s="589">
        <f>SUM(L71:L78)</f>
        <v>67000</v>
      </c>
      <c r="M79" s="589">
        <f>SUM(M71:M78)</f>
        <v>67000</v>
      </c>
      <c r="N79" s="589">
        <f>SUM(N71:N78)</f>
        <v>87700</v>
      </c>
      <c r="O79" s="589">
        <f t="shared" ref="O79:S79" si="46">SUM(O71:O78)</f>
        <v>0</v>
      </c>
      <c r="P79" s="589">
        <f t="shared" si="46"/>
        <v>5000</v>
      </c>
      <c r="Q79" s="589">
        <f t="shared" si="46"/>
        <v>0</v>
      </c>
      <c r="R79" s="589">
        <f t="shared" si="46"/>
        <v>226700</v>
      </c>
      <c r="S79" s="589">
        <f t="shared" si="46"/>
        <v>106000</v>
      </c>
      <c r="T79" s="19">
        <f>(T71*R71)+(T72*R72)+(T73*R73)+(T74*R74)+(T75*R75)+(T76*R76)+(T77*R77)+(T78*R78)</f>
        <v>57510</v>
      </c>
      <c r="U79" s="886">
        <f t="shared" ref="U79:AA79" si="47">SUM(U71:U78)</f>
        <v>20474.95</v>
      </c>
      <c r="V79" s="886">
        <f t="shared" si="47"/>
        <v>34402.69</v>
      </c>
      <c r="W79" s="886">
        <f t="shared" si="47"/>
        <v>67109.070000000007</v>
      </c>
      <c r="X79" s="886">
        <f t="shared" si="47"/>
        <v>0</v>
      </c>
      <c r="Y79" s="886">
        <f t="shared" si="47"/>
        <v>0</v>
      </c>
      <c r="Z79" s="886">
        <f t="shared" si="47"/>
        <v>5000</v>
      </c>
      <c r="AA79" s="886">
        <f t="shared" si="47"/>
        <v>126986.70999999999</v>
      </c>
      <c r="AB79" s="19">
        <f>SUM(AB71:AB78)</f>
        <v>38096.012999999999</v>
      </c>
      <c r="AC79" s="104"/>
      <c r="AE79" s="648">
        <f t="shared" si="5"/>
        <v>0.87821043910521956</v>
      </c>
    </row>
    <row r="80" spans="1:31" ht="15.5" x14ac:dyDescent="0.35">
      <c r="B80" s="93" t="s">
        <v>431</v>
      </c>
      <c r="C80" s="754" t="s">
        <v>928</v>
      </c>
      <c r="D80" s="756"/>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E80" s="647" t="str">
        <f t="shared" si="5"/>
        <v/>
      </c>
    </row>
    <row r="81" spans="2:31" ht="31" x14ac:dyDescent="0.35">
      <c r="B81" s="94" t="s">
        <v>432</v>
      </c>
      <c r="C81" s="662" t="s">
        <v>929</v>
      </c>
      <c r="D81" s="683"/>
      <c r="E81" s="683"/>
      <c r="F81" s="683"/>
      <c r="G81" s="17"/>
      <c r="H81" s="17"/>
      <c r="I81" s="17"/>
      <c r="J81" s="115">
        <f t="shared" ref="J81:J83" si="48">SUM(D81:I81)</f>
        <v>0</v>
      </c>
      <c r="K81" s="112"/>
      <c r="L81" s="683">
        <v>15000</v>
      </c>
      <c r="M81" s="683">
        <f>14544-6000</f>
        <v>8544</v>
      </c>
      <c r="N81" s="683">
        <f>14544-6000</f>
        <v>8544</v>
      </c>
      <c r="O81" s="17"/>
      <c r="P81" s="17"/>
      <c r="Q81" s="17"/>
      <c r="R81" s="587">
        <f>SUM(L81:Q81)</f>
        <v>32088</v>
      </c>
      <c r="S81" s="17">
        <f>+R81-J81</f>
        <v>32088</v>
      </c>
      <c r="T81" s="656">
        <v>0.3</v>
      </c>
      <c r="U81" s="683"/>
      <c r="V81" s="683"/>
      <c r="W81" s="683"/>
      <c r="X81" s="17"/>
      <c r="Y81" s="17"/>
      <c r="Z81" s="17"/>
      <c r="AA81" s="881">
        <f>SUM(U81:Z81)</f>
        <v>0</v>
      </c>
      <c r="AB81" s="880">
        <f>AA81*T81</f>
        <v>0</v>
      </c>
      <c r="AC81" s="103"/>
      <c r="AE81" s="647" t="str">
        <f t="shared" si="5"/>
        <v/>
      </c>
    </row>
    <row r="82" spans="2:31" ht="46.5" x14ac:dyDescent="0.35">
      <c r="B82" s="94" t="s">
        <v>433</v>
      </c>
      <c r="C82" s="662" t="s">
        <v>930</v>
      </c>
      <c r="D82" s="683"/>
      <c r="E82" s="683"/>
      <c r="F82" s="683"/>
      <c r="G82" s="17"/>
      <c r="H82" s="17"/>
      <c r="I82" s="17"/>
      <c r="J82" s="115">
        <f t="shared" si="48"/>
        <v>0</v>
      </c>
      <c r="K82" s="112"/>
      <c r="L82" s="683">
        <v>15000</v>
      </c>
      <c r="M82" s="683">
        <f>15000-6000</f>
        <v>9000</v>
      </c>
      <c r="N82" s="683">
        <f>15000-6000</f>
        <v>9000</v>
      </c>
      <c r="O82" s="17"/>
      <c r="P82" s="17"/>
      <c r="Q82" s="17"/>
      <c r="R82" s="587">
        <f t="shared" ref="R82:R83" si="49">SUM(L82:Q82)</f>
        <v>33000</v>
      </c>
      <c r="S82" s="17">
        <f t="shared" ref="S82:S83" si="50">+R82-J82</f>
        <v>33000</v>
      </c>
      <c r="T82" s="112">
        <v>0.3</v>
      </c>
      <c r="U82" s="683"/>
      <c r="V82" s="683"/>
      <c r="W82" s="683"/>
      <c r="X82" s="17"/>
      <c r="Y82" s="17"/>
      <c r="Z82" s="17"/>
      <c r="AA82" s="881">
        <f>SUM(U82:Z82)</f>
        <v>0</v>
      </c>
      <c r="AB82" s="880">
        <f>AA82*T82</f>
        <v>0</v>
      </c>
      <c r="AC82" s="103"/>
      <c r="AE82" s="647" t="str">
        <f t="shared" si="5"/>
        <v/>
      </c>
    </row>
    <row r="83" spans="2:31" ht="46.5" x14ac:dyDescent="0.35">
      <c r="B83" s="94" t="s">
        <v>434</v>
      </c>
      <c r="C83" s="662" t="s">
        <v>931</v>
      </c>
      <c r="D83" s="683"/>
      <c r="E83" s="683"/>
      <c r="F83" s="683"/>
      <c r="G83" s="17"/>
      <c r="H83" s="17"/>
      <c r="I83" s="17"/>
      <c r="J83" s="115">
        <f t="shared" si="48"/>
        <v>0</v>
      </c>
      <c r="K83" s="112"/>
      <c r="L83" s="683">
        <v>15000</v>
      </c>
      <c r="M83" s="683">
        <f>15000-5000</f>
        <v>10000</v>
      </c>
      <c r="N83" s="683">
        <f>15000-5000</f>
        <v>10000</v>
      </c>
      <c r="O83" s="17"/>
      <c r="P83" s="17"/>
      <c r="Q83" s="17"/>
      <c r="R83" s="587">
        <f t="shared" si="49"/>
        <v>35000</v>
      </c>
      <c r="S83" s="17">
        <f t="shared" si="50"/>
        <v>35000</v>
      </c>
      <c r="T83" s="112">
        <v>0.3</v>
      </c>
      <c r="U83" s="683"/>
      <c r="V83" s="683"/>
      <c r="W83" s="683"/>
      <c r="X83" s="17"/>
      <c r="Y83" s="17"/>
      <c r="Z83" s="17"/>
      <c r="AA83" s="881">
        <f>SUM(U83:Z83)</f>
        <v>0</v>
      </c>
      <c r="AB83" s="880">
        <f>AA83*T83</f>
        <v>0</v>
      </c>
      <c r="AC83" s="103"/>
      <c r="AE83" s="647" t="str">
        <f t="shared" si="5"/>
        <v/>
      </c>
    </row>
    <row r="84" spans="2:31" ht="15.5" x14ac:dyDescent="0.35">
      <c r="C84" s="95" t="s">
        <v>521</v>
      </c>
      <c r="D84" s="22">
        <f t="shared" ref="D84:J84" si="51">SUM(D81:D83)</f>
        <v>0</v>
      </c>
      <c r="E84" s="22">
        <f t="shared" si="51"/>
        <v>0</v>
      </c>
      <c r="F84" s="22">
        <f t="shared" si="51"/>
        <v>0</v>
      </c>
      <c r="G84" s="22">
        <f t="shared" si="51"/>
        <v>0</v>
      </c>
      <c r="H84" s="22">
        <f t="shared" si="51"/>
        <v>0</v>
      </c>
      <c r="I84" s="22">
        <f t="shared" si="51"/>
        <v>0</v>
      </c>
      <c r="J84" s="22">
        <f t="shared" si="51"/>
        <v>0</v>
      </c>
      <c r="K84" s="19" t="e">
        <f>(K81*J81)+(K82*J82)+(K83*J83)+(#REF!*#REF!)+(#REF!*#REF!)+(#REF!*#REF!)+(#REF!*#REF!)+(#REF!*#REF!)</f>
        <v>#REF!</v>
      </c>
      <c r="L84" s="589">
        <f t="shared" ref="L84:S84" si="52">SUM(L81:L83)</f>
        <v>45000</v>
      </c>
      <c r="M84" s="589">
        <f t="shared" si="52"/>
        <v>27544</v>
      </c>
      <c r="N84" s="589">
        <f t="shared" si="52"/>
        <v>27544</v>
      </c>
      <c r="O84" s="589">
        <f t="shared" si="52"/>
        <v>0</v>
      </c>
      <c r="P84" s="589">
        <f t="shared" si="52"/>
        <v>0</v>
      </c>
      <c r="Q84" s="589">
        <f t="shared" si="52"/>
        <v>0</v>
      </c>
      <c r="R84" s="589">
        <f t="shared" si="52"/>
        <v>100088</v>
      </c>
      <c r="S84" s="589">
        <f t="shared" si="52"/>
        <v>100088</v>
      </c>
      <c r="T84" s="19">
        <f>(T81*R81)+(T82*R82)+(T83*R83)</f>
        <v>30026.400000000001</v>
      </c>
      <c r="U84" s="886">
        <f t="shared" ref="U84:AA84" si="53">SUM(U81:U83)</f>
        <v>0</v>
      </c>
      <c r="V84" s="886">
        <f t="shared" si="53"/>
        <v>0</v>
      </c>
      <c r="W84" s="886">
        <f t="shared" si="53"/>
        <v>0</v>
      </c>
      <c r="X84" s="886">
        <f t="shared" si="53"/>
        <v>0</v>
      </c>
      <c r="Y84" s="886">
        <f t="shared" si="53"/>
        <v>0</v>
      </c>
      <c r="Z84" s="886">
        <f t="shared" si="53"/>
        <v>0</v>
      </c>
      <c r="AA84" s="886">
        <f t="shared" si="53"/>
        <v>0</v>
      </c>
      <c r="AB84" s="19">
        <f>SUM(AB81:AB83)</f>
        <v>0</v>
      </c>
      <c r="AC84" s="104"/>
      <c r="AE84" s="647" t="str">
        <f t="shared" ref="AE84:AE149" si="54">IFERROR(S84/J84,"")</f>
        <v/>
      </c>
    </row>
    <row r="85" spans="2:31" ht="15.5" hidden="1" x14ac:dyDescent="0.35">
      <c r="B85" s="93" t="s">
        <v>435</v>
      </c>
      <c r="C85" s="756"/>
      <c r="D85" s="756"/>
      <c r="E85" s="756"/>
      <c r="F85" s="756"/>
      <c r="G85" s="756"/>
      <c r="H85" s="756"/>
      <c r="I85" s="756"/>
      <c r="J85" s="756"/>
      <c r="K85" s="756"/>
      <c r="L85" s="756"/>
      <c r="M85" s="756"/>
      <c r="N85" s="756"/>
      <c r="O85" s="756"/>
      <c r="P85" s="756"/>
      <c r="Q85" s="756"/>
      <c r="R85" s="756"/>
      <c r="S85" s="756"/>
      <c r="T85" s="756"/>
      <c r="U85" s="756"/>
      <c r="V85" s="756"/>
      <c r="W85" s="756"/>
      <c r="X85" s="756"/>
      <c r="Y85" s="756"/>
      <c r="Z85" s="756"/>
      <c r="AA85" s="756"/>
      <c r="AB85" s="756"/>
      <c r="AC85" s="756"/>
      <c r="AE85" s="647" t="str">
        <f t="shared" si="54"/>
        <v/>
      </c>
    </row>
    <row r="86" spans="2:31" ht="15.5" hidden="1" x14ac:dyDescent="0.35">
      <c r="B86" s="94" t="s">
        <v>436</v>
      </c>
      <c r="C86" s="16"/>
      <c r="D86" s="17"/>
      <c r="E86" s="17"/>
      <c r="F86" s="17"/>
      <c r="G86" s="17"/>
      <c r="H86" s="17"/>
      <c r="I86" s="17"/>
      <c r="J86" s="115">
        <f t="shared" ref="J86:J93" si="55">SUM(D86:I86)</f>
        <v>0</v>
      </c>
      <c r="K86" s="112"/>
      <c r="L86" s="17"/>
      <c r="M86" s="17"/>
      <c r="N86" s="17"/>
      <c r="O86" s="17"/>
      <c r="P86" s="17"/>
      <c r="Q86" s="17"/>
      <c r="R86" s="587">
        <f>SUM(L86:Q86)</f>
        <v>0</v>
      </c>
      <c r="S86" s="17">
        <f>+R86-J86</f>
        <v>0</v>
      </c>
      <c r="T86" s="112"/>
      <c r="U86" s="17"/>
      <c r="V86" s="17"/>
      <c r="W86" s="17"/>
      <c r="X86" s="17"/>
      <c r="Y86" s="17"/>
      <c r="Z86" s="17"/>
      <c r="AA86" s="881">
        <f>SUM(U86:Z86)</f>
        <v>0</v>
      </c>
      <c r="AB86" s="112"/>
      <c r="AC86" s="103"/>
      <c r="AE86" s="647" t="str">
        <f t="shared" si="54"/>
        <v/>
      </c>
    </row>
    <row r="87" spans="2:31" ht="15.5" hidden="1" x14ac:dyDescent="0.35">
      <c r="B87" s="94" t="s">
        <v>437</v>
      </c>
      <c r="C87" s="16"/>
      <c r="D87" s="17"/>
      <c r="E87" s="17"/>
      <c r="F87" s="17"/>
      <c r="G87" s="17"/>
      <c r="H87" s="17"/>
      <c r="I87" s="17"/>
      <c r="J87" s="115">
        <f t="shared" si="55"/>
        <v>0</v>
      </c>
      <c r="K87" s="112"/>
      <c r="L87" s="17"/>
      <c r="M87" s="17"/>
      <c r="N87" s="17"/>
      <c r="O87" s="17"/>
      <c r="P87" s="17"/>
      <c r="Q87" s="17"/>
      <c r="R87" s="587">
        <f t="shared" ref="R87:R93" si="56">SUM(L87:Q87)</f>
        <v>0</v>
      </c>
      <c r="S87" s="17">
        <f t="shared" ref="S87:S93" si="57">+R87-J87</f>
        <v>0</v>
      </c>
      <c r="T87" s="112"/>
      <c r="U87" s="17"/>
      <c r="V87" s="17"/>
      <c r="W87" s="17"/>
      <c r="X87" s="17"/>
      <c r="Y87" s="17"/>
      <c r="Z87" s="17"/>
      <c r="AA87" s="881">
        <f t="shared" ref="AA87:AA93" si="58">SUM(U87:Z87)</f>
        <v>0</v>
      </c>
      <c r="AB87" s="112"/>
      <c r="AC87" s="103"/>
      <c r="AE87" s="647" t="str">
        <f t="shared" si="54"/>
        <v/>
      </c>
    </row>
    <row r="88" spans="2:31" ht="15.5" hidden="1" x14ac:dyDescent="0.35">
      <c r="B88" s="94" t="s">
        <v>438</v>
      </c>
      <c r="C88" s="16"/>
      <c r="D88" s="17"/>
      <c r="E88" s="17"/>
      <c r="F88" s="17"/>
      <c r="G88" s="17"/>
      <c r="H88" s="17"/>
      <c r="I88" s="17"/>
      <c r="J88" s="115">
        <f t="shared" si="55"/>
        <v>0</v>
      </c>
      <c r="K88" s="112"/>
      <c r="L88" s="17"/>
      <c r="M88" s="17"/>
      <c r="N88" s="17"/>
      <c r="O88" s="17"/>
      <c r="P88" s="17"/>
      <c r="Q88" s="17"/>
      <c r="R88" s="587">
        <f t="shared" si="56"/>
        <v>0</v>
      </c>
      <c r="S88" s="17">
        <f t="shared" si="57"/>
        <v>0</v>
      </c>
      <c r="T88" s="112"/>
      <c r="U88" s="17"/>
      <c r="V88" s="17"/>
      <c r="W88" s="17"/>
      <c r="X88" s="17"/>
      <c r="Y88" s="17"/>
      <c r="Z88" s="17"/>
      <c r="AA88" s="881">
        <f t="shared" si="58"/>
        <v>0</v>
      </c>
      <c r="AB88" s="112"/>
      <c r="AC88" s="103"/>
      <c r="AE88" s="647" t="str">
        <f t="shared" si="54"/>
        <v/>
      </c>
    </row>
    <row r="89" spans="2:31" ht="15.5" hidden="1" x14ac:dyDescent="0.35">
      <c r="B89" s="94" t="s">
        <v>439</v>
      </c>
      <c r="C89" s="16"/>
      <c r="D89" s="17"/>
      <c r="E89" s="17"/>
      <c r="F89" s="17"/>
      <c r="G89" s="17"/>
      <c r="H89" s="17"/>
      <c r="I89" s="17"/>
      <c r="J89" s="115">
        <f t="shared" si="55"/>
        <v>0</v>
      </c>
      <c r="K89" s="112"/>
      <c r="L89" s="17"/>
      <c r="M89" s="17"/>
      <c r="N89" s="17"/>
      <c r="O89" s="17"/>
      <c r="P89" s="17"/>
      <c r="Q89" s="17"/>
      <c r="R89" s="587">
        <f t="shared" si="56"/>
        <v>0</v>
      </c>
      <c r="S89" s="17">
        <f t="shared" si="57"/>
        <v>0</v>
      </c>
      <c r="T89" s="112"/>
      <c r="U89" s="17"/>
      <c r="V89" s="17"/>
      <c r="W89" s="17"/>
      <c r="X89" s="17"/>
      <c r="Y89" s="17"/>
      <c r="Z89" s="17"/>
      <c r="AA89" s="881">
        <f t="shared" si="58"/>
        <v>0</v>
      </c>
      <c r="AB89" s="112"/>
      <c r="AC89" s="103"/>
      <c r="AE89" s="647" t="str">
        <f t="shared" si="54"/>
        <v/>
      </c>
    </row>
    <row r="90" spans="2:31" ht="15.5" hidden="1" x14ac:dyDescent="0.35">
      <c r="B90" s="94" t="s">
        <v>440</v>
      </c>
      <c r="C90" s="16"/>
      <c r="D90" s="17"/>
      <c r="E90" s="17"/>
      <c r="F90" s="17"/>
      <c r="G90" s="17"/>
      <c r="H90" s="17"/>
      <c r="I90" s="17"/>
      <c r="J90" s="115">
        <f t="shared" si="55"/>
        <v>0</v>
      </c>
      <c r="K90" s="112"/>
      <c r="L90" s="17"/>
      <c r="M90" s="17"/>
      <c r="N90" s="17"/>
      <c r="O90" s="17"/>
      <c r="P90" s="17"/>
      <c r="Q90" s="17"/>
      <c r="R90" s="587">
        <f t="shared" si="56"/>
        <v>0</v>
      </c>
      <c r="S90" s="17">
        <f t="shared" si="57"/>
        <v>0</v>
      </c>
      <c r="T90" s="112"/>
      <c r="U90" s="17"/>
      <c r="V90" s="17"/>
      <c r="W90" s="17"/>
      <c r="X90" s="17"/>
      <c r="Y90" s="17"/>
      <c r="Z90" s="17"/>
      <c r="AA90" s="881">
        <f t="shared" si="58"/>
        <v>0</v>
      </c>
      <c r="AB90" s="112"/>
      <c r="AC90" s="103"/>
      <c r="AE90" s="647" t="str">
        <f t="shared" si="54"/>
        <v/>
      </c>
    </row>
    <row r="91" spans="2:31" ht="15.5" hidden="1" x14ac:dyDescent="0.35">
      <c r="B91" s="94" t="s">
        <v>441</v>
      </c>
      <c r="C91" s="16"/>
      <c r="D91" s="17"/>
      <c r="E91" s="17"/>
      <c r="F91" s="17"/>
      <c r="G91" s="17"/>
      <c r="H91" s="17"/>
      <c r="I91" s="17"/>
      <c r="J91" s="115">
        <f t="shared" si="55"/>
        <v>0</v>
      </c>
      <c r="K91" s="112"/>
      <c r="L91" s="17"/>
      <c r="M91" s="17"/>
      <c r="N91" s="17"/>
      <c r="O91" s="17"/>
      <c r="P91" s="17"/>
      <c r="Q91" s="17"/>
      <c r="R91" s="587">
        <f t="shared" si="56"/>
        <v>0</v>
      </c>
      <c r="S91" s="17">
        <f t="shared" si="57"/>
        <v>0</v>
      </c>
      <c r="T91" s="112"/>
      <c r="U91" s="17"/>
      <c r="V91" s="17"/>
      <c r="W91" s="17"/>
      <c r="X91" s="17"/>
      <c r="Y91" s="17"/>
      <c r="Z91" s="17"/>
      <c r="AA91" s="881">
        <f t="shared" si="58"/>
        <v>0</v>
      </c>
      <c r="AB91" s="112"/>
      <c r="AC91" s="103"/>
      <c r="AE91" s="647" t="str">
        <f t="shared" si="54"/>
        <v/>
      </c>
    </row>
    <row r="92" spans="2:31" ht="15.5" hidden="1" x14ac:dyDescent="0.35">
      <c r="B92" s="94" t="s">
        <v>442</v>
      </c>
      <c r="C92" s="653"/>
      <c r="D92" s="18"/>
      <c r="E92" s="18"/>
      <c r="F92" s="18"/>
      <c r="G92" s="18"/>
      <c r="H92" s="18"/>
      <c r="I92" s="18"/>
      <c r="J92" s="115">
        <f t="shared" si="55"/>
        <v>0</v>
      </c>
      <c r="K92" s="113"/>
      <c r="L92" s="17"/>
      <c r="M92" s="17"/>
      <c r="N92" s="17"/>
      <c r="O92" s="17"/>
      <c r="P92" s="17"/>
      <c r="Q92" s="17"/>
      <c r="R92" s="587">
        <f t="shared" si="56"/>
        <v>0</v>
      </c>
      <c r="S92" s="17">
        <f t="shared" si="57"/>
        <v>0</v>
      </c>
      <c r="T92" s="113"/>
      <c r="U92" s="17"/>
      <c r="V92" s="17"/>
      <c r="W92" s="17"/>
      <c r="X92" s="17"/>
      <c r="Y92" s="17"/>
      <c r="Z92" s="17"/>
      <c r="AA92" s="881">
        <f t="shared" si="58"/>
        <v>0</v>
      </c>
      <c r="AB92" s="113"/>
      <c r="AC92" s="104"/>
      <c r="AE92" s="647" t="str">
        <f t="shared" si="54"/>
        <v/>
      </c>
    </row>
    <row r="93" spans="2:31" ht="15.5" hidden="1" x14ac:dyDescent="0.35">
      <c r="B93" s="94" t="s">
        <v>443</v>
      </c>
      <c r="C93" s="653"/>
      <c r="D93" s="18"/>
      <c r="E93" s="18"/>
      <c r="F93" s="18"/>
      <c r="G93" s="18"/>
      <c r="H93" s="18"/>
      <c r="I93" s="18"/>
      <c r="J93" s="115">
        <f t="shared" si="55"/>
        <v>0</v>
      </c>
      <c r="K93" s="113"/>
      <c r="L93" s="17"/>
      <c r="M93" s="17"/>
      <c r="N93" s="17"/>
      <c r="O93" s="17"/>
      <c r="P93" s="17"/>
      <c r="Q93" s="17"/>
      <c r="R93" s="587">
        <f t="shared" si="56"/>
        <v>0</v>
      </c>
      <c r="S93" s="17">
        <f t="shared" si="57"/>
        <v>0</v>
      </c>
      <c r="T93" s="113"/>
      <c r="U93" s="17"/>
      <c r="V93" s="17"/>
      <c r="W93" s="17"/>
      <c r="X93" s="17"/>
      <c r="Y93" s="17"/>
      <c r="Z93" s="17"/>
      <c r="AA93" s="881">
        <f t="shared" si="58"/>
        <v>0</v>
      </c>
      <c r="AB93" s="113"/>
      <c r="AC93" s="104"/>
      <c r="AE93" s="647" t="str">
        <f t="shared" si="54"/>
        <v/>
      </c>
    </row>
    <row r="94" spans="2:31" ht="15.5" hidden="1" x14ac:dyDescent="0.35">
      <c r="C94" s="95" t="s">
        <v>521</v>
      </c>
      <c r="D94" s="19">
        <f>SUM(D86:D93)</f>
        <v>0</v>
      </c>
      <c r="E94" s="19">
        <f>SUM(E86:E93)</f>
        <v>0</v>
      </c>
      <c r="F94" s="19">
        <f>SUM(F86:F93)</f>
        <v>0</v>
      </c>
      <c r="G94" s="19">
        <f t="shared" ref="G94:I94" si="59">SUM(G86:G93)</f>
        <v>0</v>
      </c>
      <c r="H94" s="19">
        <f t="shared" si="59"/>
        <v>0</v>
      </c>
      <c r="I94" s="19">
        <f t="shared" si="59"/>
        <v>0</v>
      </c>
      <c r="J94" s="19">
        <f>SUM(J86:J93)</f>
        <v>0</v>
      </c>
      <c r="K94" s="19">
        <f>(K86*J86)+(K87*J87)+(K88*J88)+(K89*J89)+(K90*J90)+(K91*J91)+(K92*J92)+(K93*J93)</f>
        <v>0</v>
      </c>
      <c r="L94" s="588">
        <f>SUM(L86:L93)</f>
        <v>0</v>
      </c>
      <c r="M94" s="588">
        <f t="shared" ref="M94:S94" si="60">SUM(M86:M93)</f>
        <v>0</v>
      </c>
      <c r="N94" s="588">
        <f t="shared" si="60"/>
        <v>0</v>
      </c>
      <c r="O94" s="588">
        <f t="shared" si="60"/>
        <v>0</v>
      </c>
      <c r="P94" s="588">
        <f t="shared" si="60"/>
        <v>0</v>
      </c>
      <c r="Q94" s="588">
        <f t="shared" si="60"/>
        <v>0</v>
      </c>
      <c r="R94" s="588">
        <f t="shared" si="60"/>
        <v>0</v>
      </c>
      <c r="S94" s="588">
        <f t="shared" si="60"/>
        <v>0</v>
      </c>
      <c r="T94" s="19">
        <f>(T86*R86)+(T87*R87)+(T88*R88)+(T89*R89)+(T90*R90)+(T91*R91)+(T92*R92)+(T93*R93)</f>
        <v>0</v>
      </c>
      <c r="U94" s="884">
        <f>SUM(U86:U93)</f>
        <v>0</v>
      </c>
      <c r="V94" s="884">
        <f t="shared" ref="V94:AA94" si="61">SUM(V86:V93)</f>
        <v>0</v>
      </c>
      <c r="W94" s="884">
        <f t="shared" si="61"/>
        <v>0</v>
      </c>
      <c r="X94" s="884">
        <f t="shared" si="61"/>
        <v>0</v>
      </c>
      <c r="Y94" s="884">
        <f t="shared" si="61"/>
        <v>0</v>
      </c>
      <c r="Z94" s="884">
        <f t="shared" si="61"/>
        <v>0</v>
      </c>
      <c r="AA94" s="884">
        <f t="shared" si="61"/>
        <v>0</v>
      </c>
      <c r="AB94" s="19">
        <f>(AB86*AA86)+(AB87*AA87)+(AB88*AA88)+(AB89*AA89)+(AB90*AA90)+(AB91*AA91)+(AB92*AA92)+(AB93*AA93)</f>
        <v>0</v>
      </c>
      <c r="AC94" s="104"/>
      <c r="AE94" s="647" t="str">
        <f t="shared" si="54"/>
        <v/>
      </c>
    </row>
    <row r="95" spans="2:31" ht="15.5" x14ac:dyDescent="0.35">
      <c r="B95" s="6"/>
      <c r="C95" s="12"/>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12"/>
      <c r="AE95" s="647" t="str">
        <f t="shared" si="54"/>
        <v/>
      </c>
    </row>
    <row r="96" spans="2:31" ht="15.5" x14ac:dyDescent="0.35">
      <c r="B96" s="95" t="s">
        <v>444</v>
      </c>
      <c r="C96" s="754" t="s">
        <v>587</v>
      </c>
      <c r="D96" s="754"/>
      <c r="E96" s="754"/>
      <c r="F96" s="754"/>
      <c r="G96" s="754"/>
      <c r="H96" s="754"/>
      <c r="I96" s="754"/>
      <c r="J96" s="754"/>
      <c r="K96" s="754"/>
      <c r="L96" s="754"/>
      <c r="M96" s="754"/>
      <c r="N96" s="754"/>
      <c r="O96" s="754"/>
      <c r="P96" s="754"/>
      <c r="Q96" s="754"/>
      <c r="R96" s="754"/>
      <c r="S96" s="754"/>
      <c r="T96" s="754"/>
      <c r="U96" s="754"/>
      <c r="V96" s="754"/>
      <c r="W96" s="754"/>
      <c r="X96" s="754"/>
      <c r="Y96" s="754"/>
      <c r="Z96" s="754"/>
      <c r="AA96" s="754"/>
      <c r="AB96" s="754"/>
      <c r="AC96" s="754"/>
      <c r="AE96" s="647" t="str">
        <f t="shared" si="54"/>
        <v/>
      </c>
    </row>
    <row r="97" spans="2:31" ht="15.5" x14ac:dyDescent="0.35">
      <c r="B97" s="93" t="s">
        <v>445</v>
      </c>
      <c r="C97" s="754" t="s">
        <v>588</v>
      </c>
      <c r="D97" s="754"/>
      <c r="E97" s="754"/>
      <c r="F97" s="754"/>
      <c r="G97" s="754"/>
      <c r="H97" s="754"/>
      <c r="I97" s="754"/>
      <c r="J97" s="754"/>
      <c r="K97" s="754"/>
      <c r="L97" s="754"/>
      <c r="M97" s="754"/>
      <c r="N97" s="754"/>
      <c r="O97" s="754"/>
      <c r="P97" s="754"/>
      <c r="Q97" s="754"/>
      <c r="R97" s="754"/>
      <c r="S97" s="754"/>
      <c r="T97" s="754"/>
      <c r="U97" s="754"/>
      <c r="V97" s="754"/>
      <c r="W97" s="754"/>
      <c r="X97" s="754"/>
      <c r="Y97" s="754"/>
      <c r="Z97" s="754"/>
      <c r="AA97" s="754"/>
      <c r="AB97" s="754"/>
      <c r="AC97" s="754"/>
      <c r="AE97" s="647" t="str">
        <f t="shared" si="54"/>
        <v/>
      </c>
    </row>
    <row r="98" spans="2:31" ht="62" x14ac:dyDescent="0.35">
      <c r="B98" s="94" t="s">
        <v>446</v>
      </c>
      <c r="C98" s="16" t="s">
        <v>602</v>
      </c>
      <c r="D98" s="17"/>
      <c r="E98" s="17"/>
      <c r="F98" s="17"/>
      <c r="G98" s="17">
        <v>60000.263999999996</v>
      </c>
      <c r="H98" s="17">
        <v>70000</v>
      </c>
      <c r="I98" s="17">
        <v>43000</v>
      </c>
      <c r="J98" s="115">
        <f t="shared" ref="J98:J104" si="62">SUM(D98:I98)</f>
        <v>173000.264</v>
      </c>
      <c r="K98" s="112">
        <v>0.1</v>
      </c>
      <c r="L98" s="17"/>
      <c r="M98" s="17"/>
      <c r="N98" s="17"/>
      <c r="O98" s="17">
        <v>60000.263999999996</v>
      </c>
      <c r="P98" s="17">
        <v>70000</v>
      </c>
      <c r="Q98" s="17">
        <v>43000</v>
      </c>
      <c r="R98" s="587">
        <f>SUM(L98:Q98)</f>
        <v>173000.264</v>
      </c>
      <c r="S98" s="17">
        <f>+R98-J98</f>
        <v>0</v>
      </c>
      <c r="T98" s="112">
        <v>0.1</v>
      </c>
      <c r="U98" s="888"/>
      <c r="V98" s="888"/>
      <c r="W98" s="888"/>
      <c r="X98" s="889">
        <v>90516.98</v>
      </c>
      <c r="Y98" s="880">
        <v>15000</v>
      </c>
      <c r="Z98" s="880">
        <v>50829.1</v>
      </c>
      <c r="AA98" s="881">
        <f>SUM(U98:Z98)</f>
        <v>156346.07999999999</v>
      </c>
      <c r="AB98" s="880">
        <f>AA98*T98</f>
        <v>15634.608</v>
      </c>
      <c r="AC98" s="103" t="s">
        <v>893</v>
      </c>
      <c r="AE98" s="647">
        <f t="shared" si="54"/>
        <v>0</v>
      </c>
    </row>
    <row r="99" spans="2:31" ht="15.5" x14ac:dyDescent="0.35">
      <c r="B99" s="94" t="s">
        <v>447</v>
      </c>
      <c r="C99" s="16" t="s">
        <v>604</v>
      </c>
      <c r="D99" s="17"/>
      <c r="E99" s="17"/>
      <c r="F99" s="17"/>
      <c r="G99" s="17">
        <v>70025</v>
      </c>
      <c r="H99" s="17">
        <v>80000</v>
      </c>
      <c r="I99" s="17">
        <v>35656.985105290201</v>
      </c>
      <c r="J99" s="115">
        <f t="shared" si="62"/>
        <v>185681.98510529019</v>
      </c>
      <c r="K99" s="112">
        <v>0.5</v>
      </c>
      <c r="L99" s="17"/>
      <c r="M99" s="17"/>
      <c r="N99" s="17"/>
      <c r="O99" s="17">
        <v>70025</v>
      </c>
      <c r="P99" s="17">
        <v>80000</v>
      </c>
      <c r="Q99" s="17">
        <v>35656.985105290201</v>
      </c>
      <c r="R99" s="587">
        <f t="shared" ref="R99:R104" si="63">SUM(L99:Q99)</f>
        <v>185681.98510529019</v>
      </c>
      <c r="S99" s="17">
        <f t="shared" ref="S99:S105" si="64">+R99-J99</f>
        <v>0</v>
      </c>
      <c r="T99" s="112">
        <v>0.5</v>
      </c>
      <c r="U99" s="888"/>
      <c r="V99" s="888"/>
      <c r="W99" s="888"/>
      <c r="X99" s="889">
        <v>76338.509999999995</v>
      </c>
      <c r="Y99" s="882">
        <v>35000</v>
      </c>
      <c r="Z99" s="880">
        <v>80000</v>
      </c>
      <c r="AA99" s="881">
        <f t="shared" ref="AA99:AA104" si="65">SUM(U99:Z99)</f>
        <v>191338.51</v>
      </c>
      <c r="AB99" s="880">
        <f t="shared" ref="AB99:AB109" si="66">AA99*T99</f>
        <v>95669.255000000005</v>
      </c>
      <c r="AC99" s="103" t="s">
        <v>880</v>
      </c>
      <c r="AE99" s="647">
        <f t="shared" si="54"/>
        <v>0</v>
      </c>
    </row>
    <row r="100" spans="2:31" ht="15.5" x14ac:dyDescent="0.35">
      <c r="B100" s="94" t="s">
        <v>448</v>
      </c>
      <c r="C100" s="16" t="s">
        <v>603</v>
      </c>
      <c r="D100" s="17"/>
      <c r="E100" s="17"/>
      <c r="F100" s="17"/>
      <c r="G100" s="17">
        <v>39824.000000000015</v>
      </c>
      <c r="H100" s="17">
        <v>43000</v>
      </c>
      <c r="I100" s="17">
        <v>45454.545454545398</v>
      </c>
      <c r="J100" s="115">
        <f t="shared" si="62"/>
        <v>128278.54545454541</v>
      </c>
      <c r="K100" s="112"/>
      <c r="L100" s="17"/>
      <c r="M100" s="17"/>
      <c r="N100" s="17"/>
      <c r="O100" s="17">
        <v>39824.000000000015</v>
      </c>
      <c r="P100" s="17">
        <v>43000</v>
      </c>
      <c r="Q100" s="17">
        <v>45454.545454545398</v>
      </c>
      <c r="R100" s="587">
        <f t="shared" si="63"/>
        <v>128278.54545454541</v>
      </c>
      <c r="S100" s="17">
        <f t="shared" si="64"/>
        <v>0</v>
      </c>
      <c r="T100" s="112"/>
      <c r="U100" s="888"/>
      <c r="V100" s="888"/>
      <c r="W100" s="888"/>
      <c r="X100" s="889">
        <v>42849.71</v>
      </c>
      <c r="Y100" s="880">
        <v>45454.545454545449</v>
      </c>
      <c r="Z100" s="880">
        <v>24302.84</v>
      </c>
      <c r="AA100" s="881">
        <f t="shared" si="65"/>
        <v>112607.09545454544</v>
      </c>
      <c r="AB100" s="880">
        <f t="shared" si="66"/>
        <v>0</v>
      </c>
      <c r="AC100" s="103" t="s">
        <v>880</v>
      </c>
      <c r="AE100" s="647">
        <f t="shared" si="54"/>
        <v>0</v>
      </c>
    </row>
    <row r="101" spans="2:31" ht="31" x14ac:dyDescent="0.35">
      <c r="B101" s="94" t="s">
        <v>449</v>
      </c>
      <c r="C101" s="16" t="s">
        <v>589</v>
      </c>
      <c r="D101" s="17"/>
      <c r="E101" s="17"/>
      <c r="F101" s="17"/>
      <c r="G101" s="17">
        <v>20000</v>
      </c>
      <c r="H101" s="17">
        <v>12000</v>
      </c>
      <c r="I101" s="17">
        <v>35656.985105290201</v>
      </c>
      <c r="J101" s="115">
        <f t="shared" si="62"/>
        <v>67656.985105290194</v>
      </c>
      <c r="K101" s="112"/>
      <c r="L101" s="17"/>
      <c r="M101" s="17"/>
      <c r="N101" s="17"/>
      <c r="O101" s="17">
        <v>20000</v>
      </c>
      <c r="P101" s="17">
        <v>12000</v>
      </c>
      <c r="Q101" s="17">
        <v>35656.985105290201</v>
      </c>
      <c r="R101" s="587">
        <f t="shared" si="63"/>
        <v>67656.985105290194</v>
      </c>
      <c r="S101" s="17">
        <f t="shared" si="64"/>
        <v>0</v>
      </c>
      <c r="T101" s="112"/>
      <c r="U101" s="888"/>
      <c r="V101" s="888"/>
      <c r="W101" s="888"/>
      <c r="X101" s="889">
        <v>37000</v>
      </c>
      <c r="Y101" s="880">
        <v>15000</v>
      </c>
      <c r="Z101" s="880">
        <v>19174</v>
      </c>
      <c r="AA101" s="881">
        <f t="shared" si="65"/>
        <v>71174</v>
      </c>
      <c r="AB101" s="880">
        <f t="shared" si="66"/>
        <v>0</v>
      </c>
      <c r="AC101" s="103" t="s">
        <v>880</v>
      </c>
      <c r="AE101" s="647">
        <f t="shared" si="54"/>
        <v>0</v>
      </c>
    </row>
    <row r="102" spans="2:31" ht="46.5" x14ac:dyDescent="0.35">
      <c r="B102" s="94" t="s">
        <v>450</v>
      </c>
      <c r="C102" s="16" t="s">
        <v>615</v>
      </c>
      <c r="D102" s="17"/>
      <c r="E102" s="17"/>
      <c r="F102" s="17"/>
      <c r="G102" s="17">
        <v>10000</v>
      </c>
      <c r="H102" s="17">
        <v>3000</v>
      </c>
      <c r="I102" s="17">
        <v>8541.2429378531069</v>
      </c>
      <c r="J102" s="115">
        <f t="shared" si="62"/>
        <v>21541.242937853109</v>
      </c>
      <c r="K102" s="112">
        <v>0.3</v>
      </c>
      <c r="L102" s="17"/>
      <c r="M102" s="17"/>
      <c r="N102" s="17"/>
      <c r="O102" s="17">
        <v>10000</v>
      </c>
      <c r="P102" s="17">
        <v>3000</v>
      </c>
      <c r="Q102" s="17">
        <v>8541.2429378531069</v>
      </c>
      <c r="R102" s="587">
        <f t="shared" si="63"/>
        <v>21541.242937853109</v>
      </c>
      <c r="S102" s="17">
        <f t="shared" si="64"/>
        <v>0</v>
      </c>
      <c r="T102" s="112">
        <v>0.3</v>
      </c>
      <c r="U102" s="888"/>
      <c r="V102" s="888"/>
      <c r="W102" s="888"/>
      <c r="X102" s="889">
        <f>5046.29+5000</f>
        <v>10046.290000000001</v>
      </c>
      <c r="Y102" s="880">
        <v>7200</v>
      </c>
      <c r="Z102" s="880">
        <v>3000</v>
      </c>
      <c r="AA102" s="881">
        <f t="shared" si="65"/>
        <v>20246.29</v>
      </c>
      <c r="AB102" s="880">
        <f t="shared" si="66"/>
        <v>6073.8869999999997</v>
      </c>
      <c r="AC102" s="103" t="s">
        <v>881</v>
      </c>
      <c r="AE102" s="647">
        <f t="shared" si="54"/>
        <v>0</v>
      </c>
    </row>
    <row r="103" spans="2:31" ht="31" x14ac:dyDescent="0.35">
      <c r="B103" s="94" t="s">
        <v>451</v>
      </c>
      <c r="C103" s="16" t="s">
        <v>616</v>
      </c>
      <c r="D103" s="17"/>
      <c r="E103" s="17"/>
      <c r="F103" s="17"/>
      <c r="G103" s="17">
        <v>10000</v>
      </c>
      <c r="H103" s="17">
        <v>3000</v>
      </c>
      <c r="I103" s="17">
        <v>33898.305084745763</v>
      </c>
      <c r="J103" s="115">
        <f t="shared" si="62"/>
        <v>46898.305084745763</v>
      </c>
      <c r="K103" s="112">
        <v>0.3</v>
      </c>
      <c r="L103" s="17"/>
      <c r="M103" s="17"/>
      <c r="N103" s="17"/>
      <c r="O103" s="17">
        <v>10000</v>
      </c>
      <c r="P103" s="17">
        <v>3000</v>
      </c>
      <c r="Q103" s="17">
        <v>33898.305084745763</v>
      </c>
      <c r="R103" s="587">
        <f t="shared" si="63"/>
        <v>46898.305084745763</v>
      </c>
      <c r="S103" s="17">
        <f t="shared" si="64"/>
        <v>0</v>
      </c>
      <c r="T103" s="112">
        <v>0.3</v>
      </c>
      <c r="U103" s="888"/>
      <c r="V103" s="888"/>
      <c r="W103" s="888"/>
      <c r="X103" s="889">
        <v>10000</v>
      </c>
      <c r="Y103" s="880">
        <v>45623.635336414998</v>
      </c>
      <c r="Z103" s="880">
        <v>3000</v>
      </c>
      <c r="AA103" s="881">
        <f t="shared" si="65"/>
        <v>58623.635336414998</v>
      </c>
      <c r="AB103" s="880">
        <f t="shared" si="66"/>
        <v>17587.090600924497</v>
      </c>
      <c r="AC103" s="103" t="s">
        <v>881</v>
      </c>
      <c r="AE103" s="647">
        <f t="shared" si="54"/>
        <v>0</v>
      </c>
    </row>
    <row r="104" spans="2:31" ht="31" x14ac:dyDescent="0.35">
      <c r="B104" s="94" t="s">
        <v>452</v>
      </c>
      <c r="C104" s="16" t="s">
        <v>617</v>
      </c>
      <c r="D104" s="17"/>
      <c r="E104" s="17"/>
      <c r="F104" s="17"/>
      <c r="G104" s="18">
        <v>40446</v>
      </c>
      <c r="H104" s="17">
        <v>12000</v>
      </c>
      <c r="I104" s="18">
        <v>5674.545454545455</v>
      </c>
      <c r="J104" s="115">
        <f t="shared" si="62"/>
        <v>58120.545454545456</v>
      </c>
      <c r="K104" s="113">
        <v>1</v>
      </c>
      <c r="L104" s="17"/>
      <c r="M104" s="17"/>
      <c r="N104" s="17"/>
      <c r="O104" s="18">
        <v>40446</v>
      </c>
      <c r="P104" s="17">
        <v>12000</v>
      </c>
      <c r="Q104" s="18">
        <v>5674.545454545455</v>
      </c>
      <c r="R104" s="587">
        <f t="shared" si="63"/>
        <v>58120.545454545456</v>
      </c>
      <c r="S104" s="17">
        <f t="shared" si="64"/>
        <v>0</v>
      </c>
      <c r="T104" s="113">
        <v>1</v>
      </c>
      <c r="U104" s="888"/>
      <c r="V104" s="888"/>
      <c r="W104" s="888"/>
      <c r="X104" s="889">
        <v>44092.87</v>
      </c>
      <c r="Y104" s="880">
        <v>5674.5454545454504</v>
      </c>
      <c r="Z104" s="880">
        <v>15558</v>
      </c>
      <c r="AA104" s="881">
        <f t="shared" si="65"/>
        <v>65325.415454545451</v>
      </c>
      <c r="AB104" s="880">
        <f t="shared" si="66"/>
        <v>65325.415454545451</v>
      </c>
      <c r="AC104" s="103" t="s">
        <v>880</v>
      </c>
      <c r="AE104" s="647">
        <f t="shared" si="54"/>
        <v>0</v>
      </c>
    </row>
    <row r="105" spans="2:31" ht="62" x14ac:dyDescent="0.35">
      <c r="B105" s="94" t="s">
        <v>453</v>
      </c>
      <c r="C105" s="16" t="s">
        <v>618</v>
      </c>
      <c r="D105" s="17"/>
      <c r="E105" s="17"/>
      <c r="F105" s="17"/>
      <c r="G105" s="18">
        <v>10000</v>
      </c>
      <c r="H105" s="17">
        <v>4000</v>
      </c>
      <c r="I105" s="17">
        <v>20000</v>
      </c>
      <c r="J105" s="115">
        <f t="shared" ref="J105" si="67">SUM(D105:I105)</f>
        <v>34000</v>
      </c>
      <c r="K105" s="113">
        <v>0.3</v>
      </c>
      <c r="L105" s="17"/>
      <c r="M105" s="17"/>
      <c r="N105" s="17"/>
      <c r="O105" s="18">
        <v>10000</v>
      </c>
      <c r="P105" s="17">
        <v>4000</v>
      </c>
      <c r="Q105" s="17">
        <v>20000</v>
      </c>
      <c r="R105" s="587">
        <f t="shared" ref="R105:R109" si="68">SUM(L105:Q105)</f>
        <v>34000</v>
      </c>
      <c r="S105" s="17">
        <f t="shared" si="64"/>
        <v>0</v>
      </c>
      <c r="T105" s="113">
        <v>0.3</v>
      </c>
      <c r="U105" s="888"/>
      <c r="V105" s="888"/>
      <c r="W105" s="888"/>
      <c r="X105" s="889">
        <v>8240.92</v>
      </c>
      <c r="Y105" s="889">
        <v>20000</v>
      </c>
      <c r="Z105" s="880">
        <v>4000</v>
      </c>
      <c r="AA105" s="881">
        <f>SUM(U105:Z105)</f>
        <v>32240.92</v>
      </c>
      <c r="AB105" s="880">
        <f t="shared" si="66"/>
        <v>9672.2759999999998</v>
      </c>
      <c r="AC105" s="103" t="s">
        <v>881</v>
      </c>
      <c r="AE105" s="647">
        <f t="shared" ref="AE105" si="69">IFERROR(S105/J105,"")</f>
        <v>0</v>
      </c>
    </row>
    <row r="106" spans="2:31" ht="77.5" x14ac:dyDescent="0.35">
      <c r="B106" s="94" t="s">
        <v>908</v>
      </c>
      <c r="C106" s="662" t="s">
        <v>912</v>
      </c>
      <c r="D106" s="17"/>
      <c r="E106" s="17"/>
      <c r="F106" s="17"/>
      <c r="G106" s="18"/>
      <c r="H106" s="17"/>
      <c r="I106" s="18"/>
      <c r="J106" s="115"/>
      <c r="K106" s="113"/>
      <c r="L106" s="618"/>
      <c r="M106" s="618"/>
      <c r="N106" s="618"/>
      <c r="O106" s="716">
        <v>41000</v>
      </c>
      <c r="P106" s="618">
        <v>28000</v>
      </c>
      <c r="Q106" s="621">
        <v>30000</v>
      </c>
      <c r="R106" s="655">
        <f t="shared" si="68"/>
        <v>99000</v>
      </c>
      <c r="S106" s="17">
        <f t="shared" ref="S106:S109" si="70">+R106-J106</f>
        <v>99000</v>
      </c>
      <c r="T106" s="660">
        <v>0.3</v>
      </c>
      <c r="U106" s="618"/>
      <c r="V106" s="618"/>
      <c r="W106" s="618"/>
      <c r="X106" s="18"/>
      <c r="Y106" s="618"/>
      <c r="Z106" s="621"/>
      <c r="AA106" s="885">
        <f>SUM(U106:Z106)</f>
        <v>0</v>
      </c>
      <c r="AB106" s="887">
        <f t="shared" si="66"/>
        <v>0</v>
      </c>
      <c r="AC106" s="657" t="s">
        <v>950</v>
      </c>
      <c r="AE106" s="647"/>
    </row>
    <row r="107" spans="2:31" ht="46.5" x14ac:dyDescent="0.35">
      <c r="B107" s="94" t="s">
        <v>909</v>
      </c>
      <c r="C107" s="662" t="s">
        <v>913</v>
      </c>
      <c r="D107" s="17"/>
      <c r="E107" s="17"/>
      <c r="F107" s="17"/>
      <c r="G107" s="18"/>
      <c r="H107" s="17"/>
      <c r="I107" s="18"/>
      <c r="J107" s="115"/>
      <c r="K107" s="113"/>
      <c r="L107" s="618"/>
      <c r="M107" s="618"/>
      <c r="N107" s="618"/>
      <c r="O107" s="716">
        <v>33000</v>
      </c>
      <c r="P107" s="618">
        <v>21000</v>
      </c>
      <c r="Q107" s="621">
        <v>25000</v>
      </c>
      <c r="R107" s="655">
        <f t="shared" si="68"/>
        <v>79000</v>
      </c>
      <c r="S107" s="17">
        <f t="shared" si="70"/>
        <v>79000</v>
      </c>
      <c r="T107" s="660"/>
      <c r="U107" s="618"/>
      <c r="V107" s="618"/>
      <c r="W107" s="618"/>
      <c r="X107" s="18"/>
      <c r="Y107" s="618"/>
      <c r="Z107" s="621"/>
      <c r="AA107" s="885">
        <f>SUM(U107:Z107)</f>
        <v>0</v>
      </c>
      <c r="AB107" s="887">
        <f t="shared" si="66"/>
        <v>0</v>
      </c>
      <c r="AC107" s="657" t="s">
        <v>942</v>
      </c>
      <c r="AE107" s="647"/>
    </row>
    <row r="108" spans="2:31" ht="46.5" x14ac:dyDescent="0.35">
      <c r="B108" s="94" t="s">
        <v>910</v>
      </c>
      <c r="C108" s="662" t="s">
        <v>914</v>
      </c>
      <c r="D108" s="17"/>
      <c r="E108" s="17"/>
      <c r="F108" s="17"/>
      <c r="G108" s="18"/>
      <c r="H108" s="17"/>
      <c r="I108" s="18"/>
      <c r="J108" s="115"/>
      <c r="K108" s="113"/>
      <c r="L108" s="618"/>
      <c r="M108" s="618"/>
      <c r="N108" s="618"/>
      <c r="O108" s="716">
        <v>25000</v>
      </c>
      <c r="P108" s="618">
        <v>13000</v>
      </c>
      <c r="Q108" s="621">
        <v>25000</v>
      </c>
      <c r="R108" s="655">
        <f t="shared" si="68"/>
        <v>63000</v>
      </c>
      <c r="S108" s="17">
        <f t="shared" si="70"/>
        <v>63000</v>
      </c>
      <c r="T108" s="660"/>
      <c r="U108" s="618"/>
      <c r="V108" s="618"/>
      <c r="W108" s="618"/>
      <c r="X108" s="18"/>
      <c r="Y108" s="618"/>
      <c r="Z108" s="621"/>
      <c r="AA108" s="885">
        <f>SUM(U108:Z108)</f>
        <v>0</v>
      </c>
      <c r="AB108" s="887">
        <f t="shared" si="66"/>
        <v>0</v>
      </c>
      <c r="AC108" s="657" t="s">
        <v>943</v>
      </c>
      <c r="AE108" s="647"/>
    </row>
    <row r="109" spans="2:31" ht="31" x14ac:dyDescent="0.35">
      <c r="B109" s="94" t="s">
        <v>911</v>
      </c>
      <c r="C109" s="662" t="s">
        <v>915</v>
      </c>
      <c r="D109" s="17"/>
      <c r="E109" s="17"/>
      <c r="F109" s="17"/>
      <c r="G109" s="18"/>
      <c r="H109" s="17"/>
      <c r="I109" s="18"/>
      <c r="J109" s="115"/>
      <c r="K109" s="113"/>
      <c r="L109" s="618"/>
      <c r="M109" s="618"/>
      <c r="N109" s="618"/>
      <c r="O109" s="716">
        <v>25000</v>
      </c>
      <c r="P109" s="618">
        <v>13000</v>
      </c>
      <c r="Q109" s="621">
        <v>20000</v>
      </c>
      <c r="R109" s="655">
        <f t="shared" si="68"/>
        <v>58000</v>
      </c>
      <c r="S109" s="17">
        <f t="shared" si="70"/>
        <v>58000</v>
      </c>
      <c r="T109" s="660">
        <v>0.3</v>
      </c>
      <c r="U109" s="618"/>
      <c r="V109" s="618"/>
      <c r="W109" s="618"/>
      <c r="X109" s="18"/>
      <c r="Y109" s="618"/>
      <c r="Z109" s="621"/>
      <c r="AA109" s="885">
        <f>SUM(U109:Z109)</f>
        <v>0</v>
      </c>
      <c r="AB109" s="887">
        <f t="shared" si="66"/>
        <v>0</v>
      </c>
      <c r="AC109" s="657" t="s">
        <v>942</v>
      </c>
      <c r="AE109" s="647"/>
    </row>
    <row r="110" spans="2:31" ht="15.5" x14ac:dyDescent="0.35">
      <c r="B110" s="94"/>
      <c r="C110" s="16"/>
      <c r="D110" s="17"/>
      <c r="E110" s="17"/>
      <c r="F110" s="17"/>
      <c r="G110" s="18"/>
      <c r="H110" s="17"/>
      <c r="I110" s="17"/>
      <c r="J110" s="115"/>
      <c r="K110" s="113"/>
      <c r="L110" s="17"/>
      <c r="M110" s="17"/>
      <c r="N110" s="17"/>
      <c r="O110" s="18"/>
      <c r="P110" s="17"/>
      <c r="Q110" s="17"/>
      <c r="R110" s="587"/>
      <c r="S110" s="17"/>
      <c r="T110" s="113"/>
      <c r="U110" s="17"/>
      <c r="V110" s="17"/>
      <c r="W110" s="17"/>
      <c r="X110" s="18"/>
      <c r="Y110" s="17"/>
      <c r="Z110" s="17"/>
      <c r="AA110" s="881"/>
      <c r="AB110" s="113"/>
      <c r="AC110" s="103"/>
      <c r="AE110" s="647"/>
    </row>
    <row r="111" spans="2:31" ht="15.5" x14ac:dyDescent="0.35">
      <c r="C111" s="95" t="s">
        <v>521</v>
      </c>
      <c r="D111" s="19">
        <f t="shared" ref="D111:J111" si="71">SUM(D98:D110)</f>
        <v>0</v>
      </c>
      <c r="E111" s="19">
        <f t="shared" si="71"/>
        <v>0</v>
      </c>
      <c r="F111" s="19">
        <f t="shared" si="71"/>
        <v>0</v>
      </c>
      <c r="G111" s="19">
        <f t="shared" si="71"/>
        <v>260295.26400000002</v>
      </c>
      <c r="H111" s="19">
        <f t="shared" si="71"/>
        <v>227000</v>
      </c>
      <c r="I111" s="19">
        <f t="shared" si="71"/>
        <v>227882.60914227008</v>
      </c>
      <c r="J111" s="22">
        <f t="shared" si="71"/>
        <v>715177.87314227002</v>
      </c>
      <c r="K111" s="19">
        <f>(K98*J98)+(K99*J99)+(K100*J100)+(K101*J101)+(K102*J102)+(K103*J103)+(K104*J104)+(K110*J110)</f>
        <v>188793.42881397021</v>
      </c>
      <c r="L111" s="589">
        <f>SUM(L98:L110)</f>
        <v>0</v>
      </c>
      <c r="M111" s="589">
        <f t="shared" ref="M111:S111" si="72">SUM(M98:M110)</f>
        <v>0</v>
      </c>
      <c r="N111" s="589">
        <f t="shared" si="72"/>
        <v>0</v>
      </c>
      <c r="O111" s="589">
        <f t="shared" si="72"/>
        <v>384295.26400000002</v>
      </c>
      <c r="P111" s="589">
        <f>SUM(P98:P110)</f>
        <v>302000</v>
      </c>
      <c r="Q111" s="589">
        <f>SUM(Q98:Q110)</f>
        <v>327882.60914227006</v>
      </c>
      <c r="R111" s="589">
        <f>SUM(R98:R110)</f>
        <v>1014177.87314227</v>
      </c>
      <c r="S111" s="589">
        <f t="shared" si="72"/>
        <v>299000</v>
      </c>
      <c r="T111" s="19">
        <f>(T98*R98)+(T99*R99)+(T100*R100)+(T101*R101)+(T102*R102)+(T103*R103)+(T104*R104)+ (T105*R105)+(T106*R106)+(T109*R109)+(T110*R110)</f>
        <v>246093.42881397021</v>
      </c>
      <c r="U111" s="886">
        <f t="shared" ref="U111:AB111" si="73">SUM(U98:U110)</f>
        <v>0</v>
      </c>
      <c r="V111" s="886">
        <f t="shared" si="73"/>
        <v>0</v>
      </c>
      <c r="W111" s="886">
        <f t="shared" si="73"/>
        <v>0</v>
      </c>
      <c r="X111" s="886">
        <f t="shared" si="73"/>
        <v>319085.27999999997</v>
      </c>
      <c r="Y111" s="886">
        <f t="shared" si="73"/>
        <v>188952.72624550588</v>
      </c>
      <c r="Z111" s="886">
        <f t="shared" si="73"/>
        <v>199863.94</v>
      </c>
      <c r="AA111" s="886">
        <f t="shared" si="73"/>
        <v>707901.94624550594</v>
      </c>
      <c r="AB111" s="19">
        <f t="shared" si="73"/>
        <v>209962.53205546999</v>
      </c>
      <c r="AC111" s="104"/>
      <c r="AE111" s="648">
        <f t="shared" si="54"/>
        <v>0.41807781144890099</v>
      </c>
    </row>
    <row r="112" spans="2:31" ht="15.5" x14ac:dyDescent="0.35">
      <c r="B112" s="93" t="s">
        <v>454</v>
      </c>
      <c r="C112" s="754" t="s">
        <v>885</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E112" s="647" t="str">
        <f t="shared" si="54"/>
        <v/>
      </c>
    </row>
    <row r="113" spans="2:31" ht="46.5" x14ac:dyDescent="0.35">
      <c r="B113" s="94" t="s">
        <v>455</v>
      </c>
      <c r="C113" s="16" t="s">
        <v>591</v>
      </c>
      <c r="D113" s="17"/>
      <c r="E113" s="17"/>
      <c r="F113" s="17"/>
      <c r="G113" s="17">
        <v>13750</v>
      </c>
      <c r="H113" s="17">
        <v>12000</v>
      </c>
      <c r="I113" s="17">
        <v>3636.363636363636</v>
      </c>
      <c r="J113" s="115">
        <f t="shared" ref="J113:J122" si="74">SUM(D113:I113)</f>
        <v>29386.363636363636</v>
      </c>
      <c r="K113" s="112">
        <v>0.3</v>
      </c>
      <c r="L113" s="17"/>
      <c r="M113" s="17"/>
      <c r="N113" s="17"/>
      <c r="O113" s="17">
        <v>13750</v>
      </c>
      <c r="P113" s="17">
        <v>12000</v>
      </c>
      <c r="Q113" s="17">
        <v>3636.363636363636</v>
      </c>
      <c r="R113" s="587">
        <f>SUM(L113:Q113)</f>
        <v>29386.363636363636</v>
      </c>
      <c r="S113" s="17">
        <f>+R113-J113</f>
        <v>0</v>
      </c>
      <c r="T113" s="112">
        <v>0.3</v>
      </c>
      <c r="U113" s="888"/>
      <c r="V113" s="888"/>
      <c r="W113" s="888"/>
      <c r="X113" s="890">
        <v>12401.070000000002</v>
      </c>
      <c r="Y113" s="882"/>
      <c r="Z113" s="880">
        <v>12000</v>
      </c>
      <c r="AA113" s="881">
        <f>SUM(U113:Z113)</f>
        <v>24401.07</v>
      </c>
      <c r="AB113" s="880">
        <f>AA113*T113</f>
        <v>7320.3209999999999</v>
      </c>
      <c r="AC113" s="103" t="s">
        <v>882</v>
      </c>
      <c r="AE113" s="647">
        <f t="shared" si="54"/>
        <v>0</v>
      </c>
    </row>
    <row r="114" spans="2:31" ht="46.5" x14ac:dyDescent="0.35">
      <c r="B114" s="94" t="s">
        <v>456</v>
      </c>
      <c r="C114" s="16" t="s">
        <v>619</v>
      </c>
      <c r="D114" s="17"/>
      <c r="E114" s="17"/>
      <c r="F114" s="17"/>
      <c r="G114" s="17">
        <v>13750</v>
      </c>
      <c r="H114" s="17">
        <v>12000</v>
      </c>
      <c r="I114" s="17">
        <v>0</v>
      </c>
      <c r="J114" s="115">
        <f t="shared" si="74"/>
        <v>25750</v>
      </c>
      <c r="K114" s="112"/>
      <c r="L114" s="17"/>
      <c r="M114" s="17"/>
      <c r="N114" s="17"/>
      <c r="O114" s="17">
        <v>13750</v>
      </c>
      <c r="P114" s="17">
        <v>12000</v>
      </c>
      <c r="Q114" s="17">
        <v>0</v>
      </c>
      <c r="R114" s="587">
        <f t="shared" ref="R114:R122" si="75">SUM(L114:Q114)</f>
        <v>25750</v>
      </c>
      <c r="S114" s="17">
        <f t="shared" ref="S114:S122" si="76">+R114-J114</f>
        <v>0</v>
      </c>
      <c r="T114" s="112"/>
      <c r="U114" s="888"/>
      <c r="V114" s="888"/>
      <c r="W114" s="888"/>
      <c r="X114" s="890">
        <v>16350.869999999999</v>
      </c>
      <c r="Y114" s="882"/>
      <c r="Z114" s="880">
        <v>12000</v>
      </c>
      <c r="AA114" s="881">
        <f t="shared" ref="AA114:AA122" si="77">SUM(U114:Z114)</f>
        <v>28350.87</v>
      </c>
      <c r="AB114" s="880">
        <f t="shared" ref="AB114:AB122" si="78">AA114*T114</f>
        <v>0</v>
      </c>
      <c r="AC114" s="103" t="s">
        <v>882</v>
      </c>
      <c r="AE114" s="647">
        <f t="shared" si="54"/>
        <v>0</v>
      </c>
    </row>
    <row r="115" spans="2:31" ht="46.5" x14ac:dyDescent="0.35">
      <c r="B115" s="94" t="s">
        <v>457</v>
      </c>
      <c r="C115" s="16" t="s">
        <v>592</v>
      </c>
      <c r="D115" s="17"/>
      <c r="E115" s="17"/>
      <c r="F115" s="17"/>
      <c r="G115" s="17">
        <v>15000</v>
      </c>
      <c r="H115" s="17">
        <v>2000</v>
      </c>
      <c r="I115" s="17">
        <v>13500</v>
      </c>
      <c r="J115" s="115">
        <f t="shared" si="74"/>
        <v>30500</v>
      </c>
      <c r="K115" s="112">
        <v>1</v>
      </c>
      <c r="L115" s="17"/>
      <c r="M115" s="17"/>
      <c r="N115" s="17"/>
      <c r="O115" s="17">
        <v>15000</v>
      </c>
      <c r="P115" s="17">
        <v>2000</v>
      </c>
      <c r="Q115" s="17">
        <v>13500</v>
      </c>
      <c r="R115" s="587">
        <f t="shared" si="75"/>
        <v>30500</v>
      </c>
      <c r="S115" s="17">
        <f t="shared" si="76"/>
        <v>0</v>
      </c>
      <c r="T115" s="112">
        <v>1</v>
      </c>
      <c r="U115" s="888"/>
      <c r="V115" s="888"/>
      <c r="W115" s="888"/>
      <c r="X115" s="890">
        <v>14664.34</v>
      </c>
      <c r="Y115" s="882">
        <v>12073</v>
      </c>
      <c r="Z115" s="880">
        <v>2000</v>
      </c>
      <c r="AA115" s="881">
        <f t="shared" si="77"/>
        <v>28737.34</v>
      </c>
      <c r="AB115" s="880">
        <f t="shared" si="78"/>
        <v>28737.34</v>
      </c>
      <c r="AC115" s="103" t="s">
        <v>882</v>
      </c>
      <c r="AE115" s="647">
        <f t="shared" si="54"/>
        <v>0</v>
      </c>
    </row>
    <row r="116" spans="2:31" ht="46.5" x14ac:dyDescent="0.35">
      <c r="B116" s="94" t="s">
        <v>458</v>
      </c>
      <c r="C116" s="16" t="s">
        <v>594</v>
      </c>
      <c r="D116" s="17"/>
      <c r="E116" s="17"/>
      <c r="F116" s="17"/>
      <c r="G116" s="17">
        <v>16500</v>
      </c>
      <c r="H116" s="17">
        <v>6000</v>
      </c>
      <c r="I116" s="17">
        <v>1000</v>
      </c>
      <c r="J116" s="115">
        <f t="shared" si="74"/>
        <v>23500</v>
      </c>
      <c r="K116" s="112">
        <v>0.3</v>
      </c>
      <c r="L116" s="17"/>
      <c r="M116" s="17"/>
      <c r="N116" s="17"/>
      <c r="O116" s="17">
        <v>16500</v>
      </c>
      <c r="P116" s="17">
        <v>6000</v>
      </c>
      <c r="Q116" s="17">
        <v>1000</v>
      </c>
      <c r="R116" s="587">
        <f t="shared" si="75"/>
        <v>23500</v>
      </c>
      <c r="S116" s="17">
        <f t="shared" si="76"/>
        <v>0</v>
      </c>
      <c r="T116" s="112">
        <v>0.3</v>
      </c>
      <c r="U116" s="888"/>
      <c r="V116" s="888"/>
      <c r="W116" s="888"/>
      <c r="X116" s="890">
        <f>7665.64+9562</f>
        <v>17227.64</v>
      </c>
      <c r="Y116" s="882">
        <v>1000</v>
      </c>
      <c r="Z116" s="880">
        <v>6000</v>
      </c>
      <c r="AA116" s="881">
        <f t="shared" si="77"/>
        <v>24227.64</v>
      </c>
      <c r="AB116" s="880">
        <f t="shared" si="78"/>
        <v>7268.2919999999995</v>
      </c>
      <c r="AC116" s="103" t="s">
        <v>882</v>
      </c>
      <c r="AE116" s="647">
        <f t="shared" si="54"/>
        <v>0</v>
      </c>
    </row>
    <row r="117" spans="2:31" ht="46.5" x14ac:dyDescent="0.35">
      <c r="B117" s="94" t="s">
        <v>459</v>
      </c>
      <c r="C117" s="16" t="s">
        <v>595</v>
      </c>
      <c r="D117" s="17"/>
      <c r="E117" s="17"/>
      <c r="F117" s="17"/>
      <c r="G117" s="17">
        <v>15000</v>
      </c>
      <c r="H117" s="17">
        <v>6000</v>
      </c>
      <c r="I117" s="17">
        <v>654.54545454545496</v>
      </c>
      <c r="J117" s="115">
        <f t="shared" si="74"/>
        <v>21654.545454545456</v>
      </c>
      <c r="K117" s="112"/>
      <c r="L117" s="17"/>
      <c r="M117" s="17"/>
      <c r="N117" s="17"/>
      <c r="O117" s="17">
        <v>15000</v>
      </c>
      <c r="P117" s="17">
        <v>6000</v>
      </c>
      <c r="Q117" s="17">
        <v>654.54545454545496</v>
      </c>
      <c r="R117" s="587">
        <f t="shared" si="75"/>
        <v>21654.545454545456</v>
      </c>
      <c r="S117" s="17">
        <f t="shared" si="76"/>
        <v>0</v>
      </c>
      <c r="T117" s="112"/>
      <c r="U117" s="888"/>
      <c r="V117" s="888"/>
      <c r="W117" s="888"/>
      <c r="X117" s="890">
        <v>15000</v>
      </c>
      <c r="Y117" s="882">
        <v>654.54545454545496</v>
      </c>
      <c r="Z117" s="880">
        <v>654.54545454545496</v>
      </c>
      <c r="AA117" s="881">
        <f t="shared" si="77"/>
        <v>16309.090909090912</v>
      </c>
      <c r="AB117" s="880">
        <f t="shared" si="78"/>
        <v>0</v>
      </c>
      <c r="AC117" s="103" t="s">
        <v>882</v>
      </c>
      <c r="AE117" s="647">
        <f t="shared" si="54"/>
        <v>0</v>
      </c>
    </row>
    <row r="118" spans="2:31" ht="46.5" x14ac:dyDescent="0.35">
      <c r="B118" s="94" t="s">
        <v>460</v>
      </c>
      <c r="C118" s="16" t="s">
        <v>596</v>
      </c>
      <c r="D118" s="17"/>
      <c r="E118" s="17"/>
      <c r="F118" s="17"/>
      <c r="G118" s="17">
        <v>10999.640000000001</v>
      </c>
      <c r="H118" s="17">
        <v>6000</v>
      </c>
      <c r="I118" s="17">
        <v>8738.5762711864409</v>
      </c>
      <c r="J118" s="115">
        <f t="shared" si="74"/>
        <v>25738.21627118644</v>
      </c>
      <c r="K118" s="112"/>
      <c r="L118" s="17"/>
      <c r="M118" s="17"/>
      <c r="N118" s="17"/>
      <c r="O118" s="17">
        <v>10999.640000000001</v>
      </c>
      <c r="P118" s="17">
        <v>6000</v>
      </c>
      <c r="Q118" s="17">
        <v>8738.5762711864409</v>
      </c>
      <c r="R118" s="587">
        <f t="shared" si="75"/>
        <v>25738.21627118644</v>
      </c>
      <c r="S118" s="17">
        <f t="shared" si="76"/>
        <v>0</v>
      </c>
      <c r="T118" s="112"/>
      <c r="U118" s="888"/>
      <c r="V118" s="888"/>
      <c r="W118" s="888"/>
      <c r="X118" s="890">
        <v>11905.68</v>
      </c>
      <c r="Y118" s="882">
        <v>8738.5762711864409</v>
      </c>
      <c r="Z118" s="880">
        <v>1</v>
      </c>
      <c r="AA118" s="881">
        <f t="shared" si="77"/>
        <v>20645.256271186441</v>
      </c>
      <c r="AB118" s="880">
        <f t="shared" si="78"/>
        <v>0</v>
      </c>
      <c r="AC118" s="103" t="s">
        <v>882</v>
      </c>
      <c r="AE118" s="647">
        <f t="shared" si="54"/>
        <v>0</v>
      </c>
    </row>
    <row r="119" spans="2:31" ht="31" x14ac:dyDescent="0.35">
      <c r="B119" s="94" t="s">
        <v>461</v>
      </c>
      <c r="C119" s="16" t="s">
        <v>597</v>
      </c>
      <c r="D119" s="17"/>
      <c r="E119" s="17"/>
      <c r="F119" s="17"/>
      <c r="G119" s="17">
        <v>10000</v>
      </c>
      <c r="H119" s="17">
        <v>6000</v>
      </c>
      <c r="I119" s="17">
        <v>8541.2429378531106</v>
      </c>
      <c r="J119" s="115">
        <f t="shared" si="74"/>
        <v>24541.242937853109</v>
      </c>
      <c r="K119" s="112">
        <v>0.3</v>
      </c>
      <c r="L119" s="17"/>
      <c r="M119" s="17"/>
      <c r="N119" s="17"/>
      <c r="O119" s="17">
        <v>10000</v>
      </c>
      <c r="P119" s="17">
        <v>6000</v>
      </c>
      <c r="Q119" s="17">
        <v>8541.2429378531106</v>
      </c>
      <c r="R119" s="587">
        <f t="shared" si="75"/>
        <v>24541.242937853109</v>
      </c>
      <c r="S119" s="17">
        <f t="shared" si="76"/>
        <v>0</v>
      </c>
      <c r="T119" s="112">
        <v>0.3</v>
      </c>
      <c r="U119" s="888"/>
      <c r="V119" s="888"/>
      <c r="W119" s="888"/>
      <c r="X119" s="890">
        <f>8711.3+827.56</f>
        <v>9538.8599999999988</v>
      </c>
      <c r="Y119" s="882">
        <v>8541.2429378531106</v>
      </c>
      <c r="Z119" s="880">
        <v>6000</v>
      </c>
      <c r="AA119" s="881">
        <f t="shared" si="77"/>
        <v>24080.102937853109</v>
      </c>
      <c r="AB119" s="880">
        <f t="shared" si="78"/>
        <v>7224.0308813559323</v>
      </c>
      <c r="AC119" s="103" t="s">
        <v>883</v>
      </c>
      <c r="AE119" s="647">
        <f t="shared" si="54"/>
        <v>0</v>
      </c>
    </row>
    <row r="120" spans="2:31" ht="77.5" x14ac:dyDescent="0.35">
      <c r="B120" s="94" t="s">
        <v>462</v>
      </c>
      <c r="C120" s="663" t="s">
        <v>918</v>
      </c>
      <c r="D120" s="17"/>
      <c r="E120" s="17"/>
      <c r="F120" s="17"/>
      <c r="G120" s="17"/>
      <c r="H120" s="17"/>
      <c r="I120" s="17"/>
      <c r="J120" s="115"/>
      <c r="K120" s="112"/>
      <c r="L120" s="618"/>
      <c r="M120" s="618"/>
      <c r="N120" s="618"/>
      <c r="O120" s="716">
        <v>32000</v>
      </c>
      <c r="P120" s="618">
        <v>29028</v>
      </c>
      <c r="Q120" s="618">
        <v>20000</v>
      </c>
      <c r="R120" s="655">
        <f t="shared" si="75"/>
        <v>81028</v>
      </c>
      <c r="S120" s="618">
        <f t="shared" si="76"/>
        <v>81028</v>
      </c>
      <c r="T120" s="656">
        <v>0.5</v>
      </c>
      <c r="U120" s="888"/>
      <c r="V120" s="888"/>
      <c r="W120" s="888"/>
      <c r="X120" s="888"/>
      <c r="Y120" s="882"/>
      <c r="Z120" s="882"/>
      <c r="AA120" s="885">
        <f t="shared" si="77"/>
        <v>0</v>
      </c>
      <c r="AB120" s="887">
        <f t="shared" si="78"/>
        <v>0</v>
      </c>
      <c r="AC120" s="657" t="s">
        <v>949</v>
      </c>
      <c r="AE120" s="647"/>
    </row>
    <row r="121" spans="2:31" ht="62" x14ac:dyDescent="0.35">
      <c r="B121" s="94" t="s">
        <v>916</v>
      </c>
      <c r="C121" s="663" t="s">
        <v>919</v>
      </c>
      <c r="D121" s="17"/>
      <c r="E121" s="17"/>
      <c r="F121" s="17"/>
      <c r="G121" s="17"/>
      <c r="H121" s="17"/>
      <c r="I121" s="17"/>
      <c r="J121" s="115"/>
      <c r="K121" s="112"/>
      <c r="L121" s="618"/>
      <c r="M121" s="618"/>
      <c r="N121" s="618"/>
      <c r="O121" s="716">
        <v>31600</v>
      </c>
      <c r="P121" s="618">
        <v>44500</v>
      </c>
      <c r="Q121" s="618">
        <v>15000</v>
      </c>
      <c r="R121" s="655">
        <f t="shared" si="75"/>
        <v>91100</v>
      </c>
      <c r="S121" s="618">
        <f t="shared" si="76"/>
        <v>91100</v>
      </c>
      <c r="T121" s="656">
        <v>0.3</v>
      </c>
      <c r="U121" s="618"/>
      <c r="V121" s="618"/>
      <c r="W121" s="618"/>
      <c r="X121" s="17"/>
      <c r="Y121" s="618"/>
      <c r="Z121" s="618"/>
      <c r="AA121" s="885">
        <f t="shared" si="77"/>
        <v>0</v>
      </c>
      <c r="AB121" s="887">
        <f t="shared" si="78"/>
        <v>0</v>
      </c>
      <c r="AC121" s="657" t="s">
        <v>944</v>
      </c>
      <c r="AE121" s="647"/>
    </row>
    <row r="122" spans="2:31" ht="62" x14ac:dyDescent="0.35">
      <c r="B122" s="94" t="s">
        <v>917</v>
      </c>
      <c r="C122" s="663" t="s">
        <v>920</v>
      </c>
      <c r="D122" s="18"/>
      <c r="E122" s="18"/>
      <c r="F122" s="18"/>
      <c r="G122" s="18"/>
      <c r="H122" s="18"/>
      <c r="I122" s="18"/>
      <c r="J122" s="115">
        <f t="shared" si="74"/>
        <v>0</v>
      </c>
      <c r="K122" s="113"/>
      <c r="L122" s="618"/>
      <c r="M122" s="618"/>
      <c r="N122" s="618"/>
      <c r="O122" s="716">
        <v>23000</v>
      </c>
      <c r="P122" s="618">
        <v>77017</v>
      </c>
      <c r="Q122" s="618">
        <v>65000</v>
      </c>
      <c r="R122" s="655">
        <f t="shared" si="75"/>
        <v>165017</v>
      </c>
      <c r="S122" s="618">
        <f t="shared" si="76"/>
        <v>165017</v>
      </c>
      <c r="T122" s="660">
        <v>0.3</v>
      </c>
      <c r="U122" s="618"/>
      <c r="V122" s="618"/>
      <c r="W122" s="618"/>
      <c r="X122" s="17"/>
      <c r="Y122" s="618"/>
      <c r="Z122" s="618"/>
      <c r="AA122" s="885">
        <f t="shared" si="77"/>
        <v>0</v>
      </c>
      <c r="AB122" s="887">
        <f t="shared" si="78"/>
        <v>0</v>
      </c>
      <c r="AC122" s="661" t="s">
        <v>945</v>
      </c>
      <c r="AE122" s="647" t="str">
        <f t="shared" si="54"/>
        <v/>
      </c>
    </row>
    <row r="123" spans="2:31" ht="15.5" x14ac:dyDescent="0.35">
      <c r="C123" s="95" t="s">
        <v>521</v>
      </c>
      <c r="D123" s="22">
        <f t="shared" ref="D123:J123" si="79">SUM(D113:D122)</f>
        <v>0</v>
      </c>
      <c r="E123" s="22">
        <f t="shared" si="79"/>
        <v>0</v>
      </c>
      <c r="F123" s="22">
        <f t="shared" si="79"/>
        <v>0</v>
      </c>
      <c r="G123" s="22">
        <f>SUM(G113:G122)</f>
        <v>94999.64</v>
      </c>
      <c r="H123" s="22">
        <f>SUM(H113:H122)</f>
        <v>50000</v>
      </c>
      <c r="I123" s="22">
        <f t="shared" si="79"/>
        <v>36070.728299948642</v>
      </c>
      <c r="J123" s="22">
        <f t="shared" si="79"/>
        <v>181070.36829994863</v>
      </c>
      <c r="K123" s="19">
        <f>(K113*J113)+(K114*J114)+(K115*J115)+(K116*J116)+(K117*J117)+(K118*J118)+(K119*J119)+(K122*J122)</f>
        <v>53728.281972265024</v>
      </c>
      <c r="L123" s="589">
        <f>SUM(L113:L122)</f>
        <v>0</v>
      </c>
      <c r="M123" s="589">
        <f t="shared" ref="M123:S123" si="80">SUM(M113:M122)</f>
        <v>0</v>
      </c>
      <c r="N123" s="589">
        <f t="shared" si="80"/>
        <v>0</v>
      </c>
      <c r="O123" s="589">
        <f t="shared" si="80"/>
        <v>181599.64</v>
      </c>
      <c r="P123" s="589">
        <f t="shared" si="80"/>
        <v>200545</v>
      </c>
      <c r="Q123" s="589">
        <f t="shared" si="80"/>
        <v>136070.72829994865</v>
      </c>
      <c r="R123" s="589">
        <f t="shared" si="80"/>
        <v>518215.36829994863</v>
      </c>
      <c r="S123" s="589">
        <f t="shared" si="80"/>
        <v>337145</v>
      </c>
      <c r="T123" s="19">
        <f>(T113*R113)+(T114*R114)+(T115*R115)+(T116*R116)+(T117*R117)+(T118*R118)+(T119*R119)+(T120*R120)+(T121*R121)+(T122*R122)</f>
        <v>171077.38197226502</v>
      </c>
      <c r="U123" s="886">
        <f>SUM(U113:U122)</f>
        <v>0</v>
      </c>
      <c r="V123" s="886">
        <f t="shared" ref="V123:AA123" si="81">SUM(V113:V122)</f>
        <v>0</v>
      </c>
      <c r="W123" s="886">
        <f t="shared" si="81"/>
        <v>0</v>
      </c>
      <c r="X123" s="886">
        <f t="shared" si="81"/>
        <v>97088.46</v>
      </c>
      <c r="Y123" s="886">
        <f t="shared" si="81"/>
        <v>31007.364663585009</v>
      </c>
      <c r="Z123" s="886">
        <f t="shared" si="81"/>
        <v>38655.545454545456</v>
      </c>
      <c r="AA123" s="886">
        <f t="shared" si="81"/>
        <v>166751.37011813046</v>
      </c>
      <c r="AB123" s="19">
        <f>SUM(AB113:AB122)</f>
        <v>50549.983881355933</v>
      </c>
      <c r="AC123" s="104"/>
      <c r="AE123" s="647">
        <f t="shared" si="54"/>
        <v>1.8619556759364897</v>
      </c>
    </row>
    <row r="124" spans="2:31" ht="15.5" x14ac:dyDescent="0.35">
      <c r="B124" s="96" t="s">
        <v>463</v>
      </c>
      <c r="C124" s="754" t="s">
        <v>598</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4"/>
      <c r="AA124" s="754"/>
      <c r="AB124" s="754"/>
      <c r="AC124" s="754"/>
      <c r="AE124" s="647" t="str">
        <f t="shared" si="54"/>
        <v/>
      </c>
    </row>
    <row r="125" spans="2:31" ht="31" x14ac:dyDescent="0.35">
      <c r="B125" s="94" t="s">
        <v>464</v>
      </c>
      <c r="C125" s="16" t="s">
        <v>599</v>
      </c>
      <c r="D125" s="17"/>
      <c r="E125" s="17"/>
      <c r="F125" s="17"/>
      <c r="G125" s="549">
        <v>12231.545171339563</v>
      </c>
      <c r="H125" s="17">
        <v>2000</v>
      </c>
      <c r="I125" s="17">
        <v>15000</v>
      </c>
      <c r="J125" s="115">
        <f t="shared" ref="J125:J127" si="82">SUM(D125:I125)</f>
        <v>29231.545171339563</v>
      </c>
      <c r="K125" s="112">
        <v>0.3</v>
      </c>
      <c r="L125" s="17"/>
      <c r="M125" s="17"/>
      <c r="N125" s="17"/>
      <c r="O125" s="549">
        <v>12231.545171339563</v>
      </c>
      <c r="P125" s="17">
        <v>2000</v>
      </c>
      <c r="Q125" s="17">
        <v>15000</v>
      </c>
      <c r="R125" s="587">
        <f>SUM(L125:Q125)</f>
        <v>29231.545171339563</v>
      </c>
      <c r="S125" s="17">
        <f>+R125-J125</f>
        <v>0</v>
      </c>
      <c r="T125" s="112">
        <v>0.3</v>
      </c>
      <c r="U125" s="888"/>
      <c r="V125" s="888"/>
      <c r="W125" s="888"/>
      <c r="X125" s="890">
        <v>8534.92</v>
      </c>
      <c r="Y125" s="890">
        <v>15000</v>
      </c>
      <c r="Z125" s="880">
        <v>2000</v>
      </c>
      <c r="AA125" s="881">
        <f t="shared" ref="AA125:AA132" si="83">SUM(U125:Z125)</f>
        <v>25534.92</v>
      </c>
      <c r="AB125" s="880">
        <f>AA125*T125</f>
        <v>7660.4759999999987</v>
      </c>
      <c r="AC125" s="103"/>
      <c r="AE125" s="647">
        <f t="shared" si="54"/>
        <v>0</v>
      </c>
    </row>
    <row r="126" spans="2:31" ht="31" x14ac:dyDescent="0.35">
      <c r="B126" s="94" t="s">
        <v>465</v>
      </c>
      <c r="C126" s="16" t="s">
        <v>600</v>
      </c>
      <c r="D126" s="17"/>
      <c r="E126" s="17"/>
      <c r="F126" s="17"/>
      <c r="G126" s="549">
        <v>8172.6666666666661</v>
      </c>
      <c r="H126" s="17">
        <v>3000</v>
      </c>
      <c r="I126" s="17">
        <v>15000</v>
      </c>
      <c r="J126" s="115">
        <f t="shared" si="82"/>
        <v>26172.666666666664</v>
      </c>
      <c r="K126" s="112">
        <v>0.3</v>
      </c>
      <c r="L126" s="17"/>
      <c r="M126" s="17"/>
      <c r="N126" s="17"/>
      <c r="O126" s="549">
        <v>8172.6666666666661</v>
      </c>
      <c r="P126" s="17">
        <v>3000</v>
      </c>
      <c r="Q126" s="17">
        <v>15000</v>
      </c>
      <c r="R126" s="587">
        <f t="shared" ref="R126:R127" si="84">SUM(L126:Q126)</f>
        <v>26172.666666666664</v>
      </c>
      <c r="S126" s="17">
        <f t="shared" ref="S126:S127" si="85">+R126-J126</f>
        <v>0</v>
      </c>
      <c r="T126" s="112">
        <v>0.3</v>
      </c>
      <c r="U126" s="888"/>
      <c r="V126" s="888"/>
      <c r="W126" s="888"/>
      <c r="X126" s="890">
        <v>6250</v>
      </c>
      <c r="Y126" s="890">
        <v>15000</v>
      </c>
      <c r="Z126" s="880">
        <v>3000</v>
      </c>
      <c r="AA126" s="881">
        <f t="shared" si="83"/>
        <v>24250</v>
      </c>
      <c r="AB126" s="880">
        <f>AA126*T126</f>
        <v>7275</v>
      </c>
      <c r="AC126" s="103"/>
      <c r="AE126" s="647">
        <f t="shared" si="54"/>
        <v>0</v>
      </c>
    </row>
    <row r="127" spans="2:31" ht="31" x14ac:dyDescent="0.35">
      <c r="B127" s="94" t="s">
        <v>466</v>
      </c>
      <c r="C127" s="16" t="s">
        <v>601</v>
      </c>
      <c r="D127" s="17"/>
      <c r="E127" s="17"/>
      <c r="F127" s="17"/>
      <c r="G127" s="549">
        <v>8172.6666666666661</v>
      </c>
      <c r="H127" s="17">
        <v>3000</v>
      </c>
      <c r="I127" s="17">
        <v>15000</v>
      </c>
      <c r="J127" s="115">
        <f t="shared" si="82"/>
        <v>26172.666666666664</v>
      </c>
      <c r="K127" s="112">
        <v>0.3</v>
      </c>
      <c r="L127" s="17"/>
      <c r="M127" s="17"/>
      <c r="N127" s="17"/>
      <c r="O127" s="549">
        <v>8172.6666666666661</v>
      </c>
      <c r="P127" s="17">
        <v>3000</v>
      </c>
      <c r="Q127" s="17">
        <v>15000</v>
      </c>
      <c r="R127" s="587">
        <f t="shared" si="84"/>
        <v>26172.666666666664</v>
      </c>
      <c r="S127" s="17">
        <f t="shared" si="85"/>
        <v>0</v>
      </c>
      <c r="T127" s="112">
        <v>0.3</v>
      </c>
      <c r="U127" s="888"/>
      <c r="V127" s="888"/>
      <c r="W127" s="888"/>
      <c r="X127" s="890">
        <v>6431</v>
      </c>
      <c r="Y127" s="890">
        <v>15000</v>
      </c>
      <c r="Z127" s="880">
        <v>3000</v>
      </c>
      <c r="AA127" s="881">
        <f t="shared" si="83"/>
        <v>24431</v>
      </c>
      <c r="AB127" s="880">
        <f>AA127*T127</f>
        <v>7329.3</v>
      </c>
      <c r="AC127" s="103"/>
      <c r="AE127" s="647">
        <f t="shared" si="54"/>
        <v>0</v>
      </c>
    </row>
    <row r="128" spans="2:31" ht="62" x14ac:dyDescent="0.35">
      <c r="B128" s="94" t="s">
        <v>467</v>
      </c>
      <c r="C128" s="663" t="s">
        <v>921</v>
      </c>
      <c r="D128" s="17"/>
      <c r="E128" s="17"/>
      <c r="F128" s="17"/>
      <c r="G128" s="17"/>
      <c r="H128" s="17"/>
      <c r="I128" s="17"/>
      <c r="J128" s="115"/>
      <c r="K128" s="112"/>
      <c r="L128" s="618"/>
      <c r="M128" s="618"/>
      <c r="N128" s="618"/>
      <c r="O128" s="716">
        <v>15690</v>
      </c>
      <c r="P128" s="618">
        <v>12000</v>
      </c>
      <c r="Q128" s="618">
        <v>40000</v>
      </c>
      <c r="R128" s="655">
        <f t="shared" ref="R128:R132" si="86">SUM(L128:Q128)</f>
        <v>67690</v>
      </c>
      <c r="S128" s="618">
        <f t="shared" ref="S128:S132" si="87">+R128-J128</f>
        <v>67690</v>
      </c>
      <c r="T128" s="656">
        <v>0.3</v>
      </c>
      <c r="U128" s="618"/>
      <c r="V128" s="618"/>
      <c r="W128" s="618"/>
      <c r="X128" s="549"/>
      <c r="Y128" s="618"/>
      <c r="Z128" s="618"/>
      <c r="AA128" s="885">
        <f t="shared" si="83"/>
        <v>0</v>
      </c>
      <c r="AB128" s="887">
        <f>AA128*T128</f>
        <v>0</v>
      </c>
      <c r="AC128" s="657" t="s">
        <v>948</v>
      </c>
      <c r="AE128" s="647" t="str">
        <f t="shared" si="54"/>
        <v/>
      </c>
    </row>
    <row r="129" spans="2:31" ht="46.5" x14ac:dyDescent="0.35">
      <c r="B129" s="94" t="s">
        <v>468</v>
      </c>
      <c r="C129" s="663" t="s">
        <v>927</v>
      </c>
      <c r="D129" s="17"/>
      <c r="E129" s="17"/>
      <c r="F129" s="17"/>
      <c r="G129" s="17"/>
      <c r="H129" s="17"/>
      <c r="I129" s="18"/>
      <c r="J129" s="115">
        <f>SUM(D129:I129)</f>
        <v>0</v>
      </c>
      <c r="K129" s="112"/>
      <c r="L129" s="618"/>
      <c r="M129" s="618"/>
      <c r="N129" s="618"/>
      <c r="O129" s="716">
        <v>18720</v>
      </c>
      <c r="P129" s="618">
        <v>25000</v>
      </c>
      <c r="Q129" s="618">
        <v>25000</v>
      </c>
      <c r="R129" s="655">
        <f t="shared" si="86"/>
        <v>68720</v>
      </c>
      <c r="S129" s="618">
        <f t="shared" si="87"/>
        <v>68720</v>
      </c>
      <c r="T129" s="656">
        <v>0.3</v>
      </c>
      <c r="U129" s="618"/>
      <c r="V129" s="618"/>
      <c r="W129" s="618"/>
      <c r="X129" s="549"/>
      <c r="Y129" s="618"/>
      <c r="Z129" s="618"/>
      <c r="AA129" s="885">
        <f t="shared" si="83"/>
        <v>0</v>
      </c>
      <c r="AB129" s="887">
        <f>AA129*T129</f>
        <v>0</v>
      </c>
      <c r="AC129" s="657" t="s">
        <v>946</v>
      </c>
      <c r="AE129" s="647" t="str">
        <f t="shared" si="54"/>
        <v/>
      </c>
    </row>
    <row r="130" spans="2:31" ht="15.5" x14ac:dyDescent="0.35">
      <c r="B130" s="94" t="s">
        <v>469</v>
      </c>
      <c r="C130" s="16"/>
      <c r="D130" s="17"/>
      <c r="E130" s="17"/>
      <c r="F130" s="17"/>
      <c r="G130" s="17"/>
      <c r="H130" s="17"/>
      <c r="I130" s="17"/>
      <c r="J130" s="115">
        <f>SUM(D130:I130)</f>
        <v>0</v>
      </c>
      <c r="K130" s="112"/>
      <c r="L130" s="17"/>
      <c r="M130" s="17"/>
      <c r="N130" s="17"/>
      <c r="O130" s="17"/>
      <c r="P130" s="17"/>
      <c r="Q130" s="17"/>
      <c r="R130" s="587">
        <f t="shared" si="86"/>
        <v>0</v>
      </c>
      <c r="S130" s="17">
        <f t="shared" si="87"/>
        <v>0</v>
      </c>
      <c r="T130" s="112"/>
      <c r="U130" s="17"/>
      <c r="V130" s="17"/>
      <c r="W130" s="17"/>
      <c r="X130" s="17"/>
      <c r="Y130" s="17"/>
      <c r="Z130" s="17"/>
      <c r="AA130" s="881">
        <f t="shared" si="83"/>
        <v>0</v>
      </c>
      <c r="AB130" s="112"/>
      <c r="AC130" s="103"/>
      <c r="AE130" s="647" t="str">
        <f t="shared" si="54"/>
        <v/>
      </c>
    </row>
    <row r="131" spans="2:31" ht="15.5" x14ac:dyDescent="0.35">
      <c r="B131" s="94" t="s">
        <v>470</v>
      </c>
      <c r="C131" s="653"/>
      <c r="D131" s="18"/>
      <c r="E131" s="18"/>
      <c r="F131" s="18"/>
      <c r="G131" s="18"/>
      <c r="H131" s="18"/>
      <c r="I131" s="18"/>
      <c r="J131" s="115">
        <f>SUM(D131:I131)</f>
        <v>0</v>
      </c>
      <c r="K131" s="113"/>
      <c r="L131" s="17"/>
      <c r="M131" s="17"/>
      <c r="N131" s="17"/>
      <c r="O131" s="17"/>
      <c r="P131" s="17"/>
      <c r="Q131" s="17"/>
      <c r="R131" s="587">
        <f t="shared" si="86"/>
        <v>0</v>
      </c>
      <c r="S131" s="17">
        <f t="shared" si="87"/>
        <v>0</v>
      </c>
      <c r="T131" s="113"/>
      <c r="U131" s="17"/>
      <c r="V131" s="17"/>
      <c r="W131" s="17"/>
      <c r="X131" s="17"/>
      <c r="Y131" s="17"/>
      <c r="Z131" s="17"/>
      <c r="AA131" s="881">
        <f t="shared" si="83"/>
        <v>0</v>
      </c>
      <c r="AB131" s="113"/>
      <c r="AC131" s="104"/>
      <c r="AE131" s="647" t="str">
        <f t="shared" si="54"/>
        <v/>
      </c>
    </row>
    <row r="132" spans="2:31" ht="15.5" x14ac:dyDescent="0.35">
      <c r="B132" s="94" t="s">
        <v>471</v>
      </c>
      <c r="C132" s="653"/>
      <c r="D132" s="18"/>
      <c r="E132" s="18"/>
      <c r="F132" s="18"/>
      <c r="G132" s="18"/>
      <c r="H132" s="18"/>
      <c r="I132" s="18"/>
      <c r="J132" s="115">
        <f>SUM(D132:I132)</f>
        <v>0</v>
      </c>
      <c r="K132" s="113"/>
      <c r="L132" s="17"/>
      <c r="M132" s="17"/>
      <c r="N132" s="17"/>
      <c r="O132" s="17"/>
      <c r="P132" s="17"/>
      <c r="Q132" s="17"/>
      <c r="R132" s="587">
        <f t="shared" si="86"/>
        <v>0</v>
      </c>
      <c r="S132" s="17">
        <f t="shared" si="87"/>
        <v>0</v>
      </c>
      <c r="T132" s="113"/>
      <c r="U132" s="17"/>
      <c r="V132" s="17"/>
      <c r="W132" s="17"/>
      <c r="X132" s="17"/>
      <c r="Y132" s="17"/>
      <c r="Z132" s="17"/>
      <c r="AA132" s="881">
        <f t="shared" si="83"/>
        <v>0</v>
      </c>
      <c r="AB132" s="113"/>
      <c r="AC132" s="104"/>
      <c r="AE132" s="647" t="str">
        <f t="shared" si="54"/>
        <v/>
      </c>
    </row>
    <row r="133" spans="2:31" ht="15.5" x14ac:dyDescent="0.35">
      <c r="C133" s="95" t="s">
        <v>521</v>
      </c>
      <c r="D133" s="22">
        <f t="shared" ref="D133:J133" si="88">SUM(D125:D132)</f>
        <v>0</v>
      </c>
      <c r="E133" s="22">
        <f t="shared" si="88"/>
        <v>0</v>
      </c>
      <c r="F133" s="22">
        <f t="shared" si="88"/>
        <v>0</v>
      </c>
      <c r="G133" s="22">
        <f t="shared" si="88"/>
        <v>28576.878504672895</v>
      </c>
      <c r="H133" s="22">
        <f t="shared" si="88"/>
        <v>8000</v>
      </c>
      <c r="I133" s="22">
        <f t="shared" si="88"/>
        <v>45000</v>
      </c>
      <c r="J133" s="22">
        <f t="shared" si="88"/>
        <v>81576.878504672903</v>
      </c>
      <c r="K133" s="19">
        <f>(K125*J125)+(K126*J126)+(K127*J127)+(K128*J128)+(K129*J129)+(K130*J130)+(K131*J131)+(K132*J132)</f>
        <v>24473.063551401869</v>
      </c>
      <c r="L133" s="589">
        <f>SUM(L125:L132)</f>
        <v>0</v>
      </c>
      <c r="M133" s="589">
        <f t="shared" ref="M133:S133" si="89">SUM(M125:M132)</f>
        <v>0</v>
      </c>
      <c r="N133" s="589">
        <f t="shared" si="89"/>
        <v>0</v>
      </c>
      <c r="O133" s="589">
        <f t="shared" si="89"/>
        <v>62986.878504672895</v>
      </c>
      <c r="P133" s="589">
        <f t="shared" si="89"/>
        <v>45000</v>
      </c>
      <c r="Q133" s="589">
        <f t="shared" si="89"/>
        <v>110000</v>
      </c>
      <c r="R133" s="589">
        <f t="shared" si="89"/>
        <v>217986.8785046729</v>
      </c>
      <c r="S133" s="589">
        <f t="shared" si="89"/>
        <v>136410</v>
      </c>
      <c r="T133" s="19">
        <f>(T125*R125)+(T126*R126)+(T127*R127)+(T128*R128)+(T129*R129)+(T130*R130)+(T131*R131)+(T132*R132)</f>
        <v>65396.063551401865</v>
      </c>
      <c r="U133" s="886">
        <f>SUM(U125:U132)</f>
        <v>0</v>
      </c>
      <c r="V133" s="886">
        <f t="shared" ref="V133:AA133" si="90">SUM(V125:V132)</f>
        <v>0</v>
      </c>
      <c r="W133" s="886">
        <f t="shared" si="90"/>
        <v>0</v>
      </c>
      <c r="X133" s="886">
        <f t="shared" si="90"/>
        <v>21215.919999999998</v>
      </c>
      <c r="Y133" s="886">
        <f t="shared" si="90"/>
        <v>45000</v>
      </c>
      <c r="Z133" s="886">
        <f t="shared" si="90"/>
        <v>8000</v>
      </c>
      <c r="AA133" s="886">
        <f t="shared" si="90"/>
        <v>74215.92</v>
      </c>
      <c r="AB133" s="19">
        <f>SUM(AB125:AB132)</f>
        <v>22264.775999999998</v>
      </c>
      <c r="AC133" s="104"/>
      <c r="AE133" s="647">
        <f t="shared" si="54"/>
        <v>1.6721649871928617</v>
      </c>
    </row>
    <row r="134" spans="2:31" ht="15.5" hidden="1" x14ac:dyDescent="0.35">
      <c r="B134" s="96" t="s">
        <v>472</v>
      </c>
      <c r="C134" s="754"/>
      <c r="D134" s="754"/>
      <c r="E134" s="754"/>
      <c r="F134" s="754"/>
      <c r="G134" s="754"/>
      <c r="H134" s="754"/>
      <c r="I134" s="754"/>
      <c r="J134" s="754"/>
      <c r="K134" s="754"/>
      <c r="L134" s="754"/>
      <c r="M134" s="754"/>
      <c r="N134" s="754"/>
      <c r="O134" s="754"/>
      <c r="P134" s="754"/>
      <c r="Q134" s="754"/>
      <c r="R134" s="754"/>
      <c r="S134" s="754"/>
      <c r="T134" s="754"/>
      <c r="U134" s="754"/>
      <c r="V134" s="754"/>
      <c r="W134" s="754"/>
      <c r="X134" s="754"/>
      <c r="Y134" s="754"/>
      <c r="Z134" s="754"/>
      <c r="AA134" s="754"/>
      <c r="AB134" s="754"/>
      <c r="AC134" s="754"/>
      <c r="AE134" s="647" t="str">
        <f t="shared" si="54"/>
        <v/>
      </c>
    </row>
    <row r="135" spans="2:31" ht="15.5" hidden="1" x14ac:dyDescent="0.35">
      <c r="B135" s="94" t="s">
        <v>473</v>
      </c>
      <c r="C135" s="16"/>
      <c r="D135" s="17"/>
      <c r="E135" s="17"/>
      <c r="F135" s="17"/>
      <c r="G135" s="549"/>
      <c r="H135" s="17"/>
      <c r="I135" s="17"/>
      <c r="J135" s="115">
        <f t="shared" ref="J135:J142" si="91">SUM(D135:I135)</f>
        <v>0</v>
      </c>
      <c r="K135" s="112"/>
      <c r="L135" s="17"/>
      <c r="M135" s="17"/>
      <c r="N135" s="17"/>
      <c r="O135" s="549"/>
      <c r="P135" s="17"/>
      <c r="Q135" s="17"/>
      <c r="R135" s="587">
        <f>SUM(L135:Q135)</f>
        <v>0</v>
      </c>
      <c r="S135" s="17">
        <f>+R135-J135</f>
        <v>0</v>
      </c>
      <c r="T135" s="112"/>
      <c r="U135" s="17"/>
      <c r="V135" s="17"/>
      <c r="W135" s="17"/>
      <c r="X135" s="549"/>
      <c r="Y135" s="17"/>
      <c r="Z135" s="17"/>
      <c r="AA135" s="881">
        <f>SUM(U135:Z135)</f>
        <v>0</v>
      </c>
      <c r="AB135" s="112"/>
      <c r="AC135" s="103"/>
      <c r="AE135" s="647" t="str">
        <f t="shared" si="54"/>
        <v/>
      </c>
    </row>
    <row r="136" spans="2:31" ht="15.5" hidden="1" x14ac:dyDescent="0.35">
      <c r="B136" s="94" t="s">
        <v>474</v>
      </c>
      <c r="C136" s="16"/>
      <c r="D136" s="17"/>
      <c r="E136" s="17"/>
      <c r="F136" s="17"/>
      <c r="G136" s="549"/>
      <c r="H136" s="17"/>
      <c r="I136" s="17"/>
      <c r="J136" s="115">
        <f t="shared" si="91"/>
        <v>0</v>
      </c>
      <c r="K136" s="112"/>
      <c r="L136" s="17"/>
      <c r="M136" s="17"/>
      <c r="N136" s="17"/>
      <c r="O136" s="549"/>
      <c r="P136" s="17"/>
      <c r="Q136" s="17"/>
      <c r="R136" s="587">
        <f t="shared" ref="R136:R142" si="92">SUM(L136:Q136)</f>
        <v>0</v>
      </c>
      <c r="S136" s="17">
        <f t="shared" ref="S136:S142" si="93">+R136-J136</f>
        <v>0</v>
      </c>
      <c r="T136" s="112"/>
      <c r="U136" s="17"/>
      <c r="V136" s="17"/>
      <c r="W136" s="17"/>
      <c r="X136" s="549"/>
      <c r="Y136" s="17"/>
      <c r="Z136" s="17"/>
      <c r="AA136" s="881">
        <f t="shared" ref="AA136:AA142" si="94">SUM(U136:Z136)</f>
        <v>0</v>
      </c>
      <c r="AB136" s="112"/>
      <c r="AC136" s="103"/>
      <c r="AE136" s="647" t="str">
        <f t="shared" si="54"/>
        <v/>
      </c>
    </row>
    <row r="137" spans="2:31" ht="15.5" hidden="1" x14ac:dyDescent="0.35">
      <c r="B137" s="94" t="s">
        <v>475</v>
      </c>
      <c r="C137" s="16"/>
      <c r="D137" s="17"/>
      <c r="E137" s="17"/>
      <c r="F137" s="17"/>
      <c r="G137" s="549"/>
      <c r="H137" s="17"/>
      <c r="I137" s="17"/>
      <c r="J137" s="115">
        <f t="shared" si="91"/>
        <v>0</v>
      </c>
      <c r="K137" s="112"/>
      <c r="L137" s="17"/>
      <c r="M137" s="17"/>
      <c r="N137" s="17"/>
      <c r="O137" s="549"/>
      <c r="P137" s="17"/>
      <c r="Q137" s="17"/>
      <c r="R137" s="587">
        <f t="shared" si="92"/>
        <v>0</v>
      </c>
      <c r="S137" s="17">
        <f t="shared" si="93"/>
        <v>0</v>
      </c>
      <c r="T137" s="112"/>
      <c r="U137" s="17"/>
      <c r="V137" s="17"/>
      <c r="W137" s="17"/>
      <c r="X137" s="549"/>
      <c r="Y137" s="17"/>
      <c r="Z137" s="17"/>
      <c r="AA137" s="881">
        <f t="shared" si="94"/>
        <v>0</v>
      </c>
      <c r="AB137" s="112"/>
      <c r="AC137" s="103"/>
      <c r="AE137" s="647" t="str">
        <f t="shared" si="54"/>
        <v/>
      </c>
    </row>
    <row r="138" spans="2:31" ht="15.5" hidden="1" x14ac:dyDescent="0.35">
      <c r="B138" s="94" t="s">
        <v>476</v>
      </c>
      <c r="C138" s="16"/>
      <c r="D138" s="17"/>
      <c r="E138" s="17"/>
      <c r="F138" s="17"/>
      <c r="G138" s="17"/>
      <c r="H138" s="17"/>
      <c r="I138" s="17"/>
      <c r="J138" s="115">
        <f t="shared" si="91"/>
        <v>0</v>
      </c>
      <c r="K138" s="112"/>
      <c r="L138" s="17"/>
      <c r="M138" s="17"/>
      <c r="N138" s="17"/>
      <c r="O138" s="17"/>
      <c r="P138" s="17"/>
      <c r="Q138" s="17"/>
      <c r="R138" s="587">
        <f t="shared" si="92"/>
        <v>0</v>
      </c>
      <c r="S138" s="17">
        <f t="shared" si="93"/>
        <v>0</v>
      </c>
      <c r="T138" s="112"/>
      <c r="U138" s="17"/>
      <c r="V138" s="17"/>
      <c r="W138" s="17"/>
      <c r="X138" s="17"/>
      <c r="Y138" s="17"/>
      <c r="Z138" s="17"/>
      <c r="AA138" s="881">
        <f t="shared" si="94"/>
        <v>0</v>
      </c>
      <c r="AB138" s="112"/>
      <c r="AC138" s="103"/>
      <c r="AE138" s="647" t="str">
        <f t="shared" si="54"/>
        <v/>
      </c>
    </row>
    <row r="139" spans="2:31" ht="15.5" hidden="1" x14ac:dyDescent="0.35">
      <c r="B139" s="94" t="s">
        <v>477</v>
      </c>
      <c r="C139" s="16"/>
      <c r="D139" s="17"/>
      <c r="E139" s="17"/>
      <c r="F139" s="17"/>
      <c r="G139" s="17"/>
      <c r="H139" s="17"/>
      <c r="I139" s="17"/>
      <c r="J139" s="115">
        <f t="shared" si="91"/>
        <v>0</v>
      </c>
      <c r="K139" s="112"/>
      <c r="L139" s="17"/>
      <c r="M139" s="17"/>
      <c r="N139" s="17"/>
      <c r="O139" s="17"/>
      <c r="P139" s="17"/>
      <c r="Q139" s="17"/>
      <c r="R139" s="587">
        <f t="shared" si="92"/>
        <v>0</v>
      </c>
      <c r="S139" s="17">
        <f t="shared" si="93"/>
        <v>0</v>
      </c>
      <c r="T139" s="112"/>
      <c r="U139" s="17"/>
      <c r="V139" s="17"/>
      <c r="W139" s="17"/>
      <c r="X139" s="17"/>
      <c r="Y139" s="17"/>
      <c r="Z139" s="17"/>
      <c r="AA139" s="881">
        <f t="shared" si="94"/>
        <v>0</v>
      </c>
      <c r="AB139" s="112"/>
      <c r="AC139" s="103"/>
      <c r="AE139" s="647" t="str">
        <f t="shared" si="54"/>
        <v/>
      </c>
    </row>
    <row r="140" spans="2:31" ht="15.5" hidden="1" x14ac:dyDescent="0.35">
      <c r="B140" s="94" t="s">
        <v>478</v>
      </c>
      <c r="C140" s="16"/>
      <c r="D140" s="17"/>
      <c r="E140" s="17"/>
      <c r="F140" s="17"/>
      <c r="G140" s="17"/>
      <c r="H140" s="17"/>
      <c r="I140" s="17"/>
      <c r="J140" s="115">
        <f t="shared" si="91"/>
        <v>0</v>
      </c>
      <c r="K140" s="112"/>
      <c r="L140" s="17"/>
      <c r="M140" s="17"/>
      <c r="N140" s="17"/>
      <c r="O140" s="17"/>
      <c r="P140" s="17"/>
      <c r="Q140" s="17"/>
      <c r="R140" s="587">
        <f t="shared" si="92"/>
        <v>0</v>
      </c>
      <c r="S140" s="17">
        <f t="shared" si="93"/>
        <v>0</v>
      </c>
      <c r="T140" s="112"/>
      <c r="U140" s="17"/>
      <c r="V140" s="17"/>
      <c r="W140" s="17"/>
      <c r="X140" s="17"/>
      <c r="Y140" s="17"/>
      <c r="Z140" s="17"/>
      <c r="AA140" s="881">
        <f t="shared" si="94"/>
        <v>0</v>
      </c>
      <c r="AB140" s="112"/>
      <c r="AC140" s="103"/>
      <c r="AE140" s="647" t="str">
        <f t="shared" si="54"/>
        <v/>
      </c>
    </row>
    <row r="141" spans="2:31" ht="15.5" hidden="1" x14ac:dyDescent="0.35">
      <c r="B141" s="94" t="s">
        <v>479</v>
      </c>
      <c r="C141" s="653"/>
      <c r="D141" s="18"/>
      <c r="E141" s="18"/>
      <c r="F141" s="18"/>
      <c r="G141" s="18"/>
      <c r="H141" s="18"/>
      <c r="I141" s="18"/>
      <c r="J141" s="115">
        <f t="shared" si="91"/>
        <v>0</v>
      </c>
      <c r="K141" s="113"/>
      <c r="L141" s="17"/>
      <c r="M141" s="17"/>
      <c r="N141" s="17"/>
      <c r="O141" s="17"/>
      <c r="P141" s="17"/>
      <c r="Q141" s="17"/>
      <c r="R141" s="587">
        <f t="shared" si="92"/>
        <v>0</v>
      </c>
      <c r="S141" s="17">
        <f t="shared" si="93"/>
        <v>0</v>
      </c>
      <c r="T141" s="113"/>
      <c r="U141" s="17"/>
      <c r="V141" s="17"/>
      <c r="W141" s="17"/>
      <c r="X141" s="17"/>
      <c r="Y141" s="17"/>
      <c r="Z141" s="17"/>
      <c r="AA141" s="881">
        <f t="shared" si="94"/>
        <v>0</v>
      </c>
      <c r="AB141" s="113"/>
      <c r="AC141" s="104"/>
      <c r="AE141" s="647" t="str">
        <f t="shared" si="54"/>
        <v/>
      </c>
    </row>
    <row r="142" spans="2:31" ht="15.5" hidden="1" x14ac:dyDescent="0.35">
      <c r="B142" s="94" t="s">
        <v>480</v>
      </c>
      <c r="C142" s="653"/>
      <c r="D142" s="18"/>
      <c r="E142" s="18"/>
      <c r="F142" s="18"/>
      <c r="G142" s="18"/>
      <c r="H142" s="18"/>
      <c r="I142" s="18"/>
      <c r="J142" s="115">
        <f t="shared" si="91"/>
        <v>0</v>
      </c>
      <c r="K142" s="113"/>
      <c r="L142" s="17"/>
      <c r="M142" s="17"/>
      <c r="N142" s="17"/>
      <c r="O142" s="17"/>
      <c r="P142" s="17"/>
      <c r="Q142" s="17"/>
      <c r="R142" s="587">
        <f t="shared" si="92"/>
        <v>0</v>
      </c>
      <c r="S142" s="17">
        <f t="shared" si="93"/>
        <v>0</v>
      </c>
      <c r="T142" s="113"/>
      <c r="U142" s="891"/>
      <c r="V142" s="891"/>
      <c r="W142" s="891"/>
      <c r="X142" s="891"/>
      <c r="Y142" s="891"/>
      <c r="Z142" s="891"/>
      <c r="AA142" s="881">
        <f t="shared" si="94"/>
        <v>0</v>
      </c>
      <c r="AB142" s="113"/>
      <c r="AC142" s="104"/>
      <c r="AE142" s="647" t="str">
        <f t="shared" si="54"/>
        <v/>
      </c>
    </row>
    <row r="143" spans="2:31" ht="15.5" hidden="1" x14ac:dyDescent="0.35">
      <c r="C143" s="95" t="s">
        <v>521</v>
      </c>
      <c r="D143" s="19">
        <f>SUM(D135:D142)</f>
        <v>0</v>
      </c>
      <c r="E143" s="19">
        <f>SUM(E135:E142)</f>
        <v>0</v>
      </c>
      <c r="F143" s="19">
        <f>SUM(F135:F142)</f>
        <v>0</v>
      </c>
      <c r="G143" s="19">
        <f>SUM(G135:G142)</f>
        <v>0</v>
      </c>
      <c r="H143" s="19">
        <f t="shared" ref="H143:I143" si="95">SUM(H135:H142)</f>
        <v>0</v>
      </c>
      <c r="I143" s="19">
        <f t="shared" si="95"/>
        <v>0</v>
      </c>
      <c r="J143" s="19">
        <f>SUM(J135:J142)</f>
        <v>0</v>
      </c>
      <c r="K143" s="19">
        <f>(K135*J135)+(K136*J136)+(K137*J137)+(K138*J138)+(K139*J139)+(K140*J140)+(K141*J141)+(K142*J142)</f>
        <v>0</v>
      </c>
      <c r="L143" s="588">
        <f>SUM(L135:L142)</f>
        <v>0</v>
      </c>
      <c r="M143" s="588">
        <f t="shared" ref="M143:S143" si="96">SUM(M135:M142)</f>
        <v>0</v>
      </c>
      <c r="N143" s="588">
        <f t="shared" si="96"/>
        <v>0</v>
      </c>
      <c r="O143" s="588">
        <f t="shared" si="96"/>
        <v>0</v>
      </c>
      <c r="P143" s="588">
        <f t="shared" si="96"/>
        <v>0</v>
      </c>
      <c r="Q143" s="588">
        <f t="shared" si="96"/>
        <v>0</v>
      </c>
      <c r="R143" s="588">
        <f t="shared" si="96"/>
        <v>0</v>
      </c>
      <c r="S143" s="588">
        <f t="shared" si="96"/>
        <v>0</v>
      </c>
      <c r="T143" s="19">
        <f>(T135*R135)+(T136*R136)+(T137*R137)+(T138*R138)+(T139*R139)+(T140*R140)+(T141*R141)+(T142*R142)</f>
        <v>0</v>
      </c>
      <c r="U143" s="884">
        <f>SUM(U135:U142)</f>
        <v>0</v>
      </c>
      <c r="V143" s="884">
        <f t="shared" ref="V143:AA143" si="97">SUM(V135:V142)</f>
        <v>0</v>
      </c>
      <c r="W143" s="884">
        <f t="shared" si="97"/>
        <v>0</v>
      </c>
      <c r="X143" s="884">
        <f t="shared" si="97"/>
        <v>0</v>
      </c>
      <c r="Y143" s="884">
        <f t="shared" si="97"/>
        <v>0</v>
      </c>
      <c r="Z143" s="884">
        <f t="shared" si="97"/>
        <v>0</v>
      </c>
      <c r="AA143" s="884">
        <f t="shared" si="97"/>
        <v>0</v>
      </c>
      <c r="AB143" s="19">
        <f>(AB135*AA135)+(AB136*AA136)+(AB137*AA137)+(AB138*AA138)+(AB139*AA139)+(AB140*AA140)+(AB141*AA141)+(AB142*AA142)</f>
        <v>0</v>
      </c>
      <c r="AC143" s="104"/>
      <c r="AE143" s="647" t="str">
        <f t="shared" si="54"/>
        <v/>
      </c>
    </row>
    <row r="144" spans="2:31" ht="15.5" x14ac:dyDescent="0.35">
      <c r="B144" s="6"/>
      <c r="C144" s="12"/>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67"/>
      <c r="AE144" s="647" t="str">
        <f t="shared" si="54"/>
        <v/>
      </c>
    </row>
    <row r="145" spans="2:31" ht="15.5" x14ac:dyDescent="0.35">
      <c r="B145" s="95" t="s">
        <v>481</v>
      </c>
      <c r="C145" s="755" t="s">
        <v>922</v>
      </c>
      <c r="D145" s="755"/>
      <c r="E145" s="755"/>
      <c r="F145" s="755"/>
      <c r="G145" s="755"/>
      <c r="H145" s="755"/>
      <c r="I145" s="755"/>
      <c r="J145" s="755"/>
      <c r="K145" s="755"/>
      <c r="L145" s="755"/>
      <c r="M145" s="755"/>
      <c r="N145" s="755"/>
      <c r="O145" s="755"/>
      <c r="P145" s="755"/>
      <c r="Q145" s="755"/>
      <c r="R145" s="755"/>
      <c r="S145" s="755"/>
      <c r="T145" s="755"/>
      <c r="U145" s="755"/>
      <c r="V145" s="755"/>
      <c r="W145" s="755"/>
      <c r="X145" s="755"/>
      <c r="Y145" s="755"/>
      <c r="Z145" s="755"/>
      <c r="AA145" s="755"/>
      <c r="AB145" s="755"/>
      <c r="AC145" s="755"/>
      <c r="AE145" s="647" t="str">
        <f t="shared" si="54"/>
        <v/>
      </c>
    </row>
    <row r="146" spans="2:31" ht="15.5" x14ac:dyDescent="0.35">
      <c r="B146" s="93" t="s">
        <v>482</v>
      </c>
      <c r="C146" s="755" t="s">
        <v>923</v>
      </c>
      <c r="D146" s="755"/>
      <c r="E146" s="755"/>
      <c r="F146" s="755"/>
      <c r="G146" s="755"/>
      <c r="H146" s="755"/>
      <c r="I146" s="755"/>
      <c r="J146" s="755"/>
      <c r="K146" s="755"/>
      <c r="L146" s="755"/>
      <c r="M146" s="755"/>
      <c r="N146" s="755"/>
      <c r="O146" s="755"/>
      <c r="P146" s="755"/>
      <c r="Q146" s="755"/>
      <c r="R146" s="755"/>
      <c r="S146" s="755"/>
      <c r="T146" s="755"/>
      <c r="U146" s="755"/>
      <c r="V146" s="755"/>
      <c r="W146" s="755"/>
      <c r="X146" s="755"/>
      <c r="Y146" s="755"/>
      <c r="Z146" s="755"/>
      <c r="AA146" s="755"/>
      <c r="AB146" s="755"/>
      <c r="AC146" s="755"/>
      <c r="AE146" s="647" t="str">
        <f t="shared" si="54"/>
        <v/>
      </c>
    </row>
    <row r="147" spans="2:31" ht="31" x14ac:dyDescent="0.35">
      <c r="B147" s="94" t="s">
        <v>483</v>
      </c>
      <c r="C147" s="663" t="s">
        <v>924</v>
      </c>
      <c r="D147" s="17"/>
      <c r="E147" s="17"/>
      <c r="F147" s="17"/>
      <c r="G147" s="17"/>
      <c r="H147" s="17"/>
      <c r="I147" s="17"/>
      <c r="J147" s="115">
        <f t="shared" ref="J147:J149" si="98">SUM(D147:I147)</f>
        <v>0</v>
      </c>
      <c r="K147" s="112"/>
      <c r="L147" s="618"/>
      <c r="M147" s="618"/>
      <c r="N147" s="618"/>
      <c r="O147" s="716">
        <v>15000</v>
      </c>
      <c r="P147" s="618">
        <v>12000</v>
      </c>
      <c r="Q147" s="618">
        <v>10000</v>
      </c>
      <c r="R147" s="655">
        <f>SUM(L147:Q147)</f>
        <v>37000</v>
      </c>
      <c r="S147" s="618">
        <f>+R147-J147</f>
        <v>37000</v>
      </c>
      <c r="T147" s="656">
        <v>0.3</v>
      </c>
      <c r="U147" s="618"/>
      <c r="V147" s="618"/>
      <c r="W147" s="618"/>
      <c r="X147" s="618"/>
      <c r="Y147" s="618"/>
      <c r="Z147" s="618"/>
      <c r="AA147" s="885">
        <f>SUM(U147:Z147)</f>
        <v>0</v>
      </c>
      <c r="AB147" s="887">
        <f>AA147*T147</f>
        <v>0</v>
      </c>
      <c r="AC147" s="657" t="s">
        <v>947</v>
      </c>
      <c r="AE147" s="647" t="str">
        <f t="shared" si="54"/>
        <v/>
      </c>
    </row>
    <row r="148" spans="2:31" ht="31" x14ac:dyDescent="0.35">
      <c r="B148" s="94" t="s">
        <v>484</v>
      </c>
      <c r="C148" s="663" t="s">
        <v>925</v>
      </c>
      <c r="D148" s="17"/>
      <c r="E148" s="17"/>
      <c r="F148" s="17"/>
      <c r="G148" s="17"/>
      <c r="H148" s="17"/>
      <c r="I148" s="17"/>
      <c r="J148" s="115">
        <f t="shared" si="98"/>
        <v>0</v>
      </c>
      <c r="K148" s="112"/>
      <c r="L148" s="618"/>
      <c r="M148" s="618"/>
      <c r="N148" s="618"/>
      <c r="O148" s="716">
        <v>15000</v>
      </c>
      <c r="P148" s="618">
        <v>10651.6</v>
      </c>
      <c r="Q148" s="618">
        <v>10000</v>
      </c>
      <c r="R148" s="655">
        <f t="shared" ref="R148:R149" si="99">SUM(L148:Q148)</f>
        <v>35651.599999999999</v>
      </c>
      <c r="S148" s="618">
        <f t="shared" ref="S148:S149" si="100">+R148-J148</f>
        <v>35651.599999999999</v>
      </c>
      <c r="T148" s="656">
        <v>0.3</v>
      </c>
      <c r="U148" s="618"/>
      <c r="V148" s="618"/>
      <c r="W148" s="618"/>
      <c r="X148" s="618"/>
      <c r="Y148" s="618"/>
      <c r="Z148" s="618"/>
      <c r="AA148" s="885">
        <f>SUM(U148:Z148)</f>
        <v>0</v>
      </c>
      <c r="AB148" s="887">
        <f>AA148*T148</f>
        <v>0</v>
      </c>
      <c r="AC148" s="657" t="s">
        <v>947</v>
      </c>
      <c r="AE148" s="647" t="str">
        <f t="shared" si="54"/>
        <v/>
      </c>
    </row>
    <row r="149" spans="2:31" ht="62" x14ac:dyDescent="0.35">
      <c r="B149" s="94" t="s">
        <v>485</v>
      </c>
      <c r="C149" s="663" t="s">
        <v>926</v>
      </c>
      <c r="D149" s="17"/>
      <c r="E149" s="17"/>
      <c r="F149" s="17"/>
      <c r="G149" s="17"/>
      <c r="H149" s="17"/>
      <c r="I149" s="17"/>
      <c r="J149" s="115">
        <f t="shared" si="98"/>
        <v>0</v>
      </c>
      <c r="K149" s="112"/>
      <c r="L149" s="618"/>
      <c r="M149" s="618"/>
      <c r="N149" s="618"/>
      <c r="O149" s="716">
        <v>14000</v>
      </c>
      <c r="P149" s="618">
        <v>40563</v>
      </c>
      <c r="Q149" s="618">
        <v>25000</v>
      </c>
      <c r="R149" s="655">
        <f t="shared" si="99"/>
        <v>79563</v>
      </c>
      <c r="S149" s="618">
        <f t="shared" si="100"/>
        <v>79563</v>
      </c>
      <c r="T149" s="656">
        <v>0.3</v>
      </c>
      <c r="U149" s="618"/>
      <c r="V149" s="618"/>
      <c r="W149" s="618"/>
      <c r="X149" s="618"/>
      <c r="Y149" s="618"/>
      <c r="Z149" s="618"/>
      <c r="AA149" s="885">
        <f>SUM(U149:Z149)</f>
        <v>0</v>
      </c>
      <c r="AB149" s="887">
        <f>AA149*T149</f>
        <v>0</v>
      </c>
      <c r="AC149" s="657" t="s">
        <v>948</v>
      </c>
      <c r="AE149" s="647" t="str">
        <f t="shared" si="54"/>
        <v/>
      </c>
    </row>
    <row r="150" spans="2:31" ht="15.5" x14ac:dyDescent="0.35">
      <c r="C150" s="95" t="s">
        <v>521</v>
      </c>
      <c r="D150" s="19">
        <f t="shared" ref="D150:J150" si="101">SUM(D147:D149)</f>
        <v>0</v>
      </c>
      <c r="E150" s="19">
        <f t="shared" si="101"/>
        <v>0</v>
      </c>
      <c r="F150" s="19">
        <f t="shared" si="101"/>
        <v>0</v>
      </c>
      <c r="G150" s="19">
        <f t="shared" si="101"/>
        <v>0</v>
      </c>
      <c r="H150" s="19">
        <f t="shared" si="101"/>
        <v>0</v>
      </c>
      <c r="I150" s="19">
        <f t="shared" si="101"/>
        <v>0</v>
      </c>
      <c r="J150" s="22">
        <f t="shared" si="101"/>
        <v>0</v>
      </c>
      <c r="K150" s="19" t="e">
        <f>(K147*J147)+(K148*J148)+(K149*J149)+(#REF!*#REF!)+(#REF!*#REF!)+(#REF!*#REF!)+(#REF!*#REF!)+(#REF!*#REF!)</f>
        <v>#REF!</v>
      </c>
      <c r="L150" s="627">
        <f t="shared" ref="L150:S150" si="102">SUM(L147:L149)</f>
        <v>0</v>
      </c>
      <c r="M150" s="627">
        <f t="shared" si="102"/>
        <v>0</v>
      </c>
      <c r="N150" s="627">
        <f t="shared" si="102"/>
        <v>0</v>
      </c>
      <c r="O150" s="627">
        <f t="shared" si="102"/>
        <v>44000</v>
      </c>
      <c r="P150" s="627">
        <f t="shared" si="102"/>
        <v>63214.6</v>
      </c>
      <c r="Q150" s="627">
        <f t="shared" si="102"/>
        <v>45000</v>
      </c>
      <c r="R150" s="627">
        <f t="shared" si="102"/>
        <v>152214.6</v>
      </c>
      <c r="S150" s="627">
        <f t="shared" si="102"/>
        <v>152214.6</v>
      </c>
      <c r="T150" s="664">
        <f>(T147*R147)+(T148*R148)+(T149*R149)</f>
        <v>45664.38</v>
      </c>
      <c r="U150" s="892">
        <f t="shared" ref="U150:AA150" si="103">SUM(U147:U149)</f>
        <v>0</v>
      </c>
      <c r="V150" s="892">
        <f t="shared" si="103"/>
        <v>0</v>
      </c>
      <c r="W150" s="892">
        <f t="shared" si="103"/>
        <v>0</v>
      </c>
      <c r="X150" s="892">
        <f t="shared" si="103"/>
        <v>0</v>
      </c>
      <c r="Y150" s="892">
        <f t="shared" si="103"/>
        <v>0</v>
      </c>
      <c r="Z150" s="892">
        <f t="shared" si="103"/>
        <v>0</v>
      </c>
      <c r="AA150" s="892">
        <f t="shared" si="103"/>
        <v>0</v>
      </c>
      <c r="AB150" s="664">
        <f>SUM(AB147:AB149)</f>
        <v>0</v>
      </c>
      <c r="AC150" s="104"/>
      <c r="AE150" s="647" t="str">
        <f t="shared" ref="AE150:AE189" si="104">IFERROR(S150/J150,"")</f>
        <v/>
      </c>
    </row>
    <row r="151" spans="2:31" ht="15.5" hidden="1" x14ac:dyDescent="0.35">
      <c r="B151" s="93" t="s">
        <v>486</v>
      </c>
      <c r="C151" s="756"/>
      <c r="D151" s="756"/>
      <c r="E151" s="756"/>
      <c r="F151" s="756"/>
      <c r="G151" s="756"/>
      <c r="H151" s="756"/>
      <c r="I151" s="756"/>
      <c r="J151" s="756"/>
      <c r="K151" s="756"/>
      <c r="L151" s="756"/>
      <c r="M151" s="756"/>
      <c r="N151" s="756"/>
      <c r="O151" s="756"/>
      <c r="P151" s="756"/>
      <c r="Q151" s="756"/>
      <c r="R151" s="756"/>
      <c r="S151" s="756"/>
      <c r="T151" s="756"/>
      <c r="U151" s="756"/>
      <c r="V151" s="756"/>
      <c r="W151" s="756"/>
      <c r="X151" s="756"/>
      <c r="Y151" s="756"/>
      <c r="Z151" s="756"/>
      <c r="AA151" s="756"/>
      <c r="AB151" s="756"/>
      <c r="AC151" s="756"/>
      <c r="AE151" s="647" t="str">
        <f t="shared" si="104"/>
        <v/>
      </c>
    </row>
    <row r="152" spans="2:31" ht="15.5" hidden="1" x14ac:dyDescent="0.35">
      <c r="B152" s="94" t="s">
        <v>487</v>
      </c>
      <c r="C152" s="16"/>
      <c r="D152" s="17"/>
      <c r="E152" s="17"/>
      <c r="F152" s="17"/>
      <c r="G152" s="17"/>
      <c r="H152" s="17"/>
      <c r="I152" s="17"/>
      <c r="J152" s="115">
        <f t="shared" ref="J152:J159" si="105">SUM(D152:I152)</f>
        <v>0</v>
      </c>
      <c r="K152" s="112"/>
      <c r="L152" s="17"/>
      <c r="M152" s="17"/>
      <c r="N152" s="17"/>
      <c r="O152" s="17"/>
      <c r="P152" s="17"/>
      <c r="Q152" s="17"/>
      <c r="R152" s="587">
        <f>SUM(L152:Q152)</f>
        <v>0</v>
      </c>
      <c r="S152" s="17">
        <f>+R152-J152</f>
        <v>0</v>
      </c>
      <c r="T152" s="112"/>
      <c r="U152" s="17"/>
      <c r="V152" s="17"/>
      <c r="W152" s="17"/>
      <c r="X152" s="17"/>
      <c r="Y152" s="17"/>
      <c r="Z152" s="17"/>
      <c r="AA152" s="881">
        <f>SUM(U152:Z152)</f>
        <v>0</v>
      </c>
      <c r="AB152" s="112"/>
      <c r="AC152" s="103"/>
      <c r="AE152" s="647" t="str">
        <f t="shared" si="104"/>
        <v/>
      </c>
    </row>
    <row r="153" spans="2:31" ht="15.5" hidden="1" x14ac:dyDescent="0.35">
      <c r="B153" s="94" t="s">
        <v>488</v>
      </c>
      <c r="C153" s="16"/>
      <c r="D153" s="17"/>
      <c r="E153" s="17"/>
      <c r="F153" s="17"/>
      <c r="G153" s="17"/>
      <c r="H153" s="17"/>
      <c r="I153" s="17"/>
      <c r="J153" s="115">
        <f t="shared" si="105"/>
        <v>0</v>
      </c>
      <c r="K153" s="112"/>
      <c r="L153" s="17"/>
      <c r="M153" s="17"/>
      <c r="N153" s="17"/>
      <c r="O153" s="17"/>
      <c r="P153" s="17"/>
      <c r="Q153" s="17"/>
      <c r="R153" s="587">
        <f t="shared" ref="R153:R159" si="106">SUM(L153:Q153)</f>
        <v>0</v>
      </c>
      <c r="S153" s="17">
        <f t="shared" ref="S153:S159" si="107">+R153-J153</f>
        <v>0</v>
      </c>
      <c r="T153" s="112"/>
      <c r="U153" s="17"/>
      <c r="V153" s="17"/>
      <c r="W153" s="17"/>
      <c r="X153" s="17"/>
      <c r="Y153" s="17"/>
      <c r="Z153" s="17"/>
      <c r="AA153" s="881">
        <f t="shared" ref="AA153:AA159" si="108">SUM(U153:Z153)</f>
        <v>0</v>
      </c>
      <c r="AB153" s="112"/>
      <c r="AC153" s="103"/>
      <c r="AE153" s="647" t="str">
        <f t="shared" si="104"/>
        <v/>
      </c>
    </row>
    <row r="154" spans="2:31" ht="15.5" hidden="1" x14ac:dyDescent="0.35">
      <c r="B154" s="94" t="s">
        <v>489</v>
      </c>
      <c r="C154" s="16"/>
      <c r="D154" s="17"/>
      <c r="E154" s="17"/>
      <c r="F154" s="17"/>
      <c r="G154" s="17"/>
      <c r="H154" s="17"/>
      <c r="I154" s="17"/>
      <c r="J154" s="115">
        <f t="shared" si="105"/>
        <v>0</v>
      </c>
      <c r="K154" s="112"/>
      <c r="L154" s="17"/>
      <c r="M154" s="17"/>
      <c r="N154" s="17"/>
      <c r="O154" s="17"/>
      <c r="P154" s="17"/>
      <c r="Q154" s="17"/>
      <c r="R154" s="587">
        <f t="shared" si="106"/>
        <v>0</v>
      </c>
      <c r="S154" s="17">
        <f t="shared" si="107"/>
        <v>0</v>
      </c>
      <c r="T154" s="112"/>
      <c r="U154" s="17"/>
      <c r="V154" s="17"/>
      <c r="W154" s="17"/>
      <c r="X154" s="17"/>
      <c r="Y154" s="17"/>
      <c r="Z154" s="17"/>
      <c r="AA154" s="881">
        <f t="shared" si="108"/>
        <v>0</v>
      </c>
      <c r="AB154" s="112"/>
      <c r="AC154" s="103"/>
      <c r="AE154" s="647" t="str">
        <f t="shared" si="104"/>
        <v/>
      </c>
    </row>
    <row r="155" spans="2:31" ht="15.5" hidden="1" x14ac:dyDescent="0.35">
      <c r="B155" s="94" t="s">
        <v>490</v>
      </c>
      <c r="C155" s="16"/>
      <c r="D155" s="17"/>
      <c r="E155" s="17"/>
      <c r="F155" s="17"/>
      <c r="G155" s="17"/>
      <c r="H155" s="17"/>
      <c r="I155" s="17"/>
      <c r="J155" s="115">
        <f t="shared" si="105"/>
        <v>0</v>
      </c>
      <c r="K155" s="112"/>
      <c r="L155" s="17"/>
      <c r="M155" s="17"/>
      <c r="N155" s="17"/>
      <c r="O155" s="17"/>
      <c r="P155" s="17"/>
      <c r="Q155" s="17"/>
      <c r="R155" s="587">
        <f t="shared" si="106"/>
        <v>0</v>
      </c>
      <c r="S155" s="17">
        <f t="shared" si="107"/>
        <v>0</v>
      </c>
      <c r="T155" s="112"/>
      <c r="U155" s="17"/>
      <c r="V155" s="17"/>
      <c r="W155" s="17"/>
      <c r="X155" s="17"/>
      <c r="Y155" s="17"/>
      <c r="Z155" s="17"/>
      <c r="AA155" s="881">
        <f t="shared" si="108"/>
        <v>0</v>
      </c>
      <c r="AB155" s="112"/>
      <c r="AC155" s="103"/>
      <c r="AE155" s="647" t="str">
        <f t="shared" si="104"/>
        <v/>
      </c>
    </row>
    <row r="156" spans="2:31" ht="15.5" hidden="1" x14ac:dyDescent="0.35">
      <c r="B156" s="94" t="s">
        <v>491</v>
      </c>
      <c r="C156" s="16"/>
      <c r="D156" s="17"/>
      <c r="E156" s="17"/>
      <c r="F156" s="17"/>
      <c r="G156" s="17"/>
      <c r="H156" s="17"/>
      <c r="I156" s="17"/>
      <c r="J156" s="115">
        <f t="shared" si="105"/>
        <v>0</v>
      </c>
      <c r="K156" s="112"/>
      <c r="L156" s="17"/>
      <c r="M156" s="17"/>
      <c r="N156" s="17"/>
      <c r="O156" s="17"/>
      <c r="P156" s="17"/>
      <c r="Q156" s="17"/>
      <c r="R156" s="587">
        <f t="shared" si="106"/>
        <v>0</v>
      </c>
      <c r="S156" s="17">
        <f t="shared" si="107"/>
        <v>0</v>
      </c>
      <c r="T156" s="112"/>
      <c r="U156" s="17"/>
      <c r="V156" s="17"/>
      <c r="W156" s="17"/>
      <c r="X156" s="17"/>
      <c r="Y156" s="17"/>
      <c r="Z156" s="17"/>
      <c r="AA156" s="881">
        <f t="shared" si="108"/>
        <v>0</v>
      </c>
      <c r="AB156" s="112"/>
      <c r="AC156" s="103"/>
      <c r="AE156" s="647" t="str">
        <f t="shared" si="104"/>
        <v/>
      </c>
    </row>
    <row r="157" spans="2:31" ht="15.5" hidden="1" x14ac:dyDescent="0.35">
      <c r="B157" s="94" t="s">
        <v>492</v>
      </c>
      <c r="C157" s="16"/>
      <c r="D157" s="17"/>
      <c r="E157" s="17"/>
      <c r="F157" s="17"/>
      <c r="G157" s="17"/>
      <c r="H157" s="17"/>
      <c r="I157" s="17"/>
      <c r="J157" s="115">
        <f t="shared" si="105"/>
        <v>0</v>
      </c>
      <c r="K157" s="112"/>
      <c r="L157" s="17"/>
      <c r="M157" s="17"/>
      <c r="N157" s="17"/>
      <c r="O157" s="17"/>
      <c r="P157" s="17"/>
      <c r="Q157" s="17"/>
      <c r="R157" s="587">
        <f t="shared" si="106"/>
        <v>0</v>
      </c>
      <c r="S157" s="17">
        <f t="shared" si="107"/>
        <v>0</v>
      </c>
      <c r="T157" s="112"/>
      <c r="U157" s="17"/>
      <c r="V157" s="17"/>
      <c r="W157" s="17"/>
      <c r="X157" s="17"/>
      <c r="Y157" s="17"/>
      <c r="Z157" s="17"/>
      <c r="AA157" s="881">
        <f t="shared" si="108"/>
        <v>0</v>
      </c>
      <c r="AB157" s="112"/>
      <c r="AC157" s="103"/>
      <c r="AE157" s="647" t="str">
        <f t="shared" si="104"/>
        <v/>
      </c>
    </row>
    <row r="158" spans="2:31" ht="15.5" hidden="1" x14ac:dyDescent="0.35">
      <c r="B158" s="94" t="s">
        <v>493</v>
      </c>
      <c r="C158" s="653"/>
      <c r="D158" s="18"/>
      <c r="E158" s="18"/>
      <c r="F158" s="18"/>
      <c r="G158" s="18"/>
      <c r="H158" s="18"/>
      <c r="I158" s="18"/>
      <c r="J158" s="115">
        <f t="shared" si="105"/>
        <v>0</v>
      </c>
      <c r="K158" s="113"/>
      <c r="L158" s="17"/>
      <c r="M158" s="17"/>
      <c r="N158" s="17"/>
      <c r="O158" s="17"/>
      <c r="P158" s="17"/>
      <c r="Q158" s="17"/>
      <c r="R158" s="587">
        <f t="shared" si="106"/>
        <v>0</v>
      </c>
      <c r="S158" s="17">
        <f t="shared" si="107"/>
        <v>0</v>
      </c>
      <c r="T158" s="113"/>
      <c r="U158" s="17"/>
      <c r="V158" s="17"/>
      <c r="W158" s="17"/>
      <c r="X158" s="17"/>
      <c r="Y158" s="17"/>
      <c r="Z158" s="17"/>
      <c r="AA158" s="881">
        <f t="shared" si="108"/>
        <v>0</v>
      </c>
      <c r="AB158" s="113"/>
      <c r="AC158" s="104"/>
      <c r="AE158" s="647" t="str">
        <f t="shared" si="104"/>
        <v/>
      </c>
    </row>
    <row r="159" spans="2:31" ht="15.5" hidden="1" x14ac:dyDescent="0.35">
      <c r="B159" s="94" t="s">
        <v>494</v>
      </c>
      <c r="C159" s="653"/>
      <c r="D159" s="18"/>
      <c r="E159" s="18"/>
      <c r="F159" s="18"/>
      <c r="G159" s="18"/>
      <c r="H159" s="18"/>
      <c r="I159" s="18"/>
      <c r="J159" s="115">
        <f t="shared" si="105"/>
        <v>0</v>
      </c>
      <c r="K159" s="113"/>
      <c r="L159" s="17"/>
      <c r="M159" s="17"/>
      <c r="N159" s="17"/>
      <c r="O159" s="17"/>
      <c r="P159" s="17"/>
      <c r="Q159" s="17"/>
      <c r="R159" s="587">
        <f t="shared" si="106"/>
        <v>0</v>
      </c>
      <c r="S159" s="17">
        <f t="shared" si="107"/>
        <v>0</v>
      </c>
      <c r="T159" s="113"/>
      <c r="U159" s="17"/>
      <c r="V159" s="17"/>
      <c r="W159" s="17"/>
      <c r="X159" s="17"/>
      <c r="Y159" s="17"/>
      <c r="Z159" s="17"/>
      <c r="AA159" s="881">
        <f t="shared" si="108"/>
        <v>0</v>
      </c>
      <c r="AB159" s="113"/>
      <c r="AC159" s="104"/>
      <c r="AE159" s="647" t="str">
        <f t="shared" si="104"/>
        <v/>
      </c>
    </row>
    <row r="160" spans="2:31" ht="15.5" hidden="1" x14ac:dyDescent="0.35">
      <c r="C160" s="95" t="s">
        <v>521</v>
      </c>
      <c r="D160" s="22">
        <f>SUM(D152:D159)</f>
        <v>0</v>
      </c>
      <c r="E160" s="22">
        <f>SUM(E152:E159)</f>
        <v>0</v>
      </c>
      <c r="F160" s="22">
        <f>SUM(F152:F159)</f>
        <v>0</v>
      </c>
      <c r="G160" s="22">
        <f t="shared" ref="G160:I160" si="109">SUM(G152:G159)</f>
        <v>0</v>
      </c>
      <c r="H160" s="22">
        <f t="shared" si="109"/>
        <v>0</v>
      </c>
      <c r="I160" s="22">
        <f t="shared" si="109"/>
        <v>0</v>
      </c>
      <c r="J160" s="22">
        <f>SUM(J152:J159)</f>
        <v>0</v>
      </c>
      <c r="K160" s="19">
        <f>(K152*J152)+(K153*J153)+(K154*J154)+(K155*J155)+(K156*J156)+(K157*J157)+(K158*J158)+(K159*J159)</f>
        <v>0</v>
      </c>
      <c r="L160" s="589">
        <f>SUM(L152:L159)</f>
        <v>0</v>
      </c>
      <c r="M160" s="589">
        <f t="shared" ref="M160:S160" si="110">SUM(M152:M159)</f>
        <v>0</v>
      </c>
      <c r="N160" s="589">
        <f t="shared" si="110"/>
        <v>0</v>
      </c>
      <c r="O160" s="589">
        <f t="shared" si="110"/>
        <v>0</v>
      </c>
      <c r="P160" s="589">
        <f t="shared" si="110"/>
        <v>0</v>
      </c>
      <c r="Q160" s="589">
        <f t="shared" si="110"/>
        <v>0</v>
      </c>
      <c r="R160" s="589">
        <f t="shared" si="110"/>
        <v>0</v>
      </c>
      <c r="S160" s="589">
        <f t="shared" si="110"/>
        <v>0</v>
      </c>
      <c r="T160" s="19">
        <f>(T152*R152)+(T153*R153)+(T154*R154)+(T155*R155)+(T156*R156)+(T157*R157)+(T158*R158)+(T159*R159)</f>
        <v>0</v>
      </c>
      <c r="U160" s="886">
        <f>SUM(U152:U159)</f>
        <v>0</v>
      </c>
      <c r="V160" s="886">
        <f t="shared" ref="V160:AA160" si="111">SUM(V152:V159)</f>
        <v>0</v>
      </c>
      <c r="W160" s="886">
        <f t="shared" si="111"/>
        <v>0</v>
      </c>
      <c r="X160" s="886">
        <f t="shared" si="111"/>
        <v>0</v>
      </c>
      <c r="Y160" s="886">
        <f t="shared" si="111"/>
        <v>0</v>
      </c>
      <c r="Z160" s="886">
        <f t="shared" si="111"/>
        <v>0</v>
      </c>
      <c r="AA160" s="886">
        <f t="shared" si="111"/>
        <v>0</v>
      </c>
      <c r="AB160" s="19">
        <f>(AB152*AA152)+(AB153*AA153)+(AB154*AA154)+(AB155*AA155)+(AB156*AA156)+(AB157*AA157)+(AB158*AA158)+(AB159*AA159)</f>
        <v>0</v>
      </c>
      <c r="AC160" s="104"/>
      <c r="AE160" s="647" t="str">
        <f t="shared" si="104"/>
        <v/>
      </c>
    </row>
    <row r="161" spans="2:31" ht="15.5" hidden="1" x14ac:dyDescent="0.35">
      <c r="B161" s="93" t="s">
        <v>495</v>
      </c>
      <c r="C161" s="756"/>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E161" s="647" t="str">
        <f t="shared" si="104"/>
        <v/>
      </c>
    </row>
    <row r="162" spans="2:31" ht="15.5" hidden="1" x14ac:dyDescent="0.35">
      <c r="B162" s="94" t="s">
        <v>496</v>
      </c>
      <c r="C162" s="16"/>
      <c r="D162" s="17"/>
      <c r="E162" s="17"/>
      <c r="F162" s="17"/>
      <c r="G162" s="17"/>
      <c r="H162" s="17"/>
      <c r="I162" s="17"/>
      <c r="J162" s="115">
        <f t="shared" ref="J162:J169" si="112">SUM(D162:I162)</f>
        <v>0</v>
      </c>
      <c r="K162" s="112"/>
      <c r="L162" s="17"/>
      <c r="M162" s="17"/>
      <c r="N162" s="17"/>
      <c r="O162" s="17"/>
      <c r="P162" s="17"/>
      <c r="Q162" s="17"/>
      <c r="R162" s="587">
        <f>SUM(L162:Q162)</f>
        <v>0</v>
      </c>
      <c r="S162" s="17">
        <f>+R162-J162</f>
        <v>0</v>
      </c>
      <c r="T162" s="112"/>
      <c r="U162" s="17"/>
      <c r="V162" s="17"/>
      <c r="W162" s="17"/>
      <c r="X162" s="17"/>
      <c r="Y162" s="17"/>
      <c r="Z162" s="17"/>
      <c r="AA162" s="881">
        <f>SUM(U162:Z162)</f>
        <v>0</v>
      </c>
      <c r="AB162" s="112"/>
      <c r="AC162" s="103"/>
      <c r="AE162" s="647" t="str">
        <f t="shared" si="104"/>
        <v/>
      </c>
    </row>
    <row r="163" spans="2:31" ht="15.5" hidden="1" x14ac:dyDescent="0.35">
      <c r="B163" s="94" t="s">
        <v>497</v>
      </c>
      <c r="C163" s="16"/>
      <c r="D163" s="17"/>
      <c r="E163" s="17"/>
      <c r="F163" s="17"/>
      <c r="G163" s="17"/>
      <c r="H163" s="17"/>
      <c r="I163" s="17"/>
      <c r="J163" s="115">
        <f t="shared" si="112"/>
        <v>0</v>
      </c>
      <c r="K163" s="112"/>
      <c r="L163" s="17"/>
      <c r="M163" s="17"/>
      <c r="N163" s="17"/>
      <c r="O163" s="17"/>
      <c r="P163" s="17"/>
      <c r="Q163" s="17"/>
      <c r="R163" s="587">
        <f t="shared" ref="R163:R169" si="113">SUM(L163:Q163)</f>
        <v>0</v>
      </c>
      <c r="S163" s="17">
        <f t="shared" ref="S163:S169" si="114">+R163-J163</f>
        <v>0</v>
      </c>
      <c r="T163" s="112"/>
      <c r="U163" s="17"/>
      <c r="V163" s="17"/>
      <c r="W163" s="17"/>
      <c r="X163" s="17"/>
      <c r="Y163" s="17"/>
      <c r="Z163" s="17"/>
      <c r="AA163" s="881">
        <f t="shared" ref="AA163:AA169" si="115">SUM(U163:Z163)</f>
        <v>0</v>
      </c>
      <c r="AB163" s="112"/>
      <c r="AC163" s="103"/>
      <c r="AE163" s="647" t="str">
        <f t="shared" si="104"/>
        <v/>
      </c>
    </row>
    <row r="164" spans="2:31" ht="15.5" hidden="1" x14ac:dyDescent="0.35">
      <c r="B164" s="94" t="s">
        <v>498</v>
      </c>
      <c r="C164" s="16"/>
      <c r="D164" s="17"/>
      <c r="E164" s="17"/>
      <c r="F164" s="17"/>
      <c r="G164" s="17"/>
      <c r="H164" s="17"/>
      <c r="I164" s="17"/>
      <c r="J164" s="115">
        <f t="shared" si="112"/>
        <v>0</v>
      </c>
      <c r="K164" s="112"/>
      <c r="L164" s="17"/>
      <c r="M164" s="17"/>
      <c r="N164" s="17"/>
      <c r="O164" s="17"/>
      <c r="P164" s="17"/>
      <c r="Q164" s="17"/>
      <c r="R164" s="587">
        <f t="shared" si="113"/>
        <v>0</v>
      </c>
      <c r="S164" s="17">
        <f t="shared" si="114"/>
        <v>0</v>
      </c>
      <c r="T164" s="112"/>
      <c r="U164" s="17"/>
      <c r="V164" s="17"/>
      <c r="W164" s="17"/>
      <c r="X164" s="17"/>
      <c r="Y164" s="17"/>
      <c r="Z164" s="17"/>
      <c r="AA164" s="881">
        <f t="shared" si="115"/>
        <v>0</v>
      </c>
      <c r="AB164" s="112"/>
      <c r="AC164" s="103"/>
      <c r="AE164" s="647" t="str">
        <f t="shared" si="104"/>
        <v/>
      </c>
    </row>
    <row r="165" spans="2:31" ht="15.5" hidden="1" x14ac:dyDescent="0.35">
      <c r="B165" s="94" t="s">
        <v>499</v>
      </c>
      <c r="C165" s="16"/>
      <c r="D165" s="17"/>
      <c r="E165" s="17"/>
      <c r="F165" s="17"/>
      <c r="G165" s="17"/>
      <c r="H165" s="17"/>
      <c r="I165" s="17"/>
      <c r="J165" s="115">
        <f t="shared" si="112"/>
        <v>0</v>
      </c>
      <c r="K165" s="112"/>
      <c r="L165" s="17"/>
      <c r="M165" s="17"/>
      <c r="N165" s="17"/>
      <c r="O165" s="17"/>
      <c r="P165" s="17"/>
      <c r="Q165" s="17"/>
      <c r="R165" s="587">
        <f t="shared" si="113"/>
        <v>0</v>
      </c>
      <c r="S165" s="17">
        <f t="shared" si="114"/>
        <v>0</v>
      </c>
      <c r="T165" s="112"/>
      <c r="U165" s="17"/>
      <c r="V165" s="17"/>
      <c r="W165" s="17"/>
      <c r="X165" s="17"/>
      <c r="Y165" s="17"/>
      <c r="Z165" s="17"/>
      <c r="AA165" s="881">
        <f t="shared" si="115"/>
        <v>0</v>
      </c>
      <c r="AB165" s="112"/>
      <c r="AC165" s="103"/>
      <c r="AE165" s="647" t="str">
        <f t="shared" si="104"/>
        <v/>
      </c>
    </row>
    <row r="166" spans="2:31" ht="15.5" hidden="1" x14ac:dyDescent="0.35">
      <c r="B166" s="94" t="s">
        <v>500</v>
      </c>
      <c r="C166" s="16"/>
      <c r="D166" s="17"/>
      <c r="E166" s="17"/>
      <c r="F166" s="17"/>
      <c r="G166" s="17"/>
      <c r="H166" s="17"/>
      <c r="I166" s="17"/>
      <c r="J166" s="115">
        <f t="shared" si="112"/>
        <v>0</v>
      </c>
      <c r="K166" s="112"/>
      <c r="L166" s="17"/>
      <c r="M166" s="17"/>
      <c r="N166" s="17"/>
      <c r="O166" s="17"/>
      <c r="P166" s="17"/>
      <c r="Q166" s="17"/>
      <c r="R166" s="587">
        <f t="shared" si="113"/>
        <v>0</v>
      </c>
      <c r="S166" s="17">
        <f t="shared" si="114"/>
        <v>0</v>
      </c>
      <c r="T166" s="112"/>
      <c r="U166" s="17"/>
      <c r="V166" s="17"/>
      <c r="W166" s="17"/>
      <c r="X166" s="17"/>
      <c r="Y166" s="17"/>
      <c r="Z166" s="17"/>
      <c r="AA166" s="881">
        <f t="shared" si="115"/>
        <v>0</v>
      </c>
      <c r="AB166" s="112"/>
      <c r="AC166" s="103"/>
      <c r="AE166" s="647" t="str">
        <f t="shared" si="104"/>
        <v/>
      </c>
    </row>
    <row r="167" spans="2:31" ht="15.5" hidden="1" x14ac:dyDescent="0.35">
      <c r="B167" s="94" t="s">
        <v>501</v>
      </c>
      <c r="C167" s="16"/>
      <c r="D167" s="17"/>
      <c r="E167" s="17"/>
      <c r="F167" s="17"/>
      <c r="G167" s="17"/>
      <c r="H167" s="17"/>
      <c r="I167" s="17"/>
      <c r="J167" s="115">
        <f t="shared" si="112"/>
        <v>0</v>
      </c>
      <c r="K167" s="112"/>
      <c r="L167" s="17"/>
      <c r="M167" s="17"/>
      <c r="N167" s="17"/>
      <c r="O167" s="17"/>
      <c r="P167" s="17"/>
      <c r="Q167" s="17"/>
      <c r="R167" s="587">
        <f t="shared" si="113"/>
        <v>0</v>
      </c>
      <c r="S167" s="17">
        <f t="shared" si="114"/>
        <v>0</v>
      </c>
      <c r="T167" s="112"/>
      <c r="U167" s="17"/>
      <c r="V167" s="17"/>
      <c r="W167" s="17"/>
      <c r="X167" s="17"/>
      <c r="Y167" s="17"/>
      <c r="Z167" s="17"/>
      <c r="AA167" s="881">
        <f t="shared" si="115"/>
        <v>0</v>
      </c>
      <c r="AB167" s="112"/>
      <c r="AC167" s="103"/>
      <c r="AE167" s="647" t="str">
        <f t="shared" si="104"/>
        <v/>
      </c>
    </row>
    <row r="168" spans="2:31" ht="15.5" hidden="1" x14ac:dyDescent="0.35">
      <c r="B168" s="94" t="s">
        <v>502</v>
      </c>
      <c r="C168" s="653"/>
      <c r="D168" s="18"/>
      <c r="E168" s="18"/>
      <c r="F168" s="18"/>
      <c r="G168" s="18"/>
      <c r="H168" s="18"/>
      <c r="I168" s="18"/>
      <c r="J168" s="115">
        <f t="shared" si="112"/>
        <v>0</v>
      </c>
      <c r="K168" s="113"/>
      <c r="L168" s="17"/>
      <c r="M168" s="17"/>
      <c r="N168" s="17"/>
      <c r="O168" s="17"/>
      <c r="P168" s="17"/>
      <c r="Q168" s="17"/>
      <c r="R168" s="587">
        <f t="shared" si="113"/>
        <v>0</v>
      </c>
      <c r="S168" s="17">
        <f t="shared" si="114"/>
        <v>0</v>
      </c>
      <c r="T168" s="113"/>
      <c r="U168" s="17"/>
      <c r="V168" s="17"/>
      <c r="W168" s="17"/>
      <c r="X168" s="17"/>
      <c r="Y168" s="17"/>
      <c r="Z168" s="17"/>
      <c r="AA168" s="881">
        <f t="shared" si="115"/>
        <v>0</v>
      </c>
      <c r="AB168" s="113"/>
      <c r="AC168" s="104"/>
      <c r="AE168" s="647" t="str">
        <f t="shared" si="104"/>
        <v/>
      </c>
    </row>
    <row r="169" spans="2:31" ht="15.5" hidden="1" x14ac:dyDescent="0.35">
      <c r="B169" s="94" t="s">
        <v>503</v>
      </c>
      <c r="C169" s="653"/>
      <c r="D169" s="18"/>
      <c r="E169" s="18"/>
      <c r="F169" s="18"/>
      <c r="G169" s="18"/>
      <c r="H169" s="18"/>
      <c r="I169" s="18"/>
      <c r="J169" s="115">
        <f t="shared" si="112"/>
        <v>0</v>
      </c>
      <c r="K169" s="113"/>
      <c r="L169" s="17"/>
      <c r="M169" s="17"/>
      <c r="N169" s="17"/>
      <c r="O169" s="17"/>
      <c r="P169" s="17"/>
      <c r="Q169" s="17"/>
      <c r="R169" s="587">
        <f t="shared" si="113"/>
        <v>0</v>
      </c>
      <c r="S169" s="17">
        <f t="shared" si="114"/>
        <v>0</v>
      </c>
      <c r="T169" s="113"/>
      <c r="U169" s="17"/>
      <c r="V169" s="17"/>
      <c r="W169" s="17"/>
      <c r="X169" s="17"/>
      <c r="Y169" s="17"/>
      <c r="Z169" s="17"/>
      <c r="AA169" s="881">
        <f t="shared" si="115"/>
        <v>0</v>
      </c>
      <c r="AB169" s="113"/>
      <c r="AC169" s="104"/>
      <c r="AE169" s="647" t="str">
        <f t="shared" si="104"/>
        <v/>
      </c>
    </row>
    <row r="170" spans="2:31" ht="15.5" hidden="1" x14ac:dyDescent="0.35">
      <c r="C170" s="95" t="s">
        <v>521</v>
      </c>
      <c r="D170" s="22">
        <f>SUM(D162:D169)</f>
        <v>0</v>
      </c>
      <c r="E170" s="22">
        <f>SUM(E162:E169)</f>
        <v>0</v>
      </c>
      <c r="F170" s="22">
        <f>SUM(F162:F169)</f>
        <v>0</v>
      </c>
      <c r="G170" s="22">
        <f t="shared" ref="G170:I170" si="116">SUM(G162:G169)</f>
        <v>0</v>
      </c>
      <c r="H170" s="22">
        <f t="shared" si="116"/>
        <v>0</v>
      </c>
      <c r="I170" s="22">
        <f t="shared" si="116"/>
        <v>0</v>
      </c>
      <c r="J170" s="22">
        <f>SUM(J162:J169)</f>
        <v>0</v>
      </c>
      <c r="K170" s="19">
        <f>(K162*J162)+(K163*J163)+(K164*J164)+(K165*J165)+(K166*J166)+(K167*J167)+(K168*J168)+(K169*J169)</f>
        <v>0</v>
      </c>
      <c r="L170" s="589">
        <f>SUM(L162:L169)</f>
        <v>0</v>
      </c>
      <c r="M170" s="589">
        <f t="shared" ref="M170:S170" si="117">SUM(M162:M169)</f>
        <v>0</v>
      </c>
      <c r="N170" s="589">
        <f t="shared" si="117"/>
        <v>0</v>
      </c>
      <c r="O170" s="589">
        <f t="shared" si="117"/>
        <v>0</v>
      </c>
      <c r="P170" s="589">
        <f t="shared" si="117"/>
        <v>0</v>
      </c>
      <c r="Q170" s="589">
        <f t="shared" si="117"/>
        <v>0</v>
      </c>
      <c r="R170" s="589">
        <f t="shared" si="117"/>
        <v>0</v>
      </c>
      <c r="S170" s="589">
        <f t="shared" si="117"/>
        <v>0</v>
      </c>
      <c r="T170" s="19">
        <f>(T162*R162)+(T163*R163)+(T164*R164)+(T165*R165)+(T166*R166)+(T167*R167)+(T168*R168)+(T169*R169)</f>
        <v>0</v>
      </c>
      <c r="U170" s="886">
        <f>SUM(U162:U169)</f>
        <v>0</v>
      </c>
      <c r="V170" s="886">
        <f t="shared" ref="V170:AA170" si="118">SUM(V162:V169)</f>
        <v>0</v>
      </c>
      <c r="W170" s="886">
        <f t="shared" si="118"/>
        <v>0</v>
      </c>
      <c r="X170" s="886">
        <f t="shared" si="118"/>
        <v>0</v>
      </c>
      <c r="Y170" s="886">
        <f t="shared" si="118"/>
        <v>0</v>
      </c>
      <c r="Z170" s="886">
        <f t="shared" si="118"/>
        <v>0</v>
      </c>
      <c r="AA170" s="886">
        <f t="shared" si="118"/>
        <v>0</v>
      </c>
      <c r="AB170" s="19">
        <f>(AB162*AA162)+(AB163*AA163)+(AB164*AA164)+(AB165*AA165)+(AB166*AA166)+(AB167*AA167)+(AB168*AA168)+(AB169*AA169)</f>
        <v>0</v>
      </c>
      <c r="AC170" s="104"/>
      <c r="AE170" s="647" t="str">
        <f t="shared" si="104"/>
        <v/>
      </c>
    </row>
    <row r="171" spans="2:31" ht="15.5" hidden="1" x14ac:dyDescent="0.35">
      <c r="B171" s="93" t="s">
        <v>504</v>
      </c>
      <c r="C171" s="756"/>
      <c r="D171" s="756"/>
      <c r="E171" s="756"/>
      <c r="F171" s="756"/>
      <c r="G171" s="756"/>
      <c r="H171" s="756"/>
      <c r="I171" s="756"/>
      <c r="J171" s="756"/>
      <c r="K171" s="756"/>
      <c r="L171" s="756"/>
      <c r="M171" s="756"/>
      <c r="N171" s="756"/>
      <c r="O171" s="756"/>
      <c r="P171" s="756"/>
      <c r="Q171" s="756"/>
      <c r="R171" s="756"/>
      <c r="S171" s="756"/>
      <c r="T171" s="756"/>
      <c r="U171" s="756"/>
      <c r="V171" s="756"/>
      <c r="W171" s="756"/>
      <c r="X171" s="756"/>
      <c r="Y171" s="756"/>
      <c r="Z171" s="756"/>
      <c r="AA171" s="756"/>
      <c r="AB171" s="756"/>
      <c r="AC171" s="756"/>
      <c r="AE171" s="647" t="str">
        <f t="shared" si="104"/>
        <v/>
      </c>
    </row>
    <row r="172" spans="2:31" ht="15.5" hidden="1" x14ac:dyDescent="0.35">
      <c r="B172" s="94" t="s">
        <v>505</v>
      </c>
      <c r="C172" s="16"/>
      <c r="D172" s="17"/>
      <c r="E172" s="17"/>
      <c r="F172" s="17"/>
      <c r="G172" s="17"/>
      <c r="H172" s="17"/>
      <c r="I172" s="17"/>
      <c r="J172" s="115">
        <f t="shared" ref="J172:J179" si="119">SUM(D172:I172)</f>
        <v>0</v>
      </c>
      <c r="K172" s="112"/>
      <c r="L172" s="17"/>
      <c r="M172" s="17"/>
      <c r="N172" s="17"/>
      <c r="O172" s="17"/>
      <c r="P172" s="17"/>
      <c r="Q172" s="17"/>
      <c r="R172" s="587">
        <f>SUM(L172:Q172)</f>
        <v>0</v>
      </c>
      <c r="S172" s="17">
        <f>+R172-J172</f>
        <v>0</v>
      </c>
      <c r="T172" s="112"/>
      <c r="U172" s="17"/>
      <c r="V172" s="17"/>
      <c r="W172" s="17"/>
      <c r="X172" s="17"/>
      <c r="Y172" s="17"/>
      <c r="Z172" s="17"/>
      <c r="AA172" s="881">
        <f>SUM(U172:Z172)</f>
        <v>0</v>
      </c>
      <c r="AB172" s="112"/>
      <c r="AC172" s="103"/>
      <c r="AE172" s="647" t="str">
        <f t="shared" si="104"/>
        <v/>
      </c>
    </row>
    <row r="173" spans="2:31" ht="15.5" hidden="1" x14ac:dyDescent="0.35">
      <c r="B173" s="94" t="s">
        <v>506</v>
      </c>
      <c r="C173" s="16"/>
      <c r="D173" s="17"/>
      <c r="E173" s="17"/>
      <c r="F173" s="17"/>
      <c r="G173" s="17"/>
      <c r="H173" s="17"/>
      <c r="I173" s="17"/>
      <c r="J173" s="115">
        <f t="shared" si="119"/>
        <v>0</v>
      </c>
      <c r="K173" s="112"/>
      <c r="L173" s="17"/>
      <c r="M173" s="17"/>
      <c r="N173" s="17"/>
      <c r="O173" s="17"/>
      <c r="P173" s="17"/>
      <c r="Q173" s="17"/>
      <c r="R173" s="587">
        <f t="shared" ref="R173:R179" si="120">SUM(L173:Q173)</f>
        <v>0</v>
      </c>
      <c r="S173" s="17">
        <f t="shared" ref="S173:S179" si="121">+R173-J173</f>
        <v>0</v>
      </c>
      <c r="T173" s="112"/>
      <c r="U173" s="17"/>
      <c r="V173" s="17"/>
      <c r="W173" s="17"/>
      <c r="X173" s="17"/>
      <c r="Y173" s="17"/>
      <c r="Z173" s="17"/>
      <c r="AA173" s="881">
        <f t="shared" ref="AA173:AA179" si="122">SUM(U173:Z173)</f>
        <v>0</v>
      </c>
      <c r="AB173" s="112"/>
      <c r="AC173" s="103"/>
      <c r="AE173" s="647" t="str">
        <f t="shared" si="104"/>
        <v/>
      </c>
    </row>
    <row r="174" spans="2:31" ht="15.5" hidden="1" x14ac:dyDescent="0.35">
      <c r="B174" s="94" t="s">
        <v>507</v>
      </c>
      <c r="C174" s="16"/>
      <c r="D174" s="17"/>
      <c r="E174" s="17"/>
      <c r="F174" s="17"/>
      <c r="G174" s="17"/>
      <c r="H174" s="17"/>
      <c r="I174" s="17"/>
      <c r="J174" s="115">
        <f t="shared" si="119"/>
        <v>0</v>
      </c>
      <c r="K174" s="112"/>
      <c r="L174" s="17"/>
      <c r="M174" s="17"/>
      <c r="N174" s="17"/>
      <c r="O174" s="17"/>
      <c r="P174" s="17"/>
      <c r="Q174" s="17"/>
      <c r="R174" s="587">
        <f t="shared" si="120"/>
        <v>0</v>
      </c>
      <c r="S174" s="17">
        <f t="shared" si="121"/>
        <v>0</v>
      </c>
      <c r="T174" s="112"/>
      <c r="U174" s="17"/>
      <c r="V174" s="17"/>
      <c r="W174" s="17"/>
      <c r="X174" s="17"/>
      <c r="Y174" s="17"/>
      <c r="Z174" s="17"/>
      <c r="AA174" s="881">
        <f t="shared" si="122"/>
        <v>0</v>
      </c>
      <c r="AB174" s="112"/>
      <c r="AC174" s="103"/>
      <c r="AE174" s="647" t="str">
        <f t="shared" si="104"/>
        <v/>
      </c>
    </row>
    <row r="175" spans="2:31" ht="15.5" hidden="1" x14ac:dyDescent="0.35">
      <c r="B175" s="94" t="s">
        <v>508</v>
      </c>
      <c r="C175" s="16"/>
      <c r="D175" s="17"/>
      <c r="E175" s="17"/>
      <c r="F175" s="17"/>
      <c r="G175" s="17"/>
      <c r="H175" s="17"/>
      <c r="I175" s="17"/>
      <c r="J175" s="115">
        <f t="shared" si="119"/>
        <v>0</v>
      </c>
      <c r="K175" s="112"/>
      <c r="L175" s="17"/>
      <c r="M175" s="17"/>
      <c r="N175" s="17"/>
      <c r="O175" s="17"/>
      <c r="P175" s="17"/>
      <c r="Q175" s="17"/>
      <c r="R175" s="587">
        <f t="shared" si="120"/>
        <v>0</v>
      </c>
      <c r="S175" s="17">
        <f t="shared" si="121"/>
        <v>0</v>
      </c>
      <c r="T175" s="112"/>
      <c r="U175" s="17"/>
      <c r="V175" s="17"/>
      <c r="W175" s="17"/>
      <c r="X175" s="17"/>
      <c r="Y175" s="17"/>
      <c r="Z175" s="17"/>
      <c r="AA175" s="881">
        <f t="shared" si="122"/>
        <v>0</v>
      </c>
      <c r="AB175" s="112"/>
      <c r="AC175" s="103"/>
      <c r="AE175" s="647" t="str">
        <f t="shared" si="104"/>
        <v/>
      </c>
    </row>
    <row r="176" spans="2:31" ht="15.5" hidden="1" x14ac:dyDescent="0.35">
      <c r="B176" s="94" t="s">
        <v>509</v>
      </c>
      <c r="C176" s="16"/>
      <c r="D176" s="17"/>
      <c r="E176" s="17"/>
      <c r="F176" s="17"/>
      <c r="G176" s="17"/>
      <c r="H176" s="17"/>
      <c r="I176" s="17"/>
      <c r="J176" s="115">
        <f t="shared" si="119"/>
        <v>0</v>
      </c>
      <c r="K176" s="112"/>
      <c r="L176" s="17"/>
      <c r="M176" s="17"/>
      <c r="N176" s="17"/>
      <c r="O176" s="17"/>
      <c r="P176" s="17"/>
      <c r="Q176" s="17"/>
      <c r="R176" s="587">
        <f t="shared" si="120"/>
        <v>0</v>
      </c>
      <c r="S176" s="17">
        <f t="shared" si="121"/>
        <v>0</v>
      </c>
      <c r="T176" s="112"/>
      <c r="U176" s="17"/>
      <c r="V176" s="17"/>
      <c r="W176" s="17"/>
      <c r="X176" s="17"/>
      <c r="Y176" s="17"/>
      <c r="Z176" s="17"/>
      <c r="AA176" s="881">
        <f t="shared" si="122"/>
        <v>0</v>
      </c>
      <c r="AB176" s="112"/>
      <c r="AC176" s="103"/>
      <c r="AE176" s="647" t="str">
        <f t="shared" si="104"/>
        <v/>
      </c>
    </row>
    <row r="177" spans="2:31" ht="15.5" hidden="1" x14ac:dyDescent="0.35">
      <c r="B177" s="94" t="s">
        <v>510</v>
      </c>
      <c r="C177" s="16"/>
      <c r="D177" s="17"/>
      <c r="E177" s="17"/>
      <c r="F177" s="17"/>
      <c r="G177" s="17"/>
      <c r="H177" s="17"/>
      <c r="I177" s="17"/>
      <c r="J177" s="115">
        <f t="shared" si="119"/>
        <v>0</v>
      </c>
      <c r="K177" s="112"/>
      <c r="L177" s="17"/>
      <c r="M177" s="17"/>
      <c r="N177" s="17"/>
      <c r="O177" s="17"/>
      <c r="P177" s="17"/>
      <c r="Q177" s="17"/>
      <c r="R177" s="587">
        <f t="shared" si="120"/>
        <v>0</v>
      </c>
      <c r="S177" s="17">
        <f t="shared" si="121"/>
        <v>0</v>
      </c>
      <c r="T177" s="112"/>
      <c r="U177" s="17"/>
      <c r="V177" s="17"/>
      <c r="W177" s="17"/>
      <c r="X177" s="17"/>
      <c r="Y177" s="17"/>
      <c r="Z177" s="17"/>
      <c r="AA177" s="881">
        <f t="shared" si="122"/>
        <v>0</v>
      </c>
      <c r="AB177" s="112"/>
      <c r="AC177" s="103"/>
      <c r="AE177" s="647" t="str">
        <f t="shared" si="104"/>
        <v/>
      </c>
    </row>
    <row r="178" spans="2:31" ht="15.5" hidden="1" x14ac:dyDescent="0.35">
      <c r="B178" s="94" t="s">
        <v>511</v>
      </c>
      <c r="C178" s="653"/>
      <c r="D178" s="18"/>
      <c r="E178" s="18"/>
      <c r="F178" s="18"/>
      <c r="G178" s="18"/>
      <c r="H178" s="18"/>
      <c r="I178" s="18"/>
      <c r="J178" s="115">
        <f t="shared" si="119"/>
        <v>0</v>
      </c>
      <c r="K178" s="113"/>
      <c r="L178" s="17"/>
      <c r="M178" s="17"/>
      <c r="N178" s="17"/>
      <c r="O178" s="17"/>
      <c r="P178" s="17"/>
      <c r="Q178" s="17"/>
      <c r="R178" s="587">
        <f t="shared" si="120"/>
        <v>0</v>
      </c>
      <c r="S178" s="17">
        <f t="shared" si="121"/>
        <v>0</v>
      </c>
      <c r="T178" s="113"/>
      <c r="U178" s="17"/>
      <c r="V178" s="17"/>
      <c r="W178" s="17"/>
      <c r="X178" s="17"/>
      <c r="Y178" s="17"/>
      <c r="Z178" s="17"/>
      <c r="AA178" s="881">
        <f t="shared" si="122"/>
        <v>0</v>
      </c>
      <c r="AB178" s="113"/>
      <c r="AC178" s="104"/>
      <c r="AE178" s="647" t="str">
        <f t="shared" si="104"/>
        <v/>
      </c>
    </row>
    <row r="179" spans="2:31" ht="15.5" hidden="1" x14ac:dyDescent="0.35">
      <c r="B179" s="94" t="s">
        <v>512</v>
      </c>
      <c r="C179" s="653"/>
      <c r="D179" s="18"/>
      <c r="E179" s="18"/>
      <c r="F179" s="18"/>
      <c r="G179" s="18"/>
      <c r="H179" s="18"/>
      <c r="I179" s="18"/>
      <c r="J179" s="115">
        <f t="shared" si="119"/>
        <v>0</v>
      </c>
      <c r="K179" s="113"/>
      <c r="L179" s="17"/>
      <c r="M179" s="17"/>
      <c r="N179" s="17"/>
      <c r="O179" s="17"/>
      <c r="P179" s="17"/>
      <c r="Q179" s="17"/>
      <c r="R179" s="587">
        <f t="shared" si="120"/>
        <v>0</v>
      </c>
      <c r="S179" s="17">
        <f t="shared" si="121"/>
        <v>0</v>
      </c>
      <c r="T179" s="113"/>
      <c r="U179" s="17"/>
      <c r="V179" s="17"/>
      <c r="W179" s="17"/>
      <c r="X179" s="17"/>
      <c r="Y179" s="17"/>
      <c r="Z179" s="17"/>
      <c r="AA179" s="881">
        <f t="shared" si="122"/>
        <v>0</v>
      </c>
      <c r="AB179" s="113"/>
      <c r="AC179" s="104"/>
      <c r="AE179" s="647" t="str">
        <f t="shared" si="104"/>
        <v/>
      </c>
    </row>
    <row r="180" spans="2:31" ht="15.5" hidden="1" x14ac:dyDescent="0.35">
      <c r="C180" s="95" t="s">
        <v>521</v>
      </c>
      <c r="D180" s="19">
        <f>SUM(D172:D179)</f>
        <v>0</v>
      </c>
      <c r="E180" s="19">
        <f>SUM(E172:E179)</f>
        <v>0</v>
      </c>
      <c r="F180" s="19">
        <f>SUM(F172:F179)</f>
        <v>0</v>
      </c>
      <c r="G180" s="19">
        <f t="shared" ref="G180:I180" si="123">SUM(G172:G179)</f>
        <v>0</v>
      </c>
      <c r="H180" s="19">
        <f t="shared" si="123"/>
        <v>0</v>
      </c>
      <c r="I180" s="19">
        <f t="shared" si="123"/>
        <v>0</v>
      </c>
      <c r="J180" s="19">
        <f>SUM(J172:J179)</f>
        <v>0</v>
      </c>
      <c r="K180" s="19">
        <f>(K172*J172)+(K173*J173)+(K174*J174)+(K175*J175)+(K176*J176)+(K177*J177)+(K178*J178)+(K179*J179)</f>
        <v>0</v>
      </c>
      <c r="L180" s="588">
        <f>SUM(L172:L179)</f>
        <v>0</v>
      </c>
      <c r="M180" s="588">
        <f t="shared" ref="M180:S180" si="124">SUM(M172:M179)</f>
        <v>0</v>
      </c>
      <c r="N180" s="588">
        <f t="shared" si="124"/>
        <v>0</v>
      </c>
      <c r="O180" s="588">
        <f t="shared" si="124"/>
        <v>0</v>
      </c>
      <c r="P180" s="588">
        <f t="shared" si="124"/>
        <v>0</v>
      </c>
      <c r="Q180" s="588">
        <f t="shared" si="124"/>
        <v>0</v>
      </c>
      <c r="R180" s="588">
        <f t="shared" si="124"/>
        <v>0</v>
      </c>
      <c r="S180" s="588">
        <f t="shared" si="124"/>
        <v>0</v>
      </c>
      <c r="T180" s="19">
        <f>(T172*R172)+(T173*R173)+(T174*R174)+(T175*R175)+(T176*R176)+(T177*R177)+(T178*R178)+(T179*R179)</f>
        <v>0</v>
      </c>
      <c r="U180" s="884">
        <f>SUM(U172:U179)</f>
        <v>0</v>
      </c>
      <c r="V180" s="884">
        <f t="shared" ref="V180:AA180" si="125">SUM(V172:V179)</f>
        <v>0</v>
      </c>
      <c r="W180" s="884">
        <f t="shared" si="125"/>
        <v>0</v>
      </c>
      <c r="X180" s="884">
        <f t="shared" si="125"/>
        <v>0</v>
      </c>
      <c r="Y180" s="884">
        <f t="shared" si="125"/>
        <v>0</v>
      </c>
      <c r="Z180" s="884">
        <f t="shared" si="125"/>
        <v>0</v>
      </c>
      <c r="AA180" s="884">
        <f t="shared" si="125"/>
        <v>0</v>
      </c>
      <c r="AB180" s="19">
        <f>(AB172*AA172)+(AB173*AA173)+(AB174*AA174)+(AB175*AA175)+(AB176*AA176)+(AB177*AA177)+(AB178*AA178)+(AB179*AA179)</f>
        <v>0</v>
      </c>
      <c r="AC180" s="104"/>
      <c r="AE180" s="647" t="str">
        <f t="shared" si="104"/>
        <v/>
      </c>
    </row>
    <row r="181" spans="2:31" ht="15.5" hidden="1" x14ac:dyDescent="0.35">
      <c r="B181" s="6"/>
      <c r="C181" s="12"/>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12"/>
      <c r="AE181" s="647" t="str">
        <f t="shared" si="104"/>
        <v/>
      </c>
    </row>
    <row r="182" spans="2:31" ht="15.5" x14ac:dyDescent="0.35">
      <c r="B182" s="6"/>
      <c r="C182" s="12"/>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12"/>
      <c r="AE182" s="647" t="str">
        <f t="shared" si="104"/>
        <v/>
      </c>
    </row>
    <row r="183" spans="2:31" ht="75.75" customHeight="1" x14ac:dyDescent="0.35">
      <c r="B183" s="95" t="s">
        <v>513</v>
      </c>
      <c r="C183" s="15"/>
      <c r="D183" s="31">
        <v>180000</v>
      </c>
      <c r="E183" s="31">
        <v>50000</v>
      </c>
      <c r="F183" s="31">
        <v>50000</v>
      </c>
      <c r="G183" s="31">
        <v>188910.43502824858</v>
      </c>
      <c r="H183" s="31">
        <v>50000</v>
      </c>
      <c r="I183" s="31">
        <v>45715.072500000002</v>
      </c>
      <c r="J183" s="106">
        <f>SUM(D183:I183)</f>
        <v>564625.50752824859</v>
      </c>
      <c r="K183" s="114">
        <v>0.3</v>
      </c>
      <c r="L183" s="671">
        <v>336448.5981308411</v>
      </c>
      <c r="M183" s="671">
        <v>100000</v>
      </c>
      <c r="N183" s="671">
        <v>100000</v>
      </c>
      <c r="O183" s="671">
        <f>188910.435028249+179170</f>
        <v>368080.43502824899</v>
      </c>
      <c r="P183" s="671">
        <v>109407</v>
      </c>
      <c r="Q183" s="671">
        <f>45715.0725+46191.93</f>
        <v>91907.002500000002</v>
      </c>
      <c r="R183" s="590">
        <f>SUM(L183:Q183)</f>
        <v>1105843.0356590899</v>
      </c>
      <c r="S183" s="31">
        <f>+R183-J183</f>
        <v>541217.52813084133</v>
      </c>
      <c r="T183" s="114">
        <v>0.3</v>
      </c>
      <c r="U183" s="890">
        <v>190486.93</v>
      </c>
      <c r="V183" s="890">
        <v>72646.009999999995</v>
      </c>
      <c r="W183" s="890">
        <v>48824.26</v>
      </c>
      <c r="X183" s="890">
        <v>141902.37</v>
      </c>
      <c r="Y183" s="890">
        <v>51499</v>
      </c>
      <c r="Z183" s="882">
        <v>77304</v>
      </c>
      <c r="AA183" s="893">
        <f t="shared" ref="AA183:AA188" si="126">SUM(U183:Z183)</f>
        <v>582662.57000000007</v>
      </c>
      <c r="AB183" s="882">
        <f t="shared" ref="AB183:AB188" si="127">AA183*T183</f>
        <v>174798.77100000001</v>
      </c>
      <c r="AC183" s="108"/>
      <c r="AE183" s="647">
        <f t="shared" si="104"/>
        <v>0.95854246914936592</v>
      </c>
    </row>
    <row r="184" spans="2:31" ht="46.5" x14ac:dyDescent="0.35">
      <c r="B184" s="95" t="s">
        <v>514</v>
      </c>
      <c r="C184" s="15"/>
      <c r="D184" s="31">
        <v>24789</v>
      </c>
      <c r="E184" s="31">
        <v>23455</v>
      </c>
      <c r="F184" s="31">
        <v>23455</v>
      </c>
      <c r="G184" s="31">
        <v>30423.333333333336</v>
      </c>
      <c r="H184" s="31">
        <v>25500</v>
      </c>
      <c r="I184" s="31">
        <v>38392.333333333336</v>
      </c>
      <c r="J184" s="106">
        <f>SUM(D184:I184)</f>
        <v>166014.66666666669</v>
      </c>
      <c r="K184" s="114">
        <v>0.3</v>
      </c>
      <c r="L184" s="671">
        <v>72827.102803738308</v>
      </c>
      <c r="M184" s="671">
        <v>60245</v>
      </c>
      <c r="N184" s="671">
        <v>60245</v>
      </c>
      <c r="O184" s="671">
        <f>30423.3333333333+74937.678</f>
        <v>105361.0113333333</v>
      </c>
      <c r="P184" s="671">
        <v>45500</v>
      </c>
      <c r="Q184" s="671">
        <f>38392.3333333333+36868.8176635514</f>
        <v>75261.150996884709</v>
      </c>
      <c r="R184" s="590">
        <f t="shared" ref="R184:R188" si="128">SUM(L184:Q184)</f>
        <v>419439.26513395633</v>
      </c>
      <c r="S184" s="31">
        <f t="shared" ref="S184:S188" si="129">+R184-J184</f>
        <v>253424.59846728964</v>
      </c>
      <c r="T184" s="114">
        <v>0.3</v>
      </c>
      <c r="U184" s="890">
        <v>32767</v>
      </c>
      <c r="V184" s="890">
        <v>21888.2</v>
      </c>
      <c r="W184" s="890">
        <v>20338.09</v>
      </c>
      <c r="X184" s="890">
        <v>39408.720000000001</v>
      </c>
      <c r="Y184" s="31">
        <v>40000</v>
      </c>
      <c r="Z184" s="882">
        <v>35500</v>
      </c>
      <c r="AA184" s="893">
        <f t="shared" si="126"/>
        <v>189902.01</v>
      </c>
      <c r="AB184" s="882">
        <f t="shared" si="127"/>
        <v>56970.603000000003</v>
      </c>
      <c r="AC184" s="108"/>
      <c r="AE184" s="647">
        <f t="shared" si="104"/>
        <v>1.5265193344400672</v>
      </c>
    </row>
    <row r="185" spans="2:31" ht="15.5" x14ac:dyDescent="0.35">
      <c r="B185" s="781" t="s">
        <v>515</v>
      </c>
      <c r="C185" s="109" t="s">
        <v>938</v>
      </c>
      <c r="D185" s="31">
        <v>23388.66</v>
      </c>
      <c r="E185" s="31">
        <v>27305.279999999999</v>
      </c>
      <c r="F185" s="31">
        <v>27305.279999999999</v>
      </c>
      <c r="G185" s="31">
        <v>40000</v>
      </c>
      <c r="H185" s="31">
        <v>21893.747663551403</v>
      </c>
      <c r="I185" s="31">
        <v>15000</v>
      </c>
      <c r="J185" s="106">
        <f>SUM(D185:I185)</f>
        <v>154892.96766355139</v>
      </c>
      <c r="K185" s="114">
        <v>0.3</v>
      </c>
      <c r="L185" s="671">
        <v>65000</v>
      </c>
      <c r="M185" s="671">
        <v>45500</v>
      </c>
      <c r="N185" s="671">
        <v>45500</v>
      </c>
      <c r="O185" s="671">
        <f>40000+40088</f>
        <v>80088</v>
      </c>
      <c r="P185" s="671">
        <f>28955</f>
        <v>28955</v>
      </c>
      <c r="Q185" s="671">
        <f>15000+15000</f>
        <v>30000</v>
      </c>
      <c r="R185" s="590">
        <f t="shared" si="128"/>
        <v>295043</v>
      </c>
      <c r="S185" s="31">
        <f t="shared" si="129"/>
        <v>140150.03233644861</v>
      </c>
      <c r="T185" s="114">
        <v>0.3</v>
      </c>
      <c r="U185" s="890">
        <v>27807.5</v>
      </c>
      <c r="V185" s="890">
        <v>27305.279999999999</v>
      </c>
      <c r="W185" s="890">
        <v>27305.279999999999</v>
      </c>
      <c r="X185" s="890">
        <v>30000</v>
      </c>
      <c r="Y185" s="890">
        <v>12806</v>
      </c>
      <c r="Z185" s="882">
        <v>31677.747663551399</v>
      </c>
      <c r="AA185" s="893">
        <f t="shared" si="126"/>
        <v>156901.80766355139</v>
      </c>
      <c r="AB185" s="882">
        <f t="shared" si="127"/>
        <v>47070.542299065411</v>
      </c>
      <c r="AC185" s="108"/>
      <c r="AE185" s="647">
        <f t="shared" si="104"/>
        <v>0.90481856245968217</v>
      </c>
    </row>
    <row r="186" spans="2:31" ht="15.5" x14ac:dyDescent="0.35">
      <c r="B186" s="782"/>
      <c r="C186" s="109" t="s">
        <v>939</v>
      </c>
      <c r="D186" s="31"/>
      <c r="E186" s="31"/>
      <c r="F186" s="31"/>
      <c r="G186" s="31"/>
      <c r="H186" s="31"/>
      <c r="I186" s="31"/>
      <c r="J186" s="106"/>
      <c r="K186" s="114"/>
      <c r="L186" s="671"/>
      <c r="M186" s="671"/>
      <c r="N186" s="671"/>
      <c r="O186" s="715">
        <v>36000</v>
      </c>
      <c r="P186" s="671"/>
      <c r="Q186" s="671"/>
      <c r="R186" s="590">
        <f t="shared" si="128"/>
        <v>36000</v>
      </c>
      <c r="S186" s="31">
        <f t="shared" si="129"/>
        <v>36000</v>
      </c>
      <c r="T186" s="114">
        <v>0.5</v>
      </c>
      <c r="U186" s="890">
        <v>10000</v>
      </c>
      <c r="V186" s="890">
        <v>5000</v>
      </c>
      <c r="W186" s="890">
        <v>5000</v>
      </c>
      <c r="X186" s="890">
        <v>11000</v>
      </c>
      <c r="Y186" s="882">
        <v>12500</v>
      </c>
      <c r="Z186" s="882">
        <v>25667</v>
      </c>
      <c r="AA186" s="893">
        <f t="shared" si="126"/>
        <v>69167</v>
      </c>
      <c r="AB186" s="882">
        <f t="shared" si="127"/>
        <v>34583.5</v>
      </c>
      <c r="AC186" s="108"/>
      <c r="AE186" s="647"/>
    </row>
    <row r="187" spans="2:31" ht="15.5" x14ac:dyDescent="0.35">
      <c r="B187" s="673" t="s">
        <v>932</v>
      </c>
      <c r="C187" s="109"/>
      <c r="D187" s="31"/>
      <c r="E187" s="31"/>
      <c r="F187" s="31"/>
      <c r="G187" s="31"/>
      <c r="H187" s="31"/>
      <c r="I187" s="31"/>
      <c r="J187" s="106"/>
      <c r="K187" s="114"/>
      <c r="L187" s="671">
        <v>10000</v>
      </c>
      <c r="M187" s="671">
        <v>5000</v>
      </c>
      <c r="N187" s="671">
        <v>5000</v>
      </c>
      <c r="O187" s="676"/>
      <c r="P187" s="31">
        <v>0</v>
      </c>
      <c r="Q187" s="671">
        <v>0</v>
      </c>
      <c r="R187" s="590">
        <f t="shared" si="128"/>
        <v>20000</v>
      </c>
      <c r="S187" s="31"/>
      <c r="T187" s="114"/>
      <c r="U187" s="671"/>
      <c r="V187" s="671"/>
      <c r="W187" s="671"/>
      <c r="X187" s="676"/>
      <c r="Y187" s="31"/>
      <c r="Z187" s="671"/>
      <c r="AA187" s="893">
        <f t="shared" si="126"/>
        <v>0</v>
      </c>
      <c r="AB187" s="882">
        <f t="shared" si="127"/>
        <v>0</v>
      </c>
      <c r="AC187" s="108"/>
      <c r="AE187" s="647"/>
    </row>
    <row r="188" spans="2:31" ht="47.5" customHeight="1" x14ac:dyDescent="0.35">
      <c r="B188" s="110" t="s">
        <v>516</v>
      </c>
      <c r="C188" s="15"/>
      <c r="D188" s="31">
        <v>10000</v>
      </c>
      <c r="E188" s="31">
        <v>5000</v>
      </c>
      <c r="F188" s="31">
        <v>5000</v>
      </c>
      <c r="G188" s="31">
        <v>11000</v>
      </c>
      <c r="H188" s="31">
        <v>16667</v>
      </c>
      <c r="I188" s="31">
        <v>12500</v>
      </c>
      <c r="J188" s="106">
        <f>SUM(D188:I188)</f>
        <v>60167</v>
      </c>
      <c r="K188" s="114">
        <v>0.3</v>
      </c>
      <c r="L188" s="719">
        <v>10000</v>
      </c>
      <c r="M188" s="719">
        <v>5000</v>
      </c>
      <c r="N188" s="719">
        <v>5000</v>
      </c>
      <c r="O188" s="671">
        <f>11000+35000</f>
        <v>46000</v>
      </c>
      <c r="P188" s="671">
        <v>25000</v>
      </c>
      <c r="Q188" s="671">
        <f>12500+12500</f>
        <v>25000</v>
      </c>
      <c r="R188" s="590">
        <f t="shared" si="128"/>
        <v>116000</v>
      </c>
      <c r="S188" s="31">
        <f t="shared" si="129"/>
        <v>55833</v>
      </c>
      <c r="T188" s="114">
        <v>0.3</v>
      </c>
      <c r="U188" s="719"/>
      <c r="V188" s="719"/>
      <c r="W188" s="719"/>
      <c r="X188" s="671"/>
      <c r="Y188" s="671"/>
      <c r="Z188" s="671"/>
      <c r="AA188" s="893">
        <f t="shared" si="126"/>
        <v>0</v>
      </c>
      <c r="AB188" s="882">
        <f t="shared" si="127"/>
        <v>0</v>
      </c>
      <c r="AC188" s="108"/>
      <c r="AE188" s="647">
        <f t="shared" si="104"/>
        <v>0.9279671580766865</v>
      </c>
    </row>
    <row r="189" spans="2:31" ht="15.5" x14ac:dyDescent="0.35">
      <c r="B189" s="6"/>
      <c r="C189" s="111" t="s">
        <v>522</v>
      </c>
      <c r="D189" s="116">
        <f>SUM(D183:D188)</f>
        <v>238177.66</v>
      </c>
      <c r="E189" s="116">
        <f>SUM(E183:E188)</f>
        <v>105760.28</v>
      </c>
      <c r="F189" s="116">
        <f>SUM(F183:F188)</f>
        <v>105760.28</v>
      </c>
      <c r="G189" s="116">
        <f>SUM(G183:G188)</f>
        <v>270333.76836158196</v>
      </c>
      <c r="H189" s="116">
        <f t="shared" ref="H189" si="130">SUM(H183:H188)</f>
        <v>114060.7476635514</v>
      </c>
      <c r="I189" s="116">
        <f>SUM(I183:I188)</f>
        <v>111607.40583333334</v>
      </c>
      <c r="J189" s="116">
        <f>SUM(J183:J188)</f>
        <v>945700.14185846667</v>
      </c>
      <c r="K189" s="19">
        <f>(K179*J179)+(K180*J180)+(K181*J181)+(K182*J182)+(K183*J183)+(K184*J184)+(K185*J185)+(K188*J188)</f>
        <v>283710.04255754</v>
      </c>
      <c r="L189" s="591">
        <f>SUM(L183:L188)</f>
        <v>494275.70093457942</v>
      </c>
      <c r="M189" s="591">
        <f>SUM(M183:M188)</f>
        <v>215745</v>
      </c>
      <c r="N189" s="591">
        <f>SUM(N183:N188)</f>
        <v>215745</v>
      </c>
      <c r="O189" s="591">
        <f t="shared" ref="O189:S189" si="131">SUM(O183:O188)</f>
        <v>635529.44636158226</v>
      </c>
      <c r="P189" s="591">
        <f t="shared" si="131"/>
        <v>208862</v>
      </c>
      <c r="Q189" s="591">
        <f>SUM(Q183:Q188)</f>
        <v>222168.15349688471</v>
      </c>
      <c r="R189" s="591">
        <f>SUM(R183:R188)</f>
        <v>1992325.3007930461</v>
      </c>
      <c r="S189" s="591">
        <f t="shared" si="131"/>
        <v>1026625.1589345795</v>
      </c>
      <c r="T189" s="19">
        <f>(T179*R179)+(T180*R180)+(T181*R181)+(T182*R182)+(T183*R183)+(T184*R184)+(T185*R185)+ (T186*S186)+(T188*R188)</f>
        <v>598897.59023791389</v>
      </c>
      <c r="U189" s="894">
        <f t="shared" ref="U189:AA189" si="132">SUM(U183:U188)</f>
        <v>261061.43</v>
      </c>
      <c r="V189" s="894">
        <f t="shared" si="132"/>
        <v>126839.48999999999</v>
      </c>
      <c r="W189" s="894">
        <f t="shared" si="132"/>
        <v>101467.63</v>
      </c>
      <c r="X189" s="894">
        <f t="shared" si="132"/>
        <v>222311.09</v>
      </c>
      <c r="Y189" s="894">
        <f t="shared" si="132"/>
        <v>116805</v>
      </c>
      <c r="Z189" s="894">
        <f t="shared" si="132"/>
        <v>170148.74766355139</v>
      </c>
      <c r="AA189" s="894">
        <f t="shared" si="132"/>
        <v>998633.38766355149</v>
      </c>
      <c r="AB189" s="19">
        <f>SUM(AB183:AB188)</f>
        <v>313423.4162990654</v>
      </c>
      <c r="AC189" s="15"/>
      <c r="AE189" s="647">
        <f t="shared" si="104"/>
        <v>1.085571539533748</v>
      </c>
    </row>
    <row r="190" spans="2:31" ht="15.5" x14ac:dyDescent="0.35">
      <c r="B190" s="6"/>
      <c r="C190" s="12"/>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12"/>
    </row>
    <row r="191" spans="2:31" ht="15.5" x14ac:dyDescent="0.35">
      <c r="B191" s="6"/>
      <c r="C191" s="12"/>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12"/>
    </row>
    <row r="192" spans="2:31" ht="15.5" x14ac:dyDescent="0.35">
      <c r="B192" s="6"/>
      <c r="C192" s="12"/>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895"/>
      <c r="AC192" s="12"/>
    </row>
    <row r="193" spans="2:32" ht="15.5" x14ac:dyDescent="0.35">
      <c r="B193" s="6"/>
      <c r="C193" s="12"/>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896"/>
      <c r="AC193" s="12"/>
    </row>
    <row r="194" spans="2:32" ht="15.5" x14ac:dyDescent="0.35">
      <c r="B194" s="6"/>
      <c r="C194" s="12"/>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12"/>
    </row>
    <row r="195" spans="2:32" ht="15.5" x14ac:dyDescent="0.35">
      <c r="B195" s="6"/>
      <c r="C195" s="12"/>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12"/>
    </row>
    <row r="196" spans="2:32" ht="16" thickBot="1" x14ac:dyDescent="0.4">
      <c r="B196" s="6"/>
      <c r="C196" s="12"/>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spans="2:32" ht="15.5" x14ac:dyDescent="0.35">
      <c r="B197" s="6"/>
      <c r="C197" s="759" t="s">
        <v>536</v>
      </c>
      <c r="D197" s="760"/>
      <c r="E197" s="760"/>
      <c r="F197" s="760"/>
      <c r="G197" s="760"/>
      <c r="H197" s="760"/>
      <c r="I197" s="760"/>
      <c r="J197" s="761"/>
      <c r="K197" s="14"/>
      <c r="L197" s="762">
        <f ca="1">L197:O197</f>
        <v>0</v>
      </c>
      <c r="M197" s="763"/>
      <c r="N197" s="763"/>
      <c r="O197" s="763"/>
      <c r="P197" s="763"/>
      <c r="Q197" s="763"/>
      <c r="R197" s="764"/>
      <c r="S197" s="23"/>
      <c r="T197" s="23"/>
      <c r="U197" s="897">
        <f ca="1">U197:X197</f>
        <v>0</v>
      </c>
      <c r="V197" s="898"/>
      <c r="W197" s="898"/>
      <c r="X197" s="898"/>
      <c r="Y197" s="898"/>
      <c r="Z197" s="898"/>
      <c r="AA197" s="899"/>
      <c r="AB197" s="23"/>
      <c r="AC197" s="23"/>
    </row>
    <row r="198" spans="2:32" ht="31" x14ac:dyDescent="0.35">
      <c r="B198" s="6"/>
      <c r="C198" s="786"/>
      <c r="D198" s="19" t="s">
        <v>525</v>
      </c>
      <c r="E198" s="19" t="s">
        <v>526</v>
      </c>
      <c r="F198" s="19" t="s">
        <v>527</v>
      </c>
      <c r="G198" s="19" t="s">
        <v>622</v>
      </c>
      <c r="H198" s="19" t="s">
        <v>623</v>
      </c>
      <c r="I198" s="19" t="s">
        <v>624</v>
      </c>
      <c r="J198" s="788" t="s">
        <v>13</v>
      </c>
      <c r="K198" s="12"/>
      <c r="L198" s="596"/>
      <c r="M198" s="588" t="s">
        <v>526</v>
      </c>
      <c r="N198" s="588" t="s">
        <v>527</v>
      </c>
      <c r="O198" s="588" t="s">
        <v>622</v>
      </c>
      <c r="P198" s="588" t="s">
        <v>623</v>
      </c>
      <c r="Q198" s="588" t="s">
        <v>624</v>
      </c>
      <c r="R198" s="752" t="s">
        <v>13</v>
      </c>
      <c r="S198" s="23"/>
      <c r="T198" s="23"/>
      <c r="U198" s="900"/>
      <c r="V198" s="884" t="s">
        <v>526</v>
      </c>
      <c r="W198" s="884" t="s">
        <v>527</v>
      </c>
      <c r="X198" s="884" t="s">
        <v>622</v>
      </c>
      <c r="Y198" s="884" t="s">
        <v>623</v>
      </c>
      <c r="Z198" s="884" t="s">
        <v>624</v>
      </c>
      <c r="AA198" s="901" t="s">
        <v>13</v>
      </c>
      <c r="AB198" s="23"/>
      <c r="AC198" s="23"/>
    </row>
    <row r="199" spans="2:32" ht="15.5" x14ac:dyDescent="0.35">
      <c r="B199" s="6"/>
      <c r="C199" s="787"/>
      <c r="D199" s="99" t="str">
        <f>D14</f>
        <v>OIM BURKINA FASO</v>
      </c>
      <c r="E199" s="99" t="str">
        <f>E14</f>
        <v>OIM NIGER</v>
      </c>
      <c r="F199" s="99" t="str">
        <f>F14</f>
        <v>OIM MALI</v>
      </c>
      <c r="G199" s="99" t="s">
        <v>658</v>
      </c>
      <c r="H199" s="99" t="s">
        <v>659</v>
      </c>
      <c r="I199" s="99" t="s">
        <v>660</v>
      </c>
      <c r="J199" s="789"/>
      <c r="K199" s="12"/>
      <c r="L199" s="597" t="str">
        <f>L14</f>
        <v>OIM BURKINA FASO</v>
      </c>
      <c r="M199" s="592" t="str">
        <f>M14</f>
        <v>OIM NIGER</v>
      </c>
      <c r="N199" s="592" t="str">
        <f>N14</f>
        <v>OIM MALI</v>
      </c>
      <c r="O199" s="593" t="s">
        <v>658</v>
      </c>
      <c r="P199" s="593" t="s">
        <v>659</v>
      </c>
      <c r="Q199" s="593" t="s">
        <v>660</v>
      </c>
      <c r="R199" s="753"/>
      <c r="S199" s="23"/>
      <c r="T199" s="23"/>
      <c r="U199" s="902" t="str">
        <f>U14</f>
        <v>OIM BURKINA FASO</v>
      </c>
      <c r="V199" s="903" t="str">
        <f>V14</f>
        <v>OIM NIGER</v>
      </c>
      <c r="W199" s="903" t="str">
        <f>W14</f>
        <v>OIM MALI</v>
      </c>
      <c r="X199" s="904" t="s">
        <v>658</v>
      </c>
      <c r="Y199" s="904" t="s">
        <v>955</v>
      </c>
      <c r="Z199" s="904" t="s">
        <v>956</v>
      </c>
      <c r="AA199" s="905"/>
      <c r="AB199" s="23"/>
      <c r="AC199" s="23"/>
    </row>
    <row r="200" spans="2:32" ht="15.5" x14ac:dyDescent="0.35">
      <c r="B200" s="24"/>
      <c r="C200" s="566" t="s">
        <v>523</v>
      </c>
      <c r="D200" s="562">
        <f t="shared" ref="D200:I200" si="133">SUM(D25,D35,D45,D55,D69,D79,D84,D94,D111,D123,D133,D143,D150,D160,D170,D180,D183,D184,D185,D188)</f>
        <v>620747.66</v>
      </c>
      <c r="E200" s="562">
        <f t="shared" si="133"/>
        <v>343831.78</v>
      </c>
      <c r="F200" s="562">
        <f t="shared" si="133"/>
        <v>343831.78</v>
      </c>
      <c r="G200" s="562">
        <f t="shared" si="133"/>
        <v>654205.55086625495</v>
      </c>
      <c r="H200" s="562">
        <f t="shared" si="133"/>
        <v>420560.74766355142</v>
      </c>
      <c r="I200" s="562">
        <f t="shared" si="133"/>
        <v>420560.74327555206</v>
      </c>
      <c r="J200" s="567">
        <f>SUM(D200:I200)</f>
        <v>2803738.2618053588</v>
      </c>
      <c r="K200" s="568"/>
      <c r="L200" s="685">
        <f>SUM(L25,L35,L45,L55,L69,L79,L84,L94,L111,L123,L133,L143,L150,L160,L170,L180,L183,L184,L185,L187,L188)</f>
        <v>1241495.3271028036</v>
      </c>
      <c r="M200" s="674">
        <f>SUM(M25,M35,M45,M55,M69,M79,M84,M94,M111,M123,M133,M143,M150,M160,M170,M180,M183,M184,M185,M187,M188)</f>
        <v>687663.55140186916</v>
      </c>
      <c r="N200" s="674">
        <f>SUM(N25,N35,N45,N55,N69,N79,N84,N94,N111,N123,N133,N143,N150,N160,N170,N180,N183,N184,N185,N187,N188)</f>
        <v>687663.55140186916</v>
      </c>
      <c r="O200" s="674">
        <f>SUM(O25,O35,O45,O55,O69,O79,O84,O94,O111,O123,O133,O143,O150,O160,O170,O180,O183,O184,O185,O186,O188)</f>
        <v>1308411.2288662554</v>
      </c>
      <c r="P200" s="674">
        <f>SUM(P25,P35,P45,P55,P69,P79,P84,P94,P111,P123,P133,P143,P150,P160,P170,P180,P183,P184,P185,P188)</f>
        <v>841121.6</v>
      </c>
      <c r="Q200" s="674">
        <f>SUM(Q25,Q35,Q45,Q55,Q69,Q79,Q84,Q94,Q111,Q123,Q133,Q143,Q150,Q160,Q170,Q180,Q183,Q184,Q185,Q188)</f>
        <v>841121.49093910342</v>
      </c>
      <c r="R200" s="594">
        <f>SUM(L200:Q200)</f>
        <v>5607476.7497119</v>
      </c>
      <c r="S200" s="23"/>
      <c r="T200" s="23"/>
      <c r="U200" s="906">
        <f>SUM(U25,U35,U45,U55,U69,U79,U84,U94,U111,U123,U133,U143,U150,U160,U170,U180,U183,U184,U185,U186,U187,U188)</f>
        <v>636022.52</v>
      </c>
      <c r="V200" s="906">
        <f>SUM(V25,V35,V45,V55,V69,V79,V84,V94,V111,V123,V133,V143,V150,V160,V170,V180,V183,V184,V185,V186,V187,V188)</f>
        <v>334648.07999999996</v>
      </c>
      <c r="W200" s="906">
        <f>SUM(W25,W35,W45,W55,W69,W79,W84,W94,W111,W123,W133,W143,W150,W160,W170,W180,W183,W184,W185,W186,W187,W188)</f>
        <v>337535.5</v>
      </c>
      <c r="X200" s="907">
        <f>SUM(X25,X35,X45,X55,X69,X79,X84,X94,X111,X123,X133,X143,X150,X160,X170,X180,X183,X184,X185,X186,X188)</f>
        <v>659700.75</v>
      </c>
      <c r="Y200" s="907">
        <f>SUM(Y25,Y35,Y45,Y55,Y69,Y79,Y84,Y94,Y111,Y123,Y133,Y143,Y150,Y160,Y170,Y180,Y183,Y184,Y185,Y186,Y188)</f>
        <v>381765.09090909088</v>
      </c>
      <c r="Z200" s="907">
        <f>SUM(Z25,Z35,Z45,Z55,Z69,Z79,Z84,Z94,Z111,Z123,Z133,Z143,Z150,Z160,Z170,Z180,Z183,Z184,Z185,Z186,Z188)</f>
        <v>426168.23311809689</v>
      </c>
      <c r="AA200" s="908">
        <f>SUM(U200:Z200)</f>
        <v>2775840.1740271877</v>
      </c>
      <c r="AB200" s="23"/>
      <c r="AC200" s="23"/>
    </row>
    <row r="201" spans="2:32" ht="15.5" x14ac:dyDescent="0.35">
      <c r="B201" s="4"/>
      <c r="C201" s="566" t="s">
        <v>524</v>
      </c>
      <c r="D201" s="562">
        <f>D200*0.07</f>
        <v>43452.336200000005</v>
      </c>
      <c r="E201" s="562">
        <f>E200*0.07</f>
        <v>24068.224600000005</v>
      </c>
      <c r="F201" s="562">
        <f>F200*0.07</f>
        <v>24068.224600000005</v>
      </c>
      <c r="G201" s="562">
        <f>G200*0.07</f>
        <v>45794.388560637854</v>
      </c>
      <c r="H201" s="562">
        <f t="shared" ref="H201:I201" si="134">H200*0.07</f>
        <v>29439.252336448601</v>
      </c>
      <c r="I201" s="562">
        <f t="shared" si="134"/>
        <v>29439.252029288647</v>
      </c>
      <c r="J201" s="567">
        <f>J200*0.07</f>
        <v>196261.67832637514</v>
      </c>
      <c r="K201" s="569"/>
      <c r="L201" s="685">
        <f>L200*0.07</f>
        <v>86904.672897196258</v>
      </c>
      <c r="M201" s="674">
        <f>M200*0.07</f>
        <v>48136.448598130846</v>
      </c>
      <c r="N201" s="674">
        <f>N200*0.07</f>
        <v>48136.448598130846</v>
      </c>
      <c r="O201" s="674">
        <f>O200*0.07</f>
        <v>91588.786020637883</v>
      </c>
      <c r="P201" s="674">
        <f t="shared" ref="P201:Q201" si="135">P200*0.07</f>
        <v>58878.512000000002</v>
      </c>
      <c r="Q201" s="674">
        <f t="shared" si="135"/>
        <v>58878.504365737244</v>
      </c>
      <c r="R201" s="594">
        <f>R200*0.07</f>
        <v>392523.37247983302</v>
      </c>
      <c r="S201" s="23"/>
      <c r="T201" s="23"/>
      <c r="U201" s="906">
        <f>U200*0.07</f>
        <v>44521.576400000005</v>
      </c>
      <c r="V201" s="907">
        <f>V200*0.07</f>
        <v>23425.365600000001</v>
      </c>
      <c r="W201" s="907">
        <f>W200*0.07</f>
        <v>23627.485000000001</v>
      </c>
      <c r="X201" s="907">
        <v>40299</v>
      </c>
      <c r="Y201" s="907">
        <v>24673</v>
      </c>
      <c r="Z201" s="907">
        <v>23831.72</v>
      </c>
      <c r="AA201" s="908">
        <f>SUM(U201:Z201)</f>
        <v>180378.14700000003</v>
      </c>
      <c r="AB201" s="23"/>
      <c r="AC201" s="23"/>
    </row>
    <row r="202" spans="2:32" ht="16" thickBot="1" x14ac:dyDescent="0.4">
      <c r="B202" s="4"/>
      <c r="C202" s="570" t="s">
        <v>13</v>
      </c>
      <c r="D202" s="550">
        <f>SUM(D200:D201)</f>
        <v>664199.99620000005</v>
      </c>
      <c r="E202" s="550">
        <f>SUM(E200:E201)</f>
        <v>367900.00460000004</v>
      </c>
      <c r="F202" s="550">
        <f>SUM(F200:F201)</f>
        <v>367900.00460000004</v>
      </c>
      <c r="G202" s="550">
        <f>SUM(G200:G201)</f>
        <v>699999.93942689279</v>
      </c>
      <c r="H202" s="550">
        <f t="shared" ref="H202:I202" si="136">SUM(H200:H201)</f>
        <v>450000</v>
      </c>
      <c r="I202" s="550">
        <f t="shared" si="136"/>
        <v>449999.99530484073</v>
      </c>
      <c r="J202" s="571">
        <f>SUM(J200:J201)</f>
        <v>2999999.9401317341</v>
      </c>
      <c r="K202" s="569"/>
      <c r="L202" s="686">
        <f>SUM(L200:L201)</f>
        <v>1328400</v>
      </c>
      <c r="M202" s="686">
        <f>SUM(M200:M201)</f>
        <v>735800</v>
      </c>
      <c r="N202" s="686">
        <f t="shared" ref="N202" si="137">SUM(N200:N201)</f>
        <v>735800</v>
      </c>
      <c r="O202" s="675">
        <f>SUM(O200:O201)</f>
        <v>1400000.0148868933</v>
      </c>
      <c r="P202" s="675">
        <f t="shared" ref="P202:Q202" si="138">SUM(P200:P201)</f>
        <v>900000.11199999996</v>
      </c>
      <c r="Q202" s="675">
        <f t="shared" si="138"/>
        <v>899999.99530484062</v>
      </c>
      <c r="R202" s="595">
        <f>SUM(R200:R201)</f>
        <v>6000000.1221917327</v>
      </c>
      <c r="S202" s="23"/>
      <c r="T202" s="23"/>
      <c r="U202" s="909">
        <f t="shared" ref="U202:Z202" si="139">SUM(U200:U201)</f>
        <v>680544.09640000004</v>
      </c>
      <c r="V202" s="909">
        <f t="shared" si="139"/>
        <v>358073.44559999998</v>
      </c>
      <c r="W202" s="909">
        <f t="shared" si="139"/>
        <v>361162.98499999999</v>
      </c>
      <c r="X202" s="910">
        <f t="shared" si="139"/>
        <v>699999.75</v>
      </c>
      <c r="Y202" s="910">
        <f t="shared" si="139"/>
        <v>406438.09090909088</v>
      </c>
      <c r="Z202" s="910">
        <f t="shared" si="139"/>
        <v>449999.95311809692</v>
      </c>
      <c r="AA202" s="911">
        <f>SUM(AA200:AA201)</f>
        <v>2956218.3210271876</v>
      </c>
      <c r="AB202" s="23"/>
      <c r="AC202" s="23"/>
    </row>
    <row r="203" spans="2:32" ht="15.5" x14ac:dyDescent="0.35">
      <c r="B203" s="4"/>
      <c r="C203" s="572"/>
      <c r="D203" s="572"/>
      <c r="E203" s="572"/>
      <c r="F203" s="572"/>
      <c r="G203" s="572"/>
      <c r="H203" s="572"/>
      <c r="I203" s="572"/>
      <c r="J203" s="572"/>
      <c r="K203" s="572"/>
      <c r="L203" s="572"/>
      <c r="M203" s="572"/>
      <c r="N203" s="572"/>
      <c r="O203" s="572"/>
      <c r="P203" s="572"/>
      <c r="Q203" s="572"/>
      <c r="R203" s="572"/>
      <c r="S203" s="572"/>
      <c r="T203" s="572"/>
      <c r="U203" s="912">
        <f t="shared" ref="U203:Z203" si="140">+U202/M202</f>
        <v>0.92490363740146786</v>
      </c>
      <c r="V203" s="912">
        <f t="shared" si="140"/>
        <v>0.48664507420494696</v>
      </c>
      <c r="W203" s="912">
        <f t="shared" si="140"/>
        <v>0.25797355797112509</v>
      </c>
      <c r="X203" s="912">
        <f t="shared" si="140"/>
        <v>0.77777740320992317</v>
      </c>
      <c r="Y203" s="912">
        <f t="shared" si="140"/>
        <v>0.45159788114379434</v>
      </c>
      <c r="Z203" s="912">
        <f t="shared" si="140"/>
        <v>7.499999065895302E-2</v>
      </c>
      <c r="AA203" s="913">
        <f>+AA202/R202</f>
        <v>0.49270304347049149</v>
      </c>
      <c r="AB203" s="572"/>
      <c r="AC203" s="3"/>
      <c r="AE203" s="548"/>
    </row>
    <row r="204" spans="2:32" s="40" customFormat="1" ht="16" thickBot="1" x14ac:dyDescent="0.4">
      <c r="B204" s="12"/>
      <c r="C204" s="573"/>
      <c r="D204" s="573"/>
      <c r="E204" s="573"/>
      <c r="F204" s="573"/>
      <c r="G204" s="573"/>
      <c r="H204" s="573"/>
      <c r="I204" s="573"/>
      <c r="J204" s="573"/>
      <c r="K204" s="573"/>
      <c r="L204" s="573"/>
      <c r="M204" s="573"/>
      <c r="N204" s="573"/>
      <c r="O204" s="573"/>
      <c r="P204" s="573"/>
      <c r="Q204" s="573"/>
      <c r="R204" s="573"/>
      <c r="S204" s="573"/>
      <c r="T204" s="573"/>
      <c r="U204" s="914"/>
      <c r="V204" s="914"/>
      <c r="W204" s="914"/>
      <c r="X204" s="914"/>
      <c r="Y204" s="914"/>
      <c r="Z204" s="914"/>
      <c r="AA204" s="914"/>
      <c r="AB204" s="573"/>
      <c r="AC204" s="14"/>
    </row>
    <row r="205" spans="2:32" ht="15.5" x14ac:dyDescent="0.35">
      <c r="B205" s="1"/>
      <c r="C205" s="794" t="s">
        <v>528</v>
      </c>
      <c r="D205" s="795"/>
      <c r="E205" s="795"/>
      <c r="F205" s="795"/>
      <c r="G205" s="795"/>
      <c r="H205" s="795"/>
      <c r="I205" s="795"/>
      <c r="J205" s="795"/>
      <c r="K205" s="582"/>
      <c r="L205" s="765" t="s">
        <v>528</v>
      </c>
      <c r="M205" s="766"/>
      <c r="N205" s="766"/>
      <c r="O205" s="766"/>
      <c r="P205" s="766"/>
      <c r="Q205" s="766"/>
      <c r="R205" s="766"/>
      <c r="S205" s="766"/>
      <c r="U205" s="573"/>
      <c r="V205" s="573"/>
      <c r="W205" s="573"/>
      <c r="X205" s="573"/>
      <c r="Y205" s="573"/>
      <c r="Z205" s="573"/>
      <c r="AA205" s="573"/>
      <c r="AB205" s="573"/>
    </row>
    <row r="206" spans="2:32" ht="31" x14ac:dyDescent="0.35">
      <c r="B206" s="1"/>
      <c r="C206" s="574"/>
      <c r="D206" s="575" t="s">
        <v>525</v>
      </c>
      <c r="E206" s="575" t="s">
        <v>526</v>
      </c>
      <c r="F206" s="575" t="s">
        <v>527</v>
      </c>
      <c r="G206" s="575" t="s">
        <v>622</v>
      </c>
      <c r="H206" s="575" t="s">
        <v>623</v>
      </c>
      <c r="I206" s="575" t="s">
        <v>624</v>
      </c>
      <c r="J206" s="790" t="s">
        <v>13</v>
      </c>
      <c r="K206" s="757" t="s">
        <v>10</v>
      </c>
      <c r="L206" s="687"/>
      <c r="M206" s="688" t="s">
        <v>525</v>
      </c>
      <c r="N206" s="688" t="s">
        <v>526</v>
      </c>
      <c r="O206" s="688" t="s">
        <v>527</v>
      </c>
      <c r="P206" s="688" t="s">
        <v>622</v>
      </c>
      <c r="Q206" s="688" t="s">
        <v>623</v>
      </c>
      <c r="R206" s="688" t="s">
        <v>623</v>
      </c>
      <c r="S206" s="750" t="s">
        <v>13</v>
      </c>
      <c r="T206" s="700" t="s">
        <v>10</v>
      </c>
      <c r="U206" s="573"/>
      <c r="V206" s="573"/>
      <c r="W206" s="573"/>
      <c r="X206" s="573"/>
      <c r="Y206" s="573"/>
      <c r="Z206" s="573"/>
      <c r="AA206" s="573"/>
      <c r="AB206" s="573"/>
      <c r="AF206" s="548"/>
    </row>
    <row r="207" spans="2:32" ht="15.5" x14ac:dyDescent="0.35">
      <c r="B207" s="1"/>
      <c r="C207" s="574"/>
      <c r="D207" s="576" t="str">
        <f>D14</f>
        <v>OIM BURKINA FASO</v>
      </c>
      <c r="E207" s="576" t="str">
        <f>E14</f>
        <v>OIM NIGER</v>
      </c>
      <c r="F207" s="576" t="str">
        <f>F14</f>
        <v>OIM MALI</v>
      </c>
      <c r="G207" s="99" t="s">
        <v>658</v>
      </c>
      <c r="H207" s="99" t="s">
        <v>659</v>
      </c>
      <c r="I207" s="99" t="s">
        <v>660</v>
      </c>
      <c r="J207" s="791"/>
      <c r="K207" s="758"/>
      <c r="L207" s="687"/>
      <c r="M207" s="689" t="str">
        <f>+D207</f>
        <v>OIM BURKINA FASO</v>
      </c>
      <c r="N207" s="689" t="str">
        <f t="shared" ref="N207:R207" si="141">+E207</f>
        <v>OIM NIGER</v>
      </c>
      <c r="O207" s="689" t="str">
        <f t="shared" si="141"/>
        <v>OIM MALI</v>
      </c>
      <c r="P207" s="689" t="str">
        <f t="shared" si="141"/>
        <v>FAO BURKINA FASO</v>
      </c>
      <c r="Q207" s="689" t="str">
        <f t="shared" si="141"/>
        <v>FAO MALI</v>
      </c>
      <c r="R207" s="689" t="str">
        <f t="shared" si="141"/>
        <v>FAO NIGER</v>
      </c>
      <c r="S207" s="751"/>
      <c r="T207" s="701"/>
      <c r="U207" s="573"/>
      <c r="V207" s="573"/>
      <c r="W207" s="573"/>
      <c r="X207" s="573"/>
      <c r="Y207" s="573"/>
      <c r="Z207" s="573"/>
      <c r="AA207" s="573"/>
      <c r="AB207" s="573"/>
    </row>
    <row r="208" spans="2:32" ht="15.5" x14ac:dyDescent="0.35">
      <c r="B208" s="1"/>
      <c r="C208" s="577" t="s">
        <v>529</v>
      </c>
      <c r="D208" s="560">
        <f t="shared" ref="D208:I208" si="142">SUM(D200:D201)*$K$208</f>
        <v>232469.99867</v>
      </c>
      <c r="E208" s="560">
        <f t="shared" si="142"/>
        <v>128765.00161000001</v>
      </c>
      <c r="F208" s="560">
        <f t="shared" si="142"/>
        <v>128765.00161000001</v>
      </c>
      <c r="G208" s="560">
        <f t="shared" si="142"/>
        <v>244999.97879941246</v>
      </c>
      <c r="H208" s="560">
        <f t="shared" si="142"/>
        <v>157500</v>
      </c>
      <c r="I208" s="560">
        <f t="shared" si="142"/>
        <v>157499.99835669424</v>
      </c>
      <c r="J208" s="578">
        <f>SUM(D208:I208)</f>
        <v>1049999.9790461068</v>
      </c>
      <c r="K208" s="649">
        <v>0.35</v>
      </c>
      <c r="L208" s="690" t="s">
        <v>529</v>
      </c>
      <c r="M208" s="691">
        <f>D208</f>
        <v>232469.99867</v>
      </c>
      <c r="N208" s="691">
        <f t="shared" ref="N208:R210" si="143">E208</f>
        <v>128765.00161000001</v>
      </c>
      <c r="O208" s="691">
        <f t="shared" si="143"/>
        <v>128765.00161000001</v>
      </c>
      <c r="P208" s="691">
        <f t="shared" si="143"/>
        <v>244999.97879941246</v>
      </c>
      <c r="Q208" s="691">
        <f t="shared" si="143"/>
        <v>157500</v>
      </c>
      <c r="R208" s="691">
        <f t="shared" si="143"/>
        <v>157499.99835669424</v>
      </c>
      <c r="S208" s="692">
        <f>SUM(M208:R208)</f>
        <v>1049999.9790461068</v>
      </c>
      <c r="T208" s="693">
        <v>0.35</v>
      </c>
      <c r="U208" s="573"/>
      <c r="V208" s="573"/>
      <c r="W208" s="573"/>
      <c r="X208" s="573"/>
      <c r="Y208" s="573"/>
      <c r="Z208" s="573"/>
      <c r="AA208" s="573"/>
      <c r="AB208" s="573"/>
    </row>
    <row r="209" spans="2:31" ht="15.5" x14ac:dyDescent="0.35">
      <c r="B209" s="783"/>
      <c r="C209" s="579" t="s">
        <v>530</v>
      </c>
      <c r="D209" s="561">
        <f t="shared" ref="D209:I209" si="144">SUM(D200:D201)*$K$209</f>
        <v>232469.99867</v>
      </c>
      <c r="E209" s="561">
        <f t="shared" si="144"/>
        <v>128765.00161000001</v>
      </c>
      <c r="F209" s="561">
        <f t="shared" si="144"/>
        <v>128765.00161000001</v>
      </c>
      <c r="G209" s="561">
        <f t="shared" si="144"/>
        <v>244999.97879941246</v>
      </c>
      <c r="H209" s="561">
        <f t="shared" si="144"/>
        <v>157500</v>
      </c>
      <c r="I209" s="561">
        <f t="shared" si="144"/>
        <v>157499.99835669424</v>
      </c>
      <c r="J209" s="580">
        <f>SUM(D209:I209)</f>
        <v>1049999.9790461068</v>
      </c>
      <c r="K209" s="650">
        <v>0.35</v>
      </c>
      <c r="L209" s="694" t="s">
        <v>530</v>
      </c>
      <c r="M209" s="691">
        <f t="shared" ref="M209:M210" si="145">D209</f>
        <v>232469.99867</v>
      </c>
      <c r="N209" s="691">
        <f t="shared" si="143"/>
        <v>128765.00161000001</v>
      </c>
      <c r="O209" s="691">
        <f t="shared" si="143"/>
        <v>128765.00161000001</v>
      </c>
      <c r="P209" s="691">
        <f t="shared" si="143"/>
        <v>244999.97879941246</v>
      </c>
      <c r="Q209" s="691">
        <f t="shared" si="143"/>
        <v>157500</v>
      </c>
      <c r="R209" s="691">
        <f t="shared" si="143"/>
        <v>157499.99835669424</v>
      </c>
      <c r="S209" s="692">
        <f t="shared" ref="S209:S212" si="146">SUM(M209:R209)</f>
        <v>1049999.9790461068</v>
      </c>
      <c r="T209" s="695">
        <v>0.35</v>
      </c>
      <c r="U209" s="573"/>
      <c r="V209" s="573"/>
      <c r="W209" s="573"/>
      <c r="X209" s="573"/>
      <c r="Y209" s="573"/>
      <c r="Z209" s="573"/>
      <c r="AA209" s="573"/>
      <c r="AB209" s="573"/>
    </row>
    <row r="210" spans="2:31" ht="15.5" x14ac:dyDescent="0.35">
      <c r="B210" s="783"/>
      <c r="C210" s="579" t="s">
        <v>531</v>
      </c>
      <c r="D210" s="561">
        <f t="shared" ref="D210:J210" si="147">SUM(D200:D201)*$K$210</f>
        <v>199259.99886000002</v>
      </c>
      <c r="E210" s="561">
        <f t="shared" si="147"/>
        <v>110370.00138000002</v>
      </c>
      <c r="F210" s="561">
        <f t="shared" si="147"/>
        <v>110370.00138000002</v>
      </c>
      <c r="G210" s="561">
        <f t="shared" si="147"/>
        <v>209999.98182806783</v>
      </c>
      <c r="H210" s="561">
        <f t="shared" si="147"/>
        <v>135000</v>
      </c>
      <c r="I210" s="561">
        <f t="shared" si="147"/>
        <v>134999.99859145223</v>
      </c>
      <c r="J210" s="561">
        <f t="shared" si="147"/>
        <v>899999.98203952017</v>
      </c>
      <c r="K210" s="651">
        <v>0.3</v>
      </c>
      <c r="L210" s="694" t="s">
        <v>933</v>
      </c>
      <c r="M210" s="691">
        <f t="shared" si="145"/>
        <v>199259.99886000002</v>
      </c>
      <c r="N210" s="691">
        <f t="shared" si="143"/>
        <v>110370.00138000002</v>
      </c>
      <c r="O210" s="691">
        <f t="shared" si="143"/>
        <v>110370.00138000002</v>
      </c>
      <c r="P210" s="691">
        <f t="shared" si="143"/>
        <v>209999.98182806783</v>
      </c>
      <c r="Q210" s="691">
        <f t="shared" si="143"/>
        <v>135000</v>
      </c>
      <c r="R210" s="691">
        <f t="shared" si="143"/>
        <v>134999.99859145223</v>
      </c>
      <c r="S210" s="692">
        <f t="shared" si="146"/>
        <v>899999.98203952017</v>
      </c>
      <c r="T210" s="695"/>
      <c r="U210" s="573"/>
      <c r="V210" s="573"/>
      <c r="W210" s="573"/>
      <c r="X210" s="573"/>
      <c r="Y210" s="573"/>
      <c r="Z210" s="573"/>
      <c r="AA210" s="573"/>
      <c r="AB210" s="573"/>
    </row>
    <row r="211" spans="2:31" ht="16" thickBot="1" x14ac:dyDescent="0.4">
      <c r="B211" s="783"/>
      <c r="C211" s="570" t="s">
        <v>13</v>
      </c>
      <c r="D211" s="550">
        <f>SUM(D208:D210)</f>
        <v>664199.99620000005</v>
      </c>
      <c r="E211" s="550">
        <f>SUM(E208:E210)</f>
        <v>367900.00460000004</v>
      </c>
      <c r="F211" s="550">
        <f>SUM(F208:F210)</f>
        <v>367900.00460000004</v>
      </c>
      <c r="G211" s="550">
        <f>SUM(G208:G210)</f>
        <v>699999.93942689279</v>
      </c>
      <c r="H211" s="550">
        <f t="shared" ref="H211" si="148">SUM(H208:H210)</f>
        <v>450000</v>
      </c>
      <c r="I211" s="550">
        <f>SUM(I208:I210)</f>
        <v>449999.99530484073</v>
      </c>
      <c r="J211" s="550">
        <f>SUM(J208:J210)</f>
        <v>2999999.9401317337</v>
      </c>
      <c r="K211" s="652">
        <f>SUM(K208:K210)</f>
        <v>1</v>
      </c>
      <c r="L211" s="694" t="s">
        <v>934</v>
      </c>
      <c r="M211" s="703">
        <f>(L202-D202)*70%</f>
        <v>464940.00265999994</v>
      </c>
      <c r="N211" s="703">
        <f t="shared" ref="N211:R211" si="149">(M202-E202)*70%</f>
        <v>257529.99677999996</v>
      </c>
      <c r="O211" s="703">
        <f t="shared" si="149"/>
        <v>257529.99677999996</v>
      </c>
      <c r="P211" s="703">
        <f t="shared" si="149"/>
        <v>490000.05282200035</v>
      </c>
      <c r="Q211" s="703">
        <f t="shared" si="149"/>
        <v>315000.07839999994</v>
      </c>
      <c r="R211" s="703">
        <f t="shared" si="149"/>
        <v>314999.99999999988</v>
      </c>
      <c r="S211" s="692">
        <f t="shared" si="146"/>
        <v>2100000.127442</v>
      </c>
      <c r="T211" s="695"/>
      <c r="U211" s="573"/>
      <c r="V211" s="573"/>
      <c r="W211" s="573"/>
      <c r="X211" s="573"/>
      <c r="Y211" s="573"/>
      <c r="Z211" s="573"/>
      <c r="AA211" s="573"/>
      <c r="AB211" s="573"/>
    </row>
    <row r="212" spans="2:31" ht="16" thickBot="1" x14ac:dyDescent="0.4">
      <c r="B212" s="783"/>
      <c r="C212" s="2"/>
      <c r="D212" s="7"/>
      <c r="E212" s="7"/>
      <c r="F212" s="7"/>
      <c r="G212" s="7"/>
      <c r="H212" s="7"/>
      <c r="I212" s="7"/>
      <c r="J212" s="7"/>
      <c r="K212" s="7"/>
      <c r="L212" s="694" t="s">
        <v>935</v>
      </c>
      <c r="M212" s="703">
        <f>(L202-D202)*30%</f>
        <v>199260.00113999998</v>
      </c>
      <c r="N212" s="703">
        <f t="shared" ref="N212:R212" si="150">(M202-E202)*30%</f>
        <v>110369.99861999998</v>
      </c>
      <c r="O212" s="703">
        <f t="shared" si="150"/>
        <v>110369.99861999998</v>
      </c>
      <c r="P212" s="703">
        <f t="shared" si="150"/>
        <v>210000.02263800017</v>
      </c>
      <c r="Q212" s="703">
        <f t="shared" si="150"/>
        <v>135000.0336</v>
      </c>
      <c r="R212" s="703">
        <f t="shared" si="150"/>
        <v>134999.99999999997</v>
      </c>
      <c r="S212" s="692">
        <f t="shared" si="146"/>
        <v>900000.05461800005</v>
      </c>
      <c r="T212" s="696">
        <v>0.3</v>
      </c>
      <c r="U212" s="573"/>
      <c r="V212" s="573"/>
      <c r="W212" s="573"/>
      <c r="X212" s="573"/>
      <c r="Y212" s="573"/>
      <c r="Z212" s="573"/>
      <c r="AA212" s="573"/>
      <c r="AB212" s="573"/>
    </row>
    <row r="213" spans="2:31" ht="16" thickBot="1" x14ac:dyDescent="0.4">
      <c r="B213" s="783"/>
      <c r="C213" s="581" t="s">
        <v>532</v>
      </c>
      <c r="D213" s="582">
        <f>SUM(T25,T35,T45,T55,T69,T79,T84,T94,T111,T123,T133,T143,T150,T160,T170,T180,T189)*1.07</f>
        <v>1810788.8876958396</v>
      </c>
      <c r="E213" s="34"/>
      <c r="F213" s="34"/>
      <c r="G213" s="34"/>
      <c r="H213" s="34"/>
      <c r="I213" s="147"/>
      <c r="J213" s="34"/>
      <c r="K213" s="7"/>
      <c r="L213" s="697" t="s">
        <v>13</v>
      </c>
      <c r="M213" s="702">
        <f t="shared" ref="M213:T213" si="151">SUM(M208:M212)</f>
        <v>1328400</v>
      </c>
      <c r="N213" s="702">
        <f t="shared" si="151"/>
        <v>735800</v>
      </c>
      <c r="O213" s="702">
        <f t="shared" si="151"/>
        <v>735800</v>
      </c>
      <c r="P213" s="698">
        <f t="shared" si="151"/>
        <v>1400000.0148868933</v>
      </c>
      <c r="Q213" s="698">
        <f t="shared" si="151"/>
        <v>900000.11199999996</v>
      </c>
      <c r="R213" s="698">
        <f t="shared" si="151"/>
        <v>899999.99530484062</v>
      </c>
      <c r="S213" s="698">
        <f t="shared" si="151"/>
        <v>6000000.1221917337</v>
      </c>
      <c r="T213" s="699">
        <f t="shared" si="151"/>
        <v>1</v>
      </c>
      <c r="U213" s="573"/>
      <c r="V213" s="573"/>
      <c r="W213" s="573"/>
      <c r="X213" s="573"/>
      <c r="Y213" s="573"/>
      <c r="Z213" s="573"/>
      <c r="AA213" s="573"/>
      <c r="AB213" s="573"/>
      <c r="AE213" s="548"/>
    </row>
    <row r="214" spans="2:31" ht="15.5" x14ac:dyDescent="0.35">
      <c r="B214" s="783"/>
      <c r="C214" s="583" t="s">
        <v>533</v>
      </c>
      <c r="D214" s="98">
        <f>D213/R202</f>
        <v>0.30179814180310027</v>
      </c>
      <c r="E214" s="43"/>
      <c r="F214" s="43"/>
      <c r="G214" s="43"/>
      <c r="H214" s="43"/>
      <c r="I214" s="43"/>
      <c r="J214" s="43"/>
      <c r="T214" s="7"/>
      <c r="U214" s="573"/>
      <c r="V214" s="573"/>
      <c r="W214" s="573"/>
      <c r="X214" s="573"/>
      <c r="Y214" s="573"/>
      <c r="Z214" s="573"/>
      <c r="AA214" s="573"/>
      <c r="AB214" s="573"/>
    </row>
    <row r="215" spans="2:31" ht="15.5" x14ac:dyDescent="0.35">
      <c r="B215" s="783"/>
      <c r="C215" s="792"/>
      <c r="D215" s="793"/>
      <c r="E215" s="44"/>
      <c r="F215" s="44"/>
      <c r="G215" s="44"/>
      <c r="H215" s="44"/>
      <c r="I215" s="44"/>
      <c r="J215" s="44"/>
      <c r="T215" s="7"/>
      <c r="AB215" s="7"/>
    </row>
    <row r="216" spans="2:31" ht="15.5" x14ac:dyDescent="0.35">
      <c r="B216" s="783"/>
      <c r="C216" s="583" t="s">
        <v>534</v>
      </c>
      <c r="D216" s="584">
        <f>SUM(L185:Q186)</f>
        <v>331043</v>
      </c>
      <c r="E216" s="45"/>
      <c r="F216" s="45"/>
      <c r="G216" s="45"/>
      <c r="H216" s="45"/>
      <c r="I216" s="45"/>
      <c r="J216" s="45"/>
    </row>
    <row r="217" spans="2:31" ht="15.5" x14ac:dyDescent="0.35">
      <c r="B217" s="783"/>
      <c r="C217" s="97" t="s">
        <v>535</v>
      </c>
      <c r="D217" s="718">
        <f>D216/R202</f>
        <v>5.5173832209702303E-2</v>
      </c>
      <c r="E217" s="45"/>
      <c r="F217" s="45"/>
      <c r="G217" s="684"/>
      <c r="H217" s="45"/>
      <c r="I217" s="45"/>
      <c r="J217" s="45"/>
    </row>
    <row r="218" spans="2:31" ht="15" thickBot="1" x14ac:dyDescent="0.4">
      <c r="B218" s="783"/>
      <c r="C218" s="784" t="s">
        <v>577</v>
      </c>
      <c r="D218" s="785"/>
      <c r="E218" s="35"/>
      <c r="F218" s="35"/>
      <c r="G218" s="35"/>
      <c r="H218" s="35"/>
      <c r="I218" s="35"/>
      <c r="J218" s="35"/>
    </row>
    <row r="219" spans="2:31" x14ac:dyDescent="0.35">
      <c r="B219" s="783"/>
    </row>
    <row r="220" spans="2:31" x14ac:dyDescent="0.35">
      <c r="B220" s="783"/>
    </row>
    <row r="221" spans="2:31" x14ac:dyDescent="0.35">
      <c r="B221" s="783"/>
    </row>
    <row r="222" spans="2:31" x14ac:dyDescent="0.35">
      <c r="B222" s="783"/>
    </row>
    <row r="223" spans="2:31" x14ac:dyDescent="0.35">
      <c r="B223" s="783"/>
    </row>
  </sheetData>
  <mergeCells count="41">
    <mergeCell ref="B185:B186"/>
    <mergeCell ref="B209:B223"/>
    <mergeCell ref="C218:D218"/>
    <mergeCell ref="C198:C199"/>
    <mergeCell ref="J198:J199"/>
    <mergeCell ref="J206:J207"/>
    <mergeCell ref="C215:D215"/>
    <mergeCell ref="C205:J205"/>
    <mergeCell ref="C46:AC46"/>
    <mergeCell ref="C57:AC57"/>
    <mergeCell ref="C58:AC58"/>
    <mergeCell ref="B6:AD6"/>
    <mergeCell ref="B2:E2"/>
    <mergeCell ref="B9:T9"/>
    <mergeCell ref="C26:AC26"/>
    <mergeCell ref="C16:AC16"/>
    <mergeCell ref="C36:AC36"/>
    <mergeCell ref="B12:B13"/>
    <mergeCell ref="D12:K12"/>
    <mergeCell ref="L12:T12"/>
    <mergeCell ref="U12:AB12"/>
    <mergeCell ref="C70:AC70"/>
    <mergeCell ref="C80:AC80"/>
    <mergeCell ref="C85:AC85"/>
    <mergeCell ref="C96:AC96"/>
    <mergeCell ref="C97:AC97"/>
    <mergeCell ref="S206:S207"/>
    <mergeCell ref="R198:R199"/>
    <mergeCell ref="C112:AC112"/>
    <mergeCell ref="C145:AC145"/>
    <mergeCell ref="C134:AC134"/>
    <mergeCell ref="C151:AC151"/>
    <mergeCell ref="C146:AC146"/>
    <mergeCell ref="C124:AC124"/>
    <mergeCell ref="C161:AC161"/>
    <mergeCell ref="C171:AC171"/>
    <mergeCell ref="K206:K207"/>
    <mergeCell ref="C197:J197"/>
    <mergeCell ref="L197:R197"/>
    <mergeCell ref="L205:S205"/>
    <mergeCell ref="AA198:AA199"/>
  </mergeCells>
  <phoneticPr fontId="19" type="noConversion"/>
  <conditionalFormatting sqref="D214">
    <cfRule type="cellIs" dxfId="32" priority="48" operator="lessThan">
      <formula>0.15</formula>
    </cfRule>
  </conditionalFormatting>
  <conditionalFormatting sqref="D217">
    <cfRule type="cellIs" dxfId="31" priority="46" operator="lessThan">
      <formula>0.05</formula>
    </cfRule>
  </conditionalFormatting>
  <conditionalFormatting sqref="K211">
    <cfRule type="cellIs" dxfId="30" priority="3" operator="greaterThan">
      <formula>1</formula>
    </cfRule>
  </conditionalFormatting>
  <conditionalFormatting sqref="T213">
    <cfRule type="cellIs" dxfId="29" priority="1" operator="greaterThan">
      <formula>1</formula>
    </cfRule>
  </conditionalFormatting>
  <dataValidations xWindow="431" yWindow="475" count="7">
    <dataValidation allowBlank="1" showInputMessage="1" showErrorMessage="1" prompt="Insert *text* description of Outcome here" sqref="C15:AC15 C57:AC57 C96:AC96 C145:AC145 U65551:AB65551 U131087:AB131087 U196623:AB196623 U262159:AB262159 U327695:AB327695 U393231:AB393231 U458767:AB458767 U524303:AB524303 U589839:AB589839 U655375:AB655375 U720911:AB720911 U786447:AB786447 U851983:AB851983 U917519:AB917519 U983055:AB983055 U65593:AB65593 U131129:AB131129 U196665:AB196665 U262201:AB262201 U327737:AB327737 U393273:AB393273 U458809:AB458809 U524345:AB524345 U589881:AB589881 U655417:AB655417 U720953:AB720953 U786489:AB786489 U852025:AB852025 U917561:AB917561 U983097:AB983097 U65632:AB65632 U131168:AB131168 U196704:AB196704 U262240:AB262240 U327776:AB327776 U393312:AB393312 U458848:AB458848 U524384:AB524384 U589920:AB589920 U655456:AB655456 U720992:AB720992 U786528:AB786528 U852064:AB852064 U917600:AB917600 U983136:AB983136 U65681:AB65681 U131217:AB131217 U196753:AB196753 U262289:AB262289 U327825:AB327825 U393361:AB393361 U458897:AB458897 U524433:AB524433 U589969:AB589969 U655505:AB655505 U721041:AB721041 U786577:AB786577 U852113:AB852113 U917649:AB917649 U983185:AB983185"/>
    <dataValidation allowBlank="1" showInputMessage="1" showErrorMessage="1" prompt="Insert *text* description of Output here" sqref="C16 C26 C36 C46 C58 C70 C80 C85 C97 C112 C171 C134 C146 C151 C161 C124"/>
    <dataValidation allowBlank="1" showInputMessage="1" showErrorMessage="1" prompt="Insert *text* description of Activity here" sqref="C116 C172 C37 C47 C59 C71 C125 C86 C98 C113 C162 C135 C147 C152"/>
    <dataValidation allowBlank="1" showInputMessage="1" showErrorMessage="1" prompt="Insert name of recipient agency here _x000a_" sqref="D14:J14 L14:S14 U14:AA14 U65550:AA65550 U131086:AA131086 U196622:AA196622 U262158:AA262158 U327694:AA327694 U393230:AA393230 U458766:AA458766 U524302:AA524302 U589838:AA589838 U655374:AA655374 U720910:AA720910 U786446:AA786446 U851982:AA851982 U917518:AA917518 U983054:AA983054"/>
    <dataValidation allowBlank="1" showInputMessage="1" showErrorMessage="1" prompt="% Towards Gender Equality and Women's Empowerment Must be Higher than 15%_x000a_" sqref="D214:J214"/>
    <dataValidation allowBlank="1" showInputMessage="1" showErrorMessage="1" prompt="M&amp;E Budget Cannot be Less than 5%_x000a_" sqref="D217:J217"/>
    <dataValidation allowBlank="1" showErrorMessage="1" prompt="% Towards Gender Equality and Women's Empowerment Must be Higher than 15%_x000a_" sqref="D216:J216"/>
  </dataValidations>
  <pageMargins left="0.7" right="0.7" top="0.75" bottom="0.75" header="0.3" footer="0.3"/>
  <pageSetup scale="35" fitToHeight="0" orientation="landscape" r:id="rId1"/>
  <rowBreaks count="1" manualBreakCount="1">
    <brk id="70" max="16383" man="1"/>
  </rowBreaks>
  <ignoredErrors>
    <ignoredError sqref="M21:N21"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S255"/>
  <sheetViews>
    <sheetView showGridLines="0" showZeros="0" topLeftCell="I1" zoomScale="80" zoomScaleNormal="80" zoomScalePageLayoutView="70" workbookViewId="0">
      <selection activeCell="A76" sqref="A76"/>
    </sheetView>
  </sheetViews>
  <sheetFormatPr defaultColWidth="9.1796875" defaultRowHeight="15.5" x14ac:dyDescent="0.35"/>
  <cols>
    <col min="1" max="1" width="4.453125" style="50" customWidth="1"/>
    <col min="2" max="2" width="3.453125" style="50" customWidth="1"/>
    <col min="3" max="3" width="51.453125" style="50" customWidth="1"/>
    <col min="4" max="4" width="20.1796875" style="52" customWidth="1"/>
    <col min="5" max="6" width="19.453125" style="52" customWidth="1"/>
    <col min="7" max="7" width="21.453125" style="52" customWidth="1"/>
    <col min="8" max="9" width="19.453125" style="52" customWidth="1"/>
    <col min="10" max="10" width="19.453125" style="50" customWidth="1"/>
    <col min="11" max="11" width="8.81640625" style="50" customWidth="1"/>
    <col min="12" max="12" width="20.1796875" style="52" customWidth="1"/>
    <col min="13" max="13" width="21" style="50" customWidth="1"/>
    <col min="14" max="14" width="20.81640625" style="50" customWidth="1"/>
    <col min="15" max="15" width="20.1796875" style="50" customWidth="1"/>
    <col min="16" max="16" width="19.453125" style="50" customWidth="1"/>
    <col min="17" max="17" width="15.453125" style="620" bestFit="1" customWidth="1"/>
    <col min="18" max="18" width="19.453125" style="50" customWidth="1"/>
    <col min="19" max="19" width="20.81640625" style="50" customWidth="1"/>
    <col min="20" max="20" width="33" style="50" customWidth="1"/>
    <col min="21" max="22" width="22.453125" style="50" customWidth="1"/>
    <col min="23" max="23" width="23.453125" style="50" customWidth="1"/>
    <col min="24" max="24" width="32.1796875" style="50" customWidth="1"/>
    <col min="25" max="25" width="9.1796875" style="50"/>
    <col min="26" max="26" width="17.453125" style="50" customWidth="1"/>
    <col min="27" max="27" width="26.453125" style="50" customWidth="1"/>
    <col min="28" max="28" width="22.453125" style="50" customWidth="1"/>
    <col min="29" max="29" width="29.453125" style="50" customWidth="1"/>
    <col min="30" max="30" width="23.453125" style="50" customWidth="1"/>
    <col min="31" max="31" width="18.453125" style="50" customWidth="1"/>
    <col min="32" max="32" width="17.453125" style="50" customWidth="1"/>
    <col min="33" max="33" width="25.1796875" style="50" customWidth="1"/>
    <col min="34" max="16384" width="9.1796875" style="50"/>
  </cols>
  <sheetData>
    <row r="1" spans="2:19" ht="24" customHeight="1" x14ac:dyDescent="0.35">
      <c r="O1" s="21"/>
      <c r="P1" s="5"/>
    </row>
    <row r="2" spans="2:19" ht="46.5" customHeight="1" x14ac:dyDescent="1">
      <c r="C2" s="770" t="s">
        <v>517</v>
      </c>
      <c r="D2" s="770"/>
      <c r="E2" s="770"/>
      <c r="F2" s="770"/>
      <c r="G2" s="142"/>
      <c r="H2" s="142"/>
      <c r="I2" s="142"/>
      <c r="J2" s="37"/>
      <c r="K2" s="37"/>
      <c r="L2" s="38"/>
      <c r="O2" s="21"/>
      <c r="P2" s="5"/>
    </row>
    <row r="3" spans="2:19" ht="24" customHeight="1" x14ac:dyDescent="0.35">
      <c r="C3" s="41"/>
      <c r="D3" s="39"/>
      <c r="E3" s="39"/>
      <c r="F3" s="39"/>
      <c r="G3" s="39"/>
      <c r="H3" s="39"/>
      <c r="I3" s="39"/>
      <c r="J3" s="39"/>
      <c r="K3" s="39"/>
      <c r="L3" s="39"/>
      <c r="O3" s="21"/>
      <c r="P3" s="5"/>
    </row>
    <row r="4" spans="2:19" ht="24" customHeight="1" thickBot="1" x14ac:dyDescent="0.4">
      <c r="C4" s="41"/>
      <c r="D4" s="39"/>
      <c r="E4" s="39"/>
      <c r="F4" s="39"/>
      <c r="G4" s="39"/>
      <c r="H4" s="39"/>
      <c r="I4" s="39"/>
      <c r="J4" s="39"/>
      <c r="K4" s="39"/>
      <c r="L4" s="39"/>
      <c r="O4" s="21"/>
      <c r="P4" s="5"/>
    </row>
    <row r="5" spans="2:19" ht="30" customHeight="1" x14ac:dyDescent="0.8">
      <c r="C5" s="801" t="s">
        <v>5</v>
      </c>
      <c r="D5" s="802"/>
      <c r="E5" s="802"/>
      <c r="F5" s="802"/>
      <c r="G5" s="802"/>
      <c r="H5" s="802"/>
      <c r="I5" s="802"/>
      <c r="J5" s="803"/>
      <c r="K5" s="616"/>
      <c r="L5" s="50"/>
      <c r="M5" s="21"/>
      <c r="N5" s="5"/>
    </row>
    <row r="6" spans="2:19" ht="24" customHeight="1" x14ac:dyDescent="0.35">
      <c r="C6" s="811" t="s">
        <v>578</v>
      </c>
      <c r="D6" s="812"/>
      <c r="E6" s="812"/>
      <c r="F6" s="812"/>
      <c r="G6" s="812"/>
      <c r="H6" s="812"/>
      <c r="I6" s="812"/>
      <c r="J6" s="813"/>
      <c r="K6" s="585"/>
      <c r="L6" s="50"/>
      <c r="M6" s="21"/>
      <c r="N6" s="5"/>
    </row>
    <row r="7" spans="2:19" ht="41.25" customHeight="1" x14ac:dyDescent="0.35">
      <c r="C7" s="811"/>
      <c r="D7" s="812"/>
      <c r="E7" s="812"/>
      <c r="F7" s="812"/>
      <c r="G7" s="812"/>
      <c r="H7" s="812"/>
      <c r="I7" s="812"/>
      <c r="J7" s="813"/>
      <c r="K7" s="585"/>
      <c r="L7" s="50"/>
      <c r="M7" s="21"/>
      <c r="N7" s="5"/>
    </row>
    <row r="8" spans="2:19" ht="24" customHeight="1" thickBot="1" x14ac:dyDescent="0.4">
      <c r="C8" s="814"/>
      <c r="D8" s="815"/>
      <c r="E8" s="815"/>
      <c r="F8" s="815"/>
      <c r="G8" s="815"/>
      <c r="H8" s="815"/>
      <c r="I8" s="815"/>
      <c r="J8" s="816"/>
      <c r="K8" s="585"/>
      <c r="L8" s="50"/>
      <c r="M8" s="21"/>
      <c r="N8" s="5"/>
    </row>
    <row r="9" spans="2:19" ht="24" customHeight="1" thickBot="1" x14ac:dyDescent="0.4">
      <c r="C9" s="47"/>
      <c r="D9" s="47"/>
      <c r="E9" s="47"/>
      <c r="F9" s="47"/>
      <c r="G9" s="47"/>
      <c r="H9" s="47"/>
      <c r="I9" s="47"/>
      <c r="L9" s="47"/>
      <c r="O9" s="21"/>
      <c r="P9" s="5"/>
    </row>
    <row r="10" spans="2:19" ht="25.5" customHeight="1" thickBot="1" x14ac:dyDescent="0.65">
      <c r="C10" s="771" t="s">
        <v>579</v>
      </c>
      <c r="D10" s="772"/>
      <c r="E10" s="772"/>
      <c r="F10" s="773"/>
      <c r="G10" s="143"/>
      <c r="H10" s="143"/>
      <c r="I10" s="143"/>
      <c r="L10" s="50"/>
      <c r="O10" s="21"/>
      <c r="P10" s="5"/>
    </row>
    <row r="11" spans="2:19" ht="25.5" customHeight="1" x14ac:dyDescent="0.6">
      <c r="C11" s="143"/>
      <c r="D11" s="143"/>
      <c r="E11" s="143"/>
      <c r="F11" s="143"/>
      <c r="G11" s="143"/>
      <c r="H11" s="143"/>
      <c r="I11" s="143"/>
      <c r="L11" s="50"/>
      <c r="O11" s="21"/>
      <c r="P11" s="5"/>
    </row>
    <row r="12" spans="2:19" ht="24" customHeight="1" x14ac:dyDescent="0.6">
      <c r="C12" s="47"/>
      <c r="D12" s="828" t="s">
        <v>886</v>
      </c>
      <c r="E12" s="829"/>
      <c r="F12" s="829"/>
      <c r="G12" s="829"/>
      <c r="H12" s="829"/>
      <c r="I12" s="829"/>
      <c r="J12" s="830"/>
      <c r="L12" s="831" t="s">
        <v>888</v>
      </c>
      <c r="M12" s="831"/>
      <c r="N12" s="831"/>
      <c r="O12" s="831"/>
      <c r="P12" s="831"/>
      <c r="Q12" s="831"/>
      <c r="R12" s="831"/>
    </row>
    <row r="13" spans="2:19" ht="40.5" customHeight="1" x14ac:dyDescent="0.35">
      <c r="C13" s="47"/>
      <c r="D13" s="615" t="s">
        <v>525</v>
      </c>
      <c r="E13" s="615" t="s">
        <v>526</v>
      </c>
      <c r="F13" s="615" t="s">
        <v>527</v>
      </c>
      <c r="G13" s="615" t="s">
        <v>622</v>
      </c>
      <c r="H13" s="615" t="s">
        <v>623</v>
      </c>
      <c r="I13" s="615" t="s">
        <v>624</v>
      </c>
      <c r="J13" s="800" t="s">
        <v>13</v>
      </c>
      <c r="L13" s="588" t="s">
        <v>525</v>
      </c>
      <c r="M13" s="588" t="s">
        <v>526</v>
      </c>
      <c r="N13" s="588" t="s">
        <v>527</v>
      </c>
      <c r="O13" s="588" t="s">
        <v>622</v>
      </c>
      <c r="P13" s="588" t="s">
        <v>623</v>
      </c>
      <c r="Q13" s="588" t="s">
        <v>624</v>
      </c>
      <c r="R13" s="807" t="s">
        <v>13</v>
      </c>
      <c r="S13" s="796"/>
    </row>
    <row r="14" spans="2:19" ht="24" customHeight="1" x14ac:dyDescent="0.35">
      <c r="C14" s="47"/>
      <c r="D14" s="99" t="str">
        <f>'1) Tableau budgétaire 1'!D14</f>
        <v>OIM BURKINA FASO</v>
      </c>
      <c r="E14" s="99" t="str">
        <f>'1) Tableau budgétaire 1'!E14</f>
        <v>OIM NIGER</v>
      </c>
      <c r="F14" s="99" t="str">
        <f>'1) Tableau budgétaire 1'!F14</f>
        <v>OIM MALI</v>
      </c>
      <c r="G14" s="99" t="str">
        <f>'1) Tableau budgétaire 1'!G14</f>
        <v>FAO BURKINA FASO</v>
      </c>
      <c r="H14" s="99" t="str">
        <f>'1) Tableau budgétaire 1'!H14</f>
        <v>FAO MALI</v>
      </c>
      <c r="I14" s="99" t="str">
        <f>'1) Tableau budgétaire 1'!I14</f>
        <v>FAO NIGER</v>
      </c>
      <c r="J14" s="782"/>
      <c r="L14" s="592" t="str">
        <f>'1) Tableau budgétaire 1'!L14</f>
        <v>OIM BURKINA FASO</v>
      </c>
      <c r="M14" s="592" t="str">
        <f>'1) Tableau budgétaire 1'!M14</f>
        <v>OIM NIGER</v>
      </c>
      <c r="N14" s="592" t="str">
        <f>'1) Tableau budgétaire 1'!N14</f>
        <v>OIM MALI</v>
      </c>
      <c r="O14" s="592" t="str">
        <f>'1) Tableau budgétaire 1'!O14</f>
        <v>FAO BURKINA FASO</v>
      </c>
      <c r="P14" s="592" t="str">
        <f>'1) Tableau budgétaire 1'!P14</f>
        <v>FAO MALI</v>
      </c>
      <c r="Q14" s="592" t="s">
        <v>660</v>
      </c>
      <c r="R14" s="807"/>
      <c r="S14" s="796"/>
    </row>
    <row r="15" spans="2:19" ht="24" customHeight="1" x14ac:dyDescent="0.35">
      <c r="B15" s="797" t="s">
        <v>537</v>
      </c>
      <c r="C15" s="798"/>
      <c r="D15" s="798"/>
      <c r="E15" s="798"/>
      <c r="F15" s="798"/>
      <c r="G15" s="798"/>
      <c r="H15" s="798"/>
      <c r="I15" s="798"/>
      <c r="J15" s="799"/>
      <c r="L15" s="808"/>
      <c r="M15" s="808"/>
      <c r="N15" s="808"/>
      <c r="O15" s="808"/>
      <c r="P15" s="808"/>
      <c r="Q15" s="808"/>
      <c r="R15" s="808"/>
    </row>
    <row r="16" spans="2:19" ht="22.5" customHeight="1" x14ac:dyDescent="0.35">
      <c r="C16" s="797" t="s">
        <v>538</v>
      </c>
      <c r="D16" s="798"/>
      <c r="E16" s="798"/>
      <c r="F16" s="798"/>
      <c r="G16" s="798"/>
      <c r="H16" s="798"/>
      <c r="I16" s="798"/>
      <c r="J16" s="799"/>
      <c r="L16" s="808"/>
      <c r="M16" s="808"/>
      <c r="N16" s="808"/>
      <c r="O16" s="808"/>
      <c r="P16" s="808"/>
      <c r="Q16" s="808"/>
      <c r="R16" s="808"/>
    </row>
    <row r="17" spans="3:18" ht="24.75" customHeight="1" thickBot="1" x14ac:dyDescent="0.4">
      <c r="C17" s="59" t="s">
        <v>539</v>
      </c>
      <c r="D17" s="60">
        <f>'1) Tableau budgétaire 1'!D25</f>
        <v>273190</v>
      </c>
      <c r="E17" s="60">
        <f>'1) Tableau budgétaire 1'!E25</f>
        <v>69415</v>
      </c>
      <c r="F17" s="60">
        <f>'1) Tableau budgétaire 1'!F25</f>
        <v>69415</v>
      </c>
      <c r="G17" s="60">
        <f>'1) Tableau budgétaire 1'!G25</f>
        <v>0</v>
      </c>
      <c r="H17" s="60">
        <f>'1) Tableau budgétaire 1'!H25</f>
        <v>0</v>
      </c>
      <c r="I17" s="60">
        <f>'1) Tableau budgétaire 1'!I25</f>
        <v>0</v>
      </c>
      <c r="J17" s="61">
        <f>SUM(D17:I17)</f>
        <v>412020</v>
      </c>
      <c r="L17" s="598">
        <f>'1) Tableau budgétaire 1'!L25</f>
        <v>302572.62616822426</v>
      </c>
      <c r="M17" s="598">
        <f>'1) Tableau budgétaire 1'!M25</f>
        <v>105665.55140186919</v>
      </c>
      <c r="N17" s="598">
        <f>'1) Tableau budgétaire 1'!N25</f>
        <v>105665.55140186919</v>
      </c>
      <c r="O17" s="598">
        <f>'1) Tableau budgétaire 1'!O25</f>
        <v>0</v>
      </c>
      <c r="P17" s="598">
        <f>'1) Tableau budgétaire 1'!P25</f>
        <v>0</v>
      </c>
      <c r="Q17" s="598">
        <v>0</v>
      </c>
      <c r="R17" s="599">
        <f>SUM(L17:Q17)</f>
        <v>513903.72897196258</v>
      </c>
    </row>
    <row r="18" spans="3:18" ht="21.75" customHeight="1" thickBot="1" x14ac:dyDescent="0.4">
      <c r="C18" s="58" t="s">
        <v>540</v>
      </c>
      <c r="D18" s="90"/>
      <c r="E18" s="91"/>
      <c r="F18" s="91"/>
      <c r="G18" s="91"/>
      <c r="H18" s="91"/>
      <c r="I18" s="91"/>
      <c r="J18" s="61">
        <f t="shared" ref="J18:J24" si="0">SUM(D18:I18)</f>
        <v>0</v>
      </c>
      <c r="L18" s="90"/>
      <c r="M18" s="90"/>
      <c r="N18" s="91"/>
      <c r="O18" s="91"/>
      <c r="P18" s="91"/>
      <c r="Q18" s="91"/>
      <c r="R18" s="599">
        <f>SUM(L18:Q18)</f>
        <v>0</v>
      </c>
    </row>
    <row r="19" spans="3:18" ht="16" thickBot="1" x14ac:dyDescent="0.4">
      <c r="C19" s="48" t="s">
        <v>541</v>
      </c>
      <c r="D19" s="92"/>
      <c r="E19" s="18"/>
      <c r="F19" s="18"/>
      <c r="G19" s="18"/>
      <c r="H19" s="18"/>
      <c r="I19" s="18"/>
      <c r="J19" s="61">
        <f t="shared" si="0"/>
        <v>0</v>
      </c>
      <c r="L19" s="92"/>
      <c r="M19" s="92"/>
      <c r="N19" s="18"/>
      <c r="O19" s="18"/>
      <c r="P19" s="18"/>
      <c r="Q19" s="18"/>
      <c r="R19" s="599">
        <f t="shared" ref="R19:R24" si="1">SUM(L19:Q19)</f>
        <v>0</v>
      </c>
    </row>
    <row r="20" spans="3:18" ht="15.75" customHeight="1" thickBot="1" x14ac:dyDescent="0.4">
      <c r="C20" s="48" t="s">
        <v>542</v>
      </c>
      <c r="D20" s="92"/>
      <c r="E20" s="92"/>
      <c r="F20" s="92"/>
      <c r="G20" s="92"/>
      <c r="H20" s="92"/>
      <c r="I20" s="92"/>
      <c r="J20" s="61">
        <f t="shared" si="0"/>
        <v>0</v>
      </c>
      <c r="L20" s="92"/>
      <c r="M20" s="92"/>
      <c r="N20" s="92"/>
      <c r="O20" s="92"/>
      <c r="P20" s="92"/>
      <c r="Q20" s="92"/>
      <c r="R20" s="599">
        <f t="shared" si="1"/>
        <v>0</v>
      </c>
    </row>
    <row r="21" spans="3:18" ht="16" thickBot="1" x14ac:dyDescent="0.4">
      <c r="C21" s="49" t="s">
        <v>543</v>
      </c>
      <c r="D21" s="92">
        <f>SUM('1) Tableau budgétaire 1'!D20)</f>
        <v>6000</v>
      </c>
      <c r="E21" s="92">
        <f>SUM('1) Tableau budgétaire 1'!E20)</f>
        <v>2000</v>
      </c>
      <c r="F21" s="92">
        <f>SUM('1) Tableau budgétaire 1'!F20)</f>
        <v>2000</v>
      </c>
      <c r="G21" s="92"/>
      <c r="H21" s="92"/>
      <c r="I21" s="92"/>
      <c r="J21" s="61">
        <f>SUM(D21:I21)</f>
        <v>10000</v>
      </c>
      <c r="L21" s="92"/>
      <c r="M21" s="92"/>
      <c r="N21" s="92"/>
      <c r="O21" s="92"/>
      <c r="P21" s="92"/>
      <c r="Q21" s="92"/>
      <c r="R21" s="599">
        <f t="shared" si="1"/>
        <v>0</v>
      </c>
    </row>
    <row r="22" spans="3:18" ht="16" thickBot="1" x14ac:dyDescent="0.4">
      <c r="C22" s="48" t="s">
        <v>544</v>
      </c>
      <c r="D22" s="92"/>
      <c r="E22" s="92"/>
      <c r="F22" s="92"/>
      <c r="G22" s="92"/>
      <c r="H22" s="92"/>
      <c r="I22" s="92"/>
      <c r="J22" s="61">
        <f t="shared" si="0"/>
        <v>0</v>
      </c>
      <c r="L22" s="92"/>
      <c r="M22" s="92"/>
      <c r="N22" s="92"/>
      <c r="O22" s="92"/>
      <c r="P22" s="92"/>
      <c r="Q22" s="92"/>
      <c r="R22" s="599">
        <f t="shared" si="1"/>
        <v>0</v>
      </c>
    </row>
    <row r="23" spans="3:18" ht="21.75" customHeight="1" thickBot="1" x14ac:dyDescent="0.4">
      <c r="C23" s="48" t="s">
        <v>545</v>
      </c>
      <c r="D23" s="92">
        <f>SUM('1) Tableau budgétaire 1'!D17:D19)</f>
        <v>267190</v>
      </c>
      <c r="E23" s="92">
        <f>SUM('1) Tableau budgétaire 1'!E17:E19)</f>
        <v>67415</v>
      </c>
      <c r="F23" s="92">
        <f>SUM('1) Tableau budgétaire 1'!F17:F19)</f>
        <v>67415</v>
      </c>
      <c r="G23" s="92"/>
      <c r="H23" s="92">
        <f>SUM('1) Tableau budgétaire 1'!H17:H19)</f>
        <v>0</v>
      </c>
      <c r="I23" s="92"/>
      <c r="J23" s="61">
        <f>SUM(D23:I23)</f>
        <v>402020</v>
      </c>
      <c r="L23" s="670">
        <f>SUM('1) Tableau budgétaire 1'!L17:L22)</f>
        <v>302572.62616822426</v>
      </c>
      <c r="M23" s="670">
        <f>SUM('1) Tableau budgétaire 1'!M17:M22)</f>
        <v>105665.55140186919</v>
      </c>
      <c r="N23" s="670">
        <f>SUM('1) Tableau budgétaire 1'!N17:N22)</f>
        <v>105665.55140186919</v>
      </c>
      <c r="O23" s="670"/>
      <c r="P23" s="670">
        <f>SUM('1) Tableau budgétaire 1'!P17:P19)</f>
        <v>0</v>
      </c>
      <c r="Q23" s="92"/>
      <c r="R23" s="599">
        <f t="shared" si="1"/>
        <v>513903.72897196258</v>
      </c>
    </row>
    <row r="24" spans="3:18" ht="36.75" customHeight="1" thickBot="1" x14ac:dyDescent="0.4">
      <c r="C24" s="48" t="s">
        <v>546</v>
      </c>
      <c r="D24" s="92"/>
      <c r="E24" s="92"/>
      <c r="F24" s="92"/>
      <c r="G24" s="92"/>
      <c r="H24" s="92"/>
      <c r="I24" s="92"/>
      <c r="J24" s="61">
        <f t="shared" si="0"/>
        <v>0</v>
      </c>
      <c r="L24" s="92"/>
      <c r="M24" s="92"/>
      <c r="N24" s="92"/>
      <c r="O24" s="92"/>
      <c r="P24" s="92"/>
      <c r="Q24" s="92"/>
      <c r="R24" s="599">
        <f t="shared" si="1"/>
        <v>0</v>
      </c>
    </row>
    <row r="25" spans="3:18" ht="15.75" customHeight="1" x14ac:dyDescent="0.35">
      <c r="C25" s="53" t="s">
        <v>21</v>
      </c>
      <c r="D25" s="62">
        <f>SUM(D18:D24)</f>
        <v>273190</v>
      </c>
      <c r="E25" s="62">
        <f>SUM(E18:E24)</f>
        <v>69415</v>
      </c>
      <c r="F25" s="62">
        <f>SUM(F18:F24)</f>
        <v>69415</v>
      </c>
      <c r="G25" s="62">
        <f t="shared" ref="G25:I25" si="2">SUM(G18:G24)</f>
        <v>0</v>
      </c>
      <c r="H25" s="62">
        <f t="shared" si="2"/>
        <v>0</v>
      </c>
      <c r="I25" s="62">
        <f t="shared" si="2"/>
        <v>0</v>
      </c>
      <c r="J25" s="117">
        <f>SUM(D25:I25)</f>
        <v>412020</v>
      </c>
      <c r="L25" s="601">
        <f>SUM(L18:L24)</f>
        <v>302572.62616822426</v>
      </c>
      <c r="M25" s="601">
        <f t="shared" ref="M25:Q25" si="3">SUM(M18:M24)</f>
        <v>105665.55140186919</v>
      </c>
      <c r="N25" s="601">
        <f t="shared" si="3"/>
        <v>105665.55140186919</v>
      </c>
      <c r="O25" s="601">
        <f t="shared" si="3"/>
        <v>0</v>
      </c>
      <c r="P25" s="601">
        <f t="shared" si="3"/>
        <v>0</v>
      </c>
      <c r="Q25" s="601">
        <f t="shared" si="3"/>
        <v>0</v>
      </c>
      <c r="R25" s="600">
        <f>SUM(L25:Q25)</f>
        <v>513903.72897196258</v>
      </c>
    </row>
    <row r="26" spans="3:18" s="52" customFormat="1" x14ac:dyDescent="0.35">
      <c r="C26" s="63"/>
      <c r="D26" s="64"/>
      <c r="E26" s="64"/>
      <c r="F26" s="64"/>
      <c r="G26" s="64"/>
      <c r="H26" s="64"/>
      <c r="I26" s="64"/>
      <c r="J26" s="118"/>
      <c r="K26" s="50"/>
      <c r="L26" s="64"/>
      <c r="M26" s="64"/>
      <c r="N26" s="64"/>
      <c r="O26" s="64"/>
      <c r="P26" s="64"/>
      <c r="Q26" s="622"/>
      <c r="R26" s="118"/>
    </row>
    <row r="27" spans="3:18" x14ac:dyDescent="0.35">
      <c r="C27" s="797" t="s">
        <v>547</v>
      </c>
      <c r="D27" s="798"/>
      <c r="E27" s="798"/>
      <c r="F27" s="798"/>
      <c r="G27" s="798"/>
      <c r="H27" s="798"/>
      <c r="I27" s="798"/>
      <c r="J27" s="799"/>
      <c r="L27" s="820"/>
      <c r="M27" s="820"/>
      <c r="N27" s="820"/>
      <c r="O27" s="820"/>
      <c r="P27" s="820"/>
      <c r="Q27" s="820"/>
      <c r="R27" s="821"/>
    </row>
    <row r="28" spans="3:18" ht="27" customHeight="1" thickBot="1" x14ac:dyDescent="0.4">
      <c r="C28" s="59" t="s">
        <v>548</v>
      </c>
      <c r="D28" s="60">
        <f>'1) Tableau budgétaire 1'!D35</f>
        <v>36380</v>
      </c>
      <c r="E28" s="60">
        <f>'1) Tableau budgétaire 1'!E35</f>
        <v>57656.5</v>
      </c>
      <c r="F28" s="60">
        <f>'1) Tableau budgétaire 1'!F35</f>
        <v>57656.5</v>
      </c>
      <c r="G28" s="60">
        <f>'1) Tableau budgétaire 1'!G35</f>
        <v>0</v>
      </c>
      <c r="H28" s="60">
        <f>'1) Tableau budgétaire 1'!H35</f>
        <v>0</v>
      </c>
      <c r="I28" s="60">
        <f>'1) Tableau budgétaire 1'!I35</f>
        <v>0</v>
      </c>
      <c r="J28" s="61">
        <f>SUM(D28:I28)</f>
        <v>151693</v>
      </c>
      <c r="L28" s="598">
        <f>'1) Tableau budgétaire 1'!L35</f>
        <v>94046.5</v>
      </c>
      <c r="M28" s="598">
        <f>'1) Tableau budgétaire 1'!M35</f>
        <v>68596.5</v>
      </c>
      <c r="N28" s="598">
        <f>'1) Tableau budgétaire 1'!N35</f>
        <v>68596.5</v>
      </c>
      <c r="O28" s="598">
        <f>'1) Tableau budgétaire 1'!O35</f>
        <v>0</v>
      </c>
      <c r="P28" s="598">
        <f>'1) Tableau budgétaire 1'!P35</f>
        <v>0</v>
      </c>
      <c r="Q28" s="598">
        <v>0</v>
      </c>
      <c r="R28" s="599">
        <f>SUM(L28:Q28)</f>
        <v>231239.5</v>
      </c>
    </row>
    <row r="29" spans="3:18" ht="16" thickBot="1" x14ac:dyDescent="0.4">
      <c r="C29" s="58" t="s">
        <v>540</v>
      </c>
      <c r="D29" s="90"/>
      <c r="E29" s="91"/>
      <c r="F29" s="91"/>
      <c r="G29" s="91"/>
      <c r="H29" s="91"/>
      <c r="I29" s="91"/>
      <c r="J29" s="61">
        <f t="shared" ref="J29:J35" si="4">SUM(D29:I29)</f>
        <v>0</v>
      </c>
      <c r="L29" s="90"/>
      <c r="M29" s="90"/>
      <c r="N29" s="91"/>
      <c r="O29" s="91"/>
      <c r="P29" s="91"/>
      <c r="Q29" s="91"/>
      <c r="R29" s="599">
        <f t="shared" ref="R29:R35" si="5">SUM(M29:Q29)</f>
        <v>0</v>
      </c>
    </row>
    <row r="30" spans="3:18" ht="16" thickBot="1" x14ac:dyDescent="0.4">
      <c r="C30" s="48" t="s">
        <v>541</v>
      </c>
      <c r="D30" s="92">
        <f>SUM('1) Tableau budgétaire 1'!D28:D29)</f>
        <v>30380</v>
      </c>
      <c r="E30" s="92">
        <f>SUM('1) Tableau budgétaire 1'!E28:E29)</f>
        <v>48995</v>
      </c>
      <c r="F30" s="92">
        <f>SUM('1) Tableau budgétaire 1'!F28:F29)</f>
        <v>48995</v>
      </c>
      <c r="G30" s="18"/>
      <c r="H30" s="18"/>
      <c r="I30" s="18"/>
      <c r="J30" s="61">
        <f>SUM(D30:I30)</f>
        <v>128370</v>
      </c>
      <c r="L30" s="92"/>
      <c r="M30" s="92"/>
      <c r="N30" s="92"/>
      <c r="O30" s="92"/>
      <c r="P30" s="18"/>
      <c r="Q30" s="18"/>
      <c r="R30" s="599">
        <f t="shared" si="5"/>
        <v>0</v>
      </c>
    </row>
    <row r="31" spans="3:18" ht="31.5" thickBot="1" x14ac:dyDescent="0.4">
      <c r="C31" s="48" t="s">
        <v>542</v>
      </c>
      <c r="D31" s="92"/>
      <c r="E31" s="92"/>
      <c r="F31" s="92"/>
      <c r="G31" s="92"/>
      <c r="H31" s="92"/>
      <c r="I31" s="92"/>
      <c r="J31" s="61">
        <f t="shared" si="4"/>
        <v>0</v>
      </c>
      <c r="L31" s="92"/>
      <c r="M31" s="92"/>
      <c r="N31" s="92"/>
      <c r="O31" s="92"/>
      <c r="P31" s="92"/>
      <c r="Q31" s="92"/>
      <c r="R31" s="599">
        <f t="shared" si="5"/>
        <v>0</v>
      </c>
    </row>
    <row r="32" spans="3:18" ht="16" thickBot="1" x14ac:dyDescent="0.4">
      <c r="C32" s="49" t="s">
        <v>543</v>
      </c>
      <c r="D32" s="92">
        <f>SUM('1) Tableau budgétaire 1'!D27)</f>
        <v>6000</v>
      </c>
      <c r="E32" s="92">
        <f>SUM('1) Tableau budgétaire 1'!E27)</f>
        <v>8661.5</v>
      </c>
      <c r="F32" s="92">
        <f>SUM('1) Tableau budgétaire 1'!F27)</f>
        <v>8661.5</v>
      </c>
      <c r="G32" s="92"/>
      <c r="H32" s="92"/>
      <c r="I32" s="92"/>
      <c r="J32" s="61">
        <f>SUM(D32:I32)</f>
        <v>23323</v>
      </c>
      <c r="L32" s="92"/>
      <c r="M32" s="92"/>
      <c r="N32" s="92"/>
      <c r="O32" s="92"/>
      <c r="P32" s="92"/>
      <c r="Q32" s="92"/>
      <c r="R32" s="599">
        <f t="shared" si="5"/>
        <v>0</v>
      </c>
    </row>
    <row r="33" spans="3:18" ht="16" thickBot="1" x14ac:dyDescent="0.4">
      <c r="C33" s="48" t="s">
        <v>544</v>
      </c>
      <c r="D33" s="92"/>
      <c r="E33" s="92"/>
      <c r="F33" s="92"/>
      <c r="G33" s="92"/>
      <c r="H33" s="92"/>
      <c r="I33" s="92"/>
      <c r="J33" s="61">
        <f t="shared" si="4"/>
        <v>0</v>
      </c>
      <c r="L33" s="92"/>
      <c r="M33" s="92"/>
      <c r="N33" s="92"/>
      <c r="O33" s="92"/>
      <c r="P33" s="92"/>
      <c r="Q33" s="92"/>
      <c r="R33" s="599">
        <f t="shared" si="5"/>
        <v>0</v>
      </c>
    </row>
    <row r="34" spans="3:18" ht="16" thickBot="1" x14ac:dyDescent="0.4">
      <c r="C34" s="48" t="s">
        <v>545</v>
      </c>
      <c r="D34" s="92"/>
      <c r="E34" s="92"/>
      <c r="F34" s="92"/>
      <c r="G34" s="92"/>
      <c r="H34" s="92">
        <f>SUM('1) Tableau budgétaire 1'!H27:H29)</f>
        <v>0</v>
      </c>
      <c r="I34" s="92"/>
      <c r="J34" s="61">
        <f t="shared" si="4"/>
        <v>0</v>
      </c>
      <c r="L34" s="670">
        <f>SUM('1) Tableau budgétaire 1'!L27:L31)</f>
        <v>94046.5</v>
      </c>
      <c r="M34" s="670">
        <f>SUM('1) Tableau budgétaire 1'!M27:M31)</f>
        <v>68596.5</v>
      </c>
      <c r="N34" s="670">
        <f>SUM('1) Tableau budgétaire 1'!N27:N31)</f>
        <v>68596.5</v>
      </c>
      <c r="O34" s="92"/>
      <c r="P34" s="619">
        <f>SUM('1) Tableau budgétaire 1'!P27:P29)</f>
        <v>0</v>
      </c>
      <c r="Q34" s="92"/>
      <c r="R34" s="599">
        <f t="shared" si="5"/>
        <v>137193</v>
      </c>
    </row>
    <row r="35" spans="3:18" ht="31.5" thickBot="1" x14ac:dyDescent="0.4">
      <c r="C35" s="48" t="s">
        <v>546</v>
      </c>
      <c r="D35" s="92"/>
      <c r="E35" s="92"/>
      <c r="F35" s="92"/>
      <c r="G35" s="92"/>
      <c r="H35" s="92"/>
      <c r="I35" s="92"/>
      <c r="J35" s="61">
        <f t="shared" si="4"/>
        <v>0</v>
      </c>
      <c r="L35" s="92"/>
      <c r="M35" s="92"/>
      <c r="N35" s="92"/>
      <c r="O35" s="92"/>
      <c r="P35" s="92"/>
      <c r="Q35" s="92"/>
      <c r="R35" s="599">
        <f t="shared" si="5"/>
        <v>0</v>
      </c>
    </row>
    <row r="36" spans="3:18" x14ac:dyDescent="0.35">
      <c r="C36" s="53" t="s">
        <v>21</v>
      </c>
      <c r="D36" s="62">
        <f>SUM(D29:D35)</f>
        <v>36380</v>
      </c>
      <c r="E36" s="62">
        <f>SUM(E29:E35)</f>
        <v>57656.5</v>
      </c>
      <c r="F36" s="62">
        <f>SUM(F29:F35)</f>
        <v>57656.5</v>
      </c>
      <c r="G36" s="62">
        <f t="shared" ref="G36:I36" si="6">SUM(G29:G35)</f>
        <v>0</v>
      </c>
      <c r="H36" s="62">
        <f t="shared" si="6"/>
        <v>0</v>
      </c>
      <c r="I36" s="62">
        <f t="shared" si="6"/>
        <v>0</v>
      </c>
      <c r="J36" s="57">
        <f>SUM(D36:I36)</f>
        <v>151693</v>
      </c>
      <c r="L36" s="601">
        <f>SUM(L29:L35)</f>
        <v>94046.5</v>
      </c>
      <c r="M36" s="601">
        <f t="shared" ref="M36:Q36" si="7">SUM(M29:M35)</f>
        <v>68596.5</v>
      </c>
      <c r="N36" s="601">
        <f t="shared" si="7"/>
        <v>68596.5</v>
      </c>
      <c r="O36" s="601">
        <f t="shared" si="7"/>
        <v>0</v>
      </c>
      <c r="P36" s="601">
        <f t="shared" si="7"/>
        <v>0</v>
      </c>
      <c r="Q36" s="601">
        <f t="shared" si="7"/>
        <v>0</v>
      </c>
      <c r="R36" s="602">
        <f>SUM(L36:Q36)</f>
        <v>231239.5</v>
      </c>
    </row>
    <row r="37" spans="3:18" s="52" customFormat="1" x14ac:dyDescent="0.35">
      <c r="C37" s="63"/>
      <c r="D37" s="64"/>
      <c r="E37" s="64"/>
      <c r="F37" s="64"/>
      <c r="G37" s="64"/>
      <c r="H37" s="64"/>
      <c r="I37" s="64"/>
      <c r="J37" s="65"/>
      <c r="K37" s="50"/>
      <c r="L37" s="64"/>
      <c r="M37" s="64"/>
      <c r="N37" s="64"/>
      <c r="O37" s="64"/>
      <c r="P37" s="64"/>
      <c r="Q37" s="622"/>
      <c r="R37" s="65"/>
    </row>
    <row r="38" spans="3:18" hidden="1" x14ac:dyDescent="0.35">
      <c r="C38" s="797" t="s">
        <v>549</v>
      </c>
      <c r="D38" s="798"/>
      <c r="E38" s="798"/>
      <c r="F38" s="798"/>
      <c r="G38" s="798"/>
      <c r="H38" s="798"/>
      <c r="I38" s="798"/>
      <c r="J38" s="799"/>
      <c r="L38" s="820"/>
      <c r="M38" s="820"/>
      <c r="N38" s="820"/>
      <c r="O38" s="820"/>
      <c r="P38" s="820"/>
      <c r="Q38" s="820"/>
      <c r="R38" s="821"/>
    </row>
    <row r="39" spans="3:18" ht="21.75" hidden="1" customHeight="1" thickBot="1" x14ac:dyDescent="0.4">
      <c r="C39" s="59" t="s">
        <v>550</v>
      </c>
      <c r="D39" s="60">
        <f>'1) Tableau budgétaire 1'!D45</f>
        <v>0</v>
      </c>
      <c r="E39" s="60">
        <f>'1) Tableau budgétaire 1'!E45</f>
        <v>0</v>
      </c>
      <c r="F39" s="60">
        <f>'1) Tableau budgétaire 1'!F45</f>
        <v>0</v>
      </c>
      <c r="G39" s="60">
        <f>'1) Tableau budgétaire 1'!G45</f>
        <v>0</v>
      </c>
      <c r="H39" s="60">
        <f>'1) Tableau budgétaire 1'!H45</f>
        <v>0</v>
      </c>
      <c r="I39" s="60">
        <f>'1) Tableau budgétaire 1'!I45</f>
        <v>0</v>
      </c>
      <c r="J39" s="61">
        <f>SUM(D39:I39)</f>
        <v>0</v>
      </c>
      <c r="L39" s="598">
        <f>'1) Tableau budgétaire 1'!L45</f>
        <v>0</v>
      </c>
      <c r="M39" s="598">
        <f>'1) Tableau budgétaire 1'!M45</f>
        <v>0</v>
      </c>
      <c r="N39" s="598">
        <f>'1) Tableau budgétaire 1'!N45</f>
        <v>0</v>
      </c>
      <c r="O39" s="598">
        <f>'1) Tableau budgétaire 1'!O45</f>
        <v>0</v>
      </c>
      <c r="P39" s="598">
        <f>'1) Tableau budgétaire 1'!P45</f>
        <v>0</v>
      </c>
      <c r="Q39" s="598">
        <v>0</v>
      </c>
      <c r="R39" s="599">
        <f>SUM(L39:Q39)</f>
        <v>0</v>
      </c>
    </row>
    <row r="40" spans="3:18" ht="16" hidden="1" thickBot="1" x14ac:dyDescent="0.4">
      <c r="C40" s="58" t="s">
        <v>540</v>
      </c>
      <c r="D40" s="90"/>
      <c r="E40" s="91"/>
      <c r="F40" s="91"/>
      <c r="G40" s="91"/>
      <c r="H40" s="91"/>
      <c r="I40" s="91"/>
      <c r="J40" s="61">
        <f t="shared" ref="J40:J46" si="8">SUM(D40:I40)</f>
        <v>0</v>
      </c>
      <c r="L40" s="90"/>
      <c r="M40" s="90"/>
      <c r="N40" s="91"/>
      <c r="O40" s="91"/>
      <c r="P40" s="91"/>
      <c r="Q40" s="91"/>
      <c r="R40" s="599">
        <f t="shared" ref="R40:R46" si="9">SUM(M40:Q40)</f>
        <v>0</v>
      </c>
    </row>
    <row r="41" spans="3:18" s="52" customFormat="1" ht="15.75" hidden="1" customHeight="1" thickBot="1" x14ac:dyDescent="0.4">
      <c r="C41" s="48" t="s">
        <v>541</v>
      </c>
      <c r="D41" s="92">
        <f>SUM('1) Tableau budgétaire 1'!D37:D38)</f>
        <v>0</v>
      </c>
      <c r="E41" s="92">
        <f>SUM('1) Tableau budgétaire 1'!E37:E38)</f>
        <v>0</v>
      </c>
      <c r="F41" s="92">
        <f>SUM('1) Tableau budgétaire 1'!F37:F38)</f>
        <v>0</v>
      </c>
      <c r="G41" s="18"/>
      <c r="H41" s="18"/>
      <c r="I41" s="18"/>
      <c r="J41" s="61">
        <f t="shared" si="8"/>
        <v>0</v>
      </c>
      <c r="K41" s="50"/>
      <c r="L41" s="92">
        <f>SUM('1) Tableau budgétaire 1'!L37:L38)</f>
        <v>0</v>
      </c>
      <c r="M41" s="92">
        <f>SUM('1) Tableau budgétaire 1'!M37:M38)</f>
        <v>0</v>
      </c>
      <c r="N41" s="92">
        <f>SUM('1) Tableau budgétaire 1'!N37:N38)</f>
        <v>0</v>
      </c>
      <c r="O41" s="92"/>
      <c r="P41" s="18"/>
      <c r="Q41" s="18"/>
      <c r="R41" s="599">
        <f t="shared" si="9"/>
        <v>0</v>
      </c>
    </row>
    <row r="42" spans="3:18" s="52" customFormat="1" ht="31.5" hidden="1" thickBot="1" x14ac:dyDescent="0.4">
      <c r="C42" s="48" t="s">
        <v>542</v>
      </c>
      <c r="D42" s="92"/>
      <c r="E42" s="92"/>
      <c r="F42" s="92"/>
      <c r="G42" s="92"/>
      <c r="H42" s="92"/>
      <c r="I42" s="92"/>
      <c r="J42" s="61">
        <f t="shared" si="8"/>
        <v>0</v>
      </c>
      <c r="K42" s="50"/>
      <c r="L42" s="92"/>
      <c r="M42" s="92"/>
      <c r="N42" s="92"/>
      <c r="O42" s="92"/>
      <c r="P42" s="92"/>
      <c r="Q42" s="92"/>
      <c r="R42" s="599">
        <f t="shared" si="9"/>
        <v>0</v>
      </c>
    </row>
    <row r="43" spans="3:18" s="52" customFormat="1" ht="16" hidden="1" thickBot="1" x14ac:dyDescent="0.4">
      <c r="C43" s="49" t="s">
        <v>543</v>
      </c>
      <c r="D43" s="92"/>
      <c r="E43" s="92"/>
      <c r="F43" s="92"/>
      <c r="G43" s="92"/>
      <c r="H43" s="92"/>
      <c r="I43" s="92"/>
      <c r="J43" s="61">
        <f t="shared" si="8"/>
        <v>0</v>
      </c>
      <c r="K43" s="50"/>
      <c r="L43" s="92"/>
      <c r="M43" s="92"/>
      <c r="N43" s="92"/>
      <c r="O43" s="92"/>
      <c r="P43" s="92"/>
      <c r="Q43" s="92"/>
      <c r="R43" s="599">
        <f t="shared" si="9"/>
        <v>0</v>
      </c>
    </row>
    <row r="44" spans="3:18" ht="16" hidden="1" thickBot="1" x14ac:dyDescent="0.4">
      <c r="C44" s="48" t="s">
        <v>544</v>
      </c>
      <c r="D44" s="92"/>
      <c r="E44" s="92"/>
      <c r="F44" s="92"/>
      <c r="G44" s="92"/>
      <c r="H44" s="92"/>
      <c r="I44" s="92"/>
      <c r="J44" s="61">
        <f t="shared" si="8"/>
        <v>0</v>
      </c>
      <c r="L44" s="92"/>
      <c r="M44" s="92"/>
      <c r="N44" s="92"/>
      <c r="O44" s="92"/>
      <c r="P44" s="92"/>
      <c r="Q44" s="92"/>
      <c r="R44" s="599">
        <f t="shared" si="9"/>
        <v>0</v>
      </c>
    </row>
    <row r="45" spans="3:18" ht="16" hidden="1" thickBot="1" x14ac:dyDescent="0.4">
      <c r="C45" s="48" t="s">
        <v>545</v>
      </c>
      <c r="D45" s="92"/>
      <c r="E45" s="92"/>
      <c r="F45" s="92"/>
      <c r="G45" s="92"/>
      <c r="H45" s="92"/>
      <c r="I45" s="92"/>
      <c r="J45" s="61">
        <f t="shared" si="8"/>
        <v>0</v>
      </c>
      <c r="L45" s="92"/>
      <c r="M45" s="92"/>
      <c r="N45" s="92"/>
      <c r="O45" s="92"/>
      <c r="P45" s="92"/>
      <c r="Q45" s="92"/>
      <c r="R45" s="599">
        <f t="shared" si="9"/>
        <v>0</v>
      </c>
    </row>
    <row r="46" spans="3:18" ht="31.5" hidden="1" thickBot="1" x14ac:dyDescent="0.4">
      <c r="C46" s="48" t="s">
        <v>546</v>
      </c>
      <c r="D46" s="92"/>
      <c r="E46" s="92"/>
      <c r="F46" s="92"/>
      <c r="G46" s="92"/>
      <c r="H46" s="92"/>
      <c r="I46" s="92"/>
      <c r="J46" s="61">
        <f t="shared" si="8"/>
        <v>0</v>
      </c>
      <c r="L46" s="92"/>
      <c r="M46" s="92"/>
      <c r="N46" s="92"/>
      <c r="O46" s="92"/>
      <c r="P46" s="92"/>
      <c r="Q46" s="92"/>
      <c r="R46" s="599">
        <f t="shared" si="9"/>
        <v>0</v>
      </c>
    </row>
    <row r="47" spans="3:18" hidden="1" x14ac:dyDescent="0.35">
      <c r="C47" s="124" t="s">
        <v>21</v>
      </c>
      <c r="D47" s="125">
        <f>SUM(D40:D46)</f>
        <v>0</v>
      </c>
      <c r="E47" s="125">
        <f>SUM(E40:E46)</f>
        <v>0</v>
      </c>
      <c r="F47" s="125">
        <f>SUM(F40:F46)</f>
        <v>0</v>
      </c>
      <c r="G47" s="125">
        <f t="shared" ref="G47:I47" si="10">SUM(G40:G46)</f>
        <v>0</v>
      </c>
      <c r="H47" s="125">
        <f t="shared" si="10"/>
        <v>0</v>
      </c>
      <c r="I47" s="125">
        <f t="shared" si="10"/>
        <v>0</v>
      </c>
      <c r="J47" s="126">
        <f>SUM(D47:I47)</f>
        <v>0</v>
      </c>
      <c r="L47" s="604">
        <f>SUM(L40:L46)</f>
        <v>0</v>
      </c>
      <c r="M47" s="604">
        <f>SUM(M40:M46)</f>
        <v>0</v>
      </c>
      <c r="N47" s="604">
        <f>SUM(N40:N46)</f>
        <v>0</v>
      </c>
      <c r="O47" s="604">
        <f>SUM(O40:O46)</f>
        <v>0</v>
      </c>
      <c r="P47" s="604">
        <f t="shared" ref="P47:Q47" si="11">SUM(P40:P46)</f>
        <v>0</v>
      </c>
      <c r="Q47" s="604">
        <f t="shared" si="11"/>
        <v>0</v>
      </c>
      <c r="R47" s="603">
        <f>SUM(L47:Q47)</f>
        <v>0</v>
      </c>
    </row>
    <row r="48" spans="3:18" hidden="1" x14ac:dyDescent="0.35">
      <c r="C48" s="127"/>
      <c r="D48" s="128"/>
      <c r="E48" s="128"/>
      <c r="F48" s="128"/>
      <c r="G48" s="128"/>
      <c r="H48" s="128"/>
      <c r="I48" s="128"/>
      <c r="J48" s="129"/>
      <c r="L48" s="128"/>
      <c r="M48" s="128"/>
      <c r="N48" s="128"/>
      <c r="O48" s="128"/>
      <c r="P48" s="128"/>
      <c r="Q48" s="623"/>
      <c r="R48" s="129"/>
    </row>
    <row r="49" spans="2:18" s="52" customFormat="1" hidden="1" x14ac:dyDescent="0.35">
      <c r="C49" s="804" t="s">
        <v>551</v>
      </c>
      <c r="D49" s="805"/>
      <c r="E49" s="805"/>
      <c r="F49" s="805"/>
      <c r="G49" s="805"/>
      <c r="H49" s="805"/>
      <c r="I49" s="805"/>
      <c r="J49" s="806"/>
      <c r="K49" s="50"/>
      <c r="L49" s="824"/>
      <c r="M49" s="824"/>
      <c r="N49" s="824"/>
      <c r="O49" s="824"/>
      <c r="P49" s="824"/>
      <c r="Q49" s="824"/>
      <c r="R49" s="825"/>
    </row>
    <row r="50" spans="2:18" ht="20.25" hidden="1" customHeight="1" thickBot="1" x14ac:dyDescent="0.4">
      <c r="C50" s="59" t="s">
        <v>552</v>
      </c>
      <c r="D50" s="60">
        <f>'1) Tableau budgétaire 1'!D55</f>
        <v>0</v>
      </c>
      <c r="E50" s="60">
        <f>'1) Tableau budgétaire 1'!E55</f>
        <v>0</v>
      </c>
      <c r="F50" s="60">
        <f>'1) Tableau budgétaire 1'!F55</f>
        <v>0</v>
      </c>
      <c r="G50" s="60">
        <f>'1) Tableau budgétaire 1'!G55</f>
        <v>0</v>
      </c>
      <c r="H50" s="60">
        <f>'1) Tableau budgétaire 1'!H55</f>
        <v>0</v>
      </c>
      <c r="I50" s="60">
        <f>'1) Tableau budgétaire 1'!I55</f>
        <v>0</v>
      </c>
      <c r="J50" s="61">
        <f>SUM(D50:I50)</f>
        <v>0</v>
      </c>
      <c r="L50" s="598">
        <f>'1) Tableau budgétaire 1'!L55</f>
        <v>0</v>
      </c>
      <c r="M50" s="598">
        <f>'1) Tableau budgétaire 1'!M55</f>
        <v>0</v>
      </c>
      <c r="N50" s="598">
        <f>'1) Tableau budgétaire 1'!N55</f>
        <v>0</v>
      </c>
      <c r="O50" s="598">
        <f>'1) Tableau budgétaire 1'!O55</f>
        <v>0</v>
      </c>
      <c r="P50" s="598">
        <f>'1) Tableau budgétaire 1'!P55</f>
        <v>0</v>
      </c>
      <c r="Q50" s="598">
        <v>0</v>
      </c>
      <c r="R50" s="599">
        <f t="shared" ref="R50:R58" si="12">SUM(M50:Q50)</f>
        <v>0</v>
      </c>
    </row>
    <row r="51" spans="2:18" ht="16" hidden="1" thickBot="1" x14ac:dyDescent="0.4">
      <c r="C51" s="58" t="s">
        <v>540</v>
      </c>
      <c r="D51" s="90"/>
      <c r="E51" s="91"/>
      <c r="F51" s="91"/>
      <c r="G51" s="91"/>
      <c r="H51" s="91"/>
      <c r="I51" s="91"/>
      <c r="J51" s="61">
        <f t="shared" ref="J51:J58" si="13">SUM(D51:I51)</f>
        <v>0</v>
      </c>
      <c r="L51" s="90"/>
      <c r="M51" s="90"/>
      <c r="N51" s="91"/>
      <c r="O51" s="91"/>
      <c r="P51" s="91"/>
      <c r="Q51" s="91"/>
      <c r="R51" s="599">
        <f t="shared" si="12"/>
        <v>0</v>
      </c>
    </row>
    <row r="52" spans="2:18" ht="15.75" hidden="1" customHeight="1" thickBot="1" x14ac:dyDescent="0.4">
      <c r="C52" s="48" t="s">
        <v>541</v>
      </c>
      <c r="D52" s="92"/>
      <c r="E52" s="18"/>
      <c r="F52" s="18"/>
      <c r="G52" s="18"/>
      <c r="H52" s="18"/>
      <c r="I52" s="18"/>
      <c r="J52" s="61">
        <f t="shared" si="13"/>
        <v>0</v>
      </c>
      <c r="L52" s="92"/>
      <c r="M52" s="92"/>
      <c r="N52" s="18"/>
      <c r="O52" s="18"/>
      <c r="P52" s="18"/>
      <c r="Q52" s="18"/>
      <c r="R52" s="599">
        <f t="shared" si="12"/>
        <v>0</v>
      </c>
    </row>
    <row r="53" spans="2:18" ht="32.25" hidden="1" customHeight="1" thickBot="1" x14ac:dyDescent="0.4">
      <c r="C53" s="48" t="s">
        <v>542</v>
      </c>
      <c r="D53" s="92"/>
      <c r="E53" s="92"/>
      <c r="F53" s="92"/>
      <c r="G53" s="92"/>
      <c r="H53" s="92"/>
      <c r="I53" s="92"/>
      <c r="J53" s="61">
        <f t="shared" si="13"/>
        <v>0</v>
      </c>
      <c r="L53" s="92"/>
      <c r="M53" s="92"/>
      <c r="N53" s="92"/>
      <c r="O53" s="92"/>
      <c r="P53" s="92"/>
      <c r="Q53" s="92"/>
      <c r="R53" s="599">
        <f t="shared" si="12"/>
        <v>0</v>
      </c>
    </row>
    <row r="54" spans="2:18" s="52" customFormat="1" ht="16" hidden="1" thickBot="1" x14ac:dyDescent="0.4">
      <c r="C54" s="49" t="s">
        <v>543</v>
      </c>
      <c r="D54" s="92"/>
      <c r="E54" s="92"/>
      <c r="F54" s="92"/>
      <c r="G54" s="92"/>
      <c r="H54" s="92"/>
      <c r="I54" s="92"/>
      <c r="J54" s="61">
        <f t="shared" si="13"/>
        <v>0</v>
      </c>
      <c r="K54" s="50"/>
      <c r="L54" s="92"/>
      <c r="M54" s="92"/>
      <c r="N54" s="92"/>
      <c r="O54" s="92"/>
      <c r="P54" s="92"/>
      <c r="Q54" s="92"/>
      <c r="R54" s="599">
        <f t="shared" si="12"/>
        <v>0</v>
      </c>
    </row>
    <row r="55" spans="2:18" ht="16" hidden="1" thickBot="1" x14ac:dyDescent="0.4">
      <c r="C55" s="48" t="s">
        <v>544</v>
      </c>
      <c r="D55" s="92"/>
      <c r="E55" s="92"/>
      <c r="F55" s="92"/>
      <c r="G55" s="92"/>
      <c r="H55" s="92"/>
      <c r="I55" s="92"/>
      <c r="J55" s="61">
        <f t="shared" si="13"/>
        <v>0</v>
      </c>
      <c r="L55" s="92"/>
      <c r="M55" s="92"/>
      <c r="N55" s="92"/>
      <c r="O55" s="92"/>
      <c r="P55" s="92"/>
      <c r="Q55" s="92"/>
      <c r="R55" s="599">
        <f t="shared" si="12"/>
        <v>0</v>
      </c>
    </row>
    <row r="56" spans="2:18" ht="16" hidden="1" thickBot="1" x14ac:dyDescent="0.4">
      <c r="C56" s="48" t="s">
        <v>545</v>
      </c>
      <c r="D56" s="92"/>
      <c r="E56" s="92"/>
      <c r="F56" s="92"/>
      <c r="G56" s="92"/>
      <c r="H56" s="92"/>
      <c r="I56" s="92"/>
      <c r="J56" s="61">
        <f t="shared" si="13"/>
        <v>0</v>
      </c>
      <c r="L56" s="92"/>
      <c r="M56" s="92"/>
      <c r="N56" s="92"/>
      <c r="O56" s="92"/>
      <c r="P56" s="92"/>
      <c r="Q56" s="92"/>
      <c r="R56" s="599">
        <f t="shared" si="12"/>
        <v>0</v>
      </c>
    </row>
    <row r="57" spans="2:18" ht="31.5" hidden="1" thickBot="1" x14ac:dyDescent="0.4">
      <c r="C57" s="48" t="s">
        <v>546</v>
      </c>
      <c r="D57" s="92"/>
      <c r="E57" s="92"/>
      <c r="F57" s="92"/>
      <c r="G57" s="92"/>
      <c r="H57" s="92"/>
      <c r="I57" s="92"/>
      <c r="J57" s="61">
        <f t="shared" si="13"/>
        <v>0</v>
      </c>
      <c r="L57" s="92"/>
      <c r="M57" s="92"/>
      <c r="N57" s="92"/>
      <c r="O57" s="92"/>
      <c r="P57" s="92"/>
      <c r="Q57" s="92"/>
      <c r="R57" s="599">
        <f t="shared" si="12"/>
        <v>0</v>
      </c>
    </row>
    <row r="58" spans="2:18" ht="21" hidden="1" customHeight="1" thickBot="1" x14ac:dyDescent="0.4">
      <c r="C58" s="53" t="s">
        <v>21</v>
      </c>
      <c r="D58" s="62">
        <f>SUM(D51:D57)</f>
        <v>0</v>
      </c>
      <c r="E58" s="62">
        <f>SUM(E51:E57)</f>
        <v>0</v>
      </c>
      <c r="F58" s="62">
        <f>SUM(F51:F57)</f>
        <v>0</v>
      </c>
      <c r="G58" s="62">
        <f t="shared" ref="G58:I58" si="14">SUM(G51:G57)</f>
        <v>0</v>
      </c>
      <c r="H58" s="62">
        <f t="shared" si="14"/>
        <v>0</v>
      </c>
      <c r="I58" s="62">
        <f t="shared" si="14"/>
        <v>0</v>
      </c>
      <c r="J58" s="61">
        <f t="shared" si="13"/>
        <v>0</v>
      </c>
      <c r="L58" s="601">
        <f>SUM(L51:L57)</f>
        <v>0</v>
      </c>
      <c r="M58" s="601">
        <f>SUM(M51:M57)</f>
        <v>0</v>
      </c>
      <c r="N58" s="601">
        <f>SUM(N51:N57)</f>
        <v>0</v>
      </c>
      <c r="O58" s="601">
        <f>SUM(O51:O57)</f>
        <v>0</v>
      </c>
      <c r="P58" s="601">
        <f t="shared" ref="P58:Q58" si="15">SUM(P51:P57)</f>
        <v>0</v>
      </c>
      <c r="Q58" s="601">
        <f t="shared" si="15"/>
        <v>0</v>
      </c>
      <c r="R58" s="599">
        <f t="shared" si="12"/>
        <v>0</v>
      </c>
    </row>
    <row r="59" spans="2:18" s="52" customFormat="1" ht="22.5" hidden="1" customHeight="1" x14ac:dyDescent="0.35">
      <c r="C59" s="66"/>
      <c r="D59" s="64"/>
      <c r="E59" s="64"/>
      <c r="F59" s="64"/>
      <c r="G59" s="64"/>
      <c r="H59" s="64"/>
      <c r="I59" s="64"/>
      <c r="J59" s="65"/>
      <c r="K59" s="50"/>
      <c r="L59" s="64"/>
      <c r="M59" s="64"/>
      <c r="N59" s="64"/>
      <c r="O59" s="64"/>
      <c r="P59" s="64"/>
      <c r="Q59" s="622"/>
      <c r="R59" s="65"/>
    </row>
    <row r="60" spans="2:18" x14ac:dyDescent="0.35">
      <c r="B60" s="797" t="s">
        <v>553</v>
      </c>
      <c r="C60" s="798"/>
      <c r="D60" s="798"/>
      <c r="E60" s="798"/>
      <c r="F60" s="798"/>
      <c r="G60" s="798"/>
      <c r="H60" s="798"/>
      <c r="I60" s="798"/>
      <c r="J60" s="799"/>
      <c r="L60" s="820"/>
      <c r="M60" s="820"/>
      <c r="N60" s="820"/>
      <c r="O60" s="820"/>
      <c r="P60" s="820"/>
      <c r="Q60" s="820"/>
      <c r="R60" s="821"/>
    </row>
    <row r="61" spans="2:18" x14ac:dyDescent="0.35">
      <c r="C61" s="797" t="s">
        <v>413</v>
      </c>
      <c r="D61" s="798"/>
      <c r="E61" s="798"/>
      <c r="F61" s="798"/>
      <c r="G61" s="798"/>
      <c r="H61" s="798"/>
      <c r="I61" s="798"/>
      <c r="J61" s="799"/>
      <c r="L61" s="820"/>
      <c r="M61" s="820"/>
      <c r="N61" s="820"/>
      <c r="O61" s="820"/>
      <c r="P61" s="820"/>
      <c r="Q61" s="820"/>
      <c r="R61" s="821"/>
    </row>
    <row r="62" spans="2:18" ht="24" customHeight="1" thickBot="1" x14ac:dyDescent="0.4">
      <c r="C62" s="59" t="s">
        <v>554</v>
      </c>
      <c r="D62" s="60">
        <f>'1) Tableau budgétaire 1'!D69</f>
        <v>51000</v>
      </c>
      <c r="E62" s="60">
        <f>'1) Tableau budgétaire 1'!E69</f>
        <v>70000</v>
      </c>
      <c r="F62" s="60">
        <f>'1) Tableau budgétaire 1'!F69</f>
        <v>58300</v>
      </c>
      <c r="G62" s="60">
        <f>'1) Tableau budgétaire 1'!G69</f>
        <v>0</v>
      </c>
      <c r="H62" s="60">
        <f>'1) Tableau budgétaire 1'!H69</f>
        <v>16500</v>
      </c>
      <c r="I62" s="60">
        <f>'1) Tableau budgétaire 1'!I69</f>
        <v>0</v>
      </c>
      <c r="J62" s="61">
        <f>SUM(D62:I62)</f>
        <v>195800</v>
      </c>
      <c r="L62" s="598">
        <f>'1) Tableau budgétaire 1'!L69</f>
        <v>238600.5</v>
      </c>
      <c r="M62" s="598">
        <f>'1) Tableau budgétaire 1'!M69</f>
        <v>203112.5</v>
      </c>
      <c r="N62" s="598">
        <f>'1) Tableau budgétaire 1'!N69</f>
        <v>182412.5</v>
      </c>
      <c r="O62" s="598">
        <f>'1) Tableau budgétaire 1'!O69</f>
        <v>0</v>
      </c>
      <c r="P62" s="598">
        <f>'1) Tableau budgétaire 1'!P69</f>
        <v>16500</v>
      </c>
      <c r="Q62" s="598">
        <v>0</v>
      </c>
      <c r="R62" s="599">
        <f>SUM(L62:Q62)</f>
        <v>640625.5</v>
      </c>
    </row>
    <row r="63" spans="2:18" ht="15.75" customHeight="1" thickBot="1" x14ac:dyDescent="0.4">
      <c r="C63" s="58" t="s">
        <v>540</v>
      </c>
      <c r="D63" s="90"/>
      <c r="E63" s="91"/>
      <c r="F63" s="91"/>
      <c r="G63" s="91"/>
      <c r="H63" s="91"/>
      <c r="I63" s="91"/>
      <c r="J63" s="61">
        <f t="shared" ref="J63:J69" si="16">SUM(D63:I63)</f>
        <v>0</v>
      </c>
      <c r="L63" s="90"/>
      <c r="M63" s="90"/>
      <c r="N63" s="91"/>
      <c r="O63" s="91"/>
      <c r="P63" s="91"/>
      <c r="Q63" s="91"/>
      <c r="R63" s="599">
        <f t="shared" ref="R63:R69" si="17">SUM(M63:Q63)</f>
        <v>0</v>
      </c>
    </row>
    <row r="64" spans="2:18" ht="15.75" customHeight="1" thickBot="1" x14ac:dyDescent="0.4">
      <c r="C64" s="48" t="s">
        <v>541</v>
      </c>
      <c r="D64" s="92">
        <f>SUM('1) Tableau budgétaire 1'!D60:D64)</f>
        <v>45000</v>
      </c>
      <c r="E64" s="92">
        <f>SUM('1) Tableau budgétaire 1'!E60:E64)</f>
        <v>63000</v>
      </c>
      <c r="F64" s="92">
        <f>SUM('1) Tableau budgétaire 1'!F60:F64)</f>
        <v>51300</v>
      </c>
      <c r="G64" s="18"/>
      <c r="H64" s="18"/>
      <c r="I64" s="18"/>
      <c r="J64" s="61">
        <f>SUM(D64:I64)</f>
        <v>159300</v>
      </c>
      <c r="L64" s="92"/>
      <c r="M64" s="92"/>
      <c r="N64" s="92"/>
      <c r="O64" s="92"/>
      <c r="P64" s="18"/>
      <c r="Q64" s="18"/>
      <c r="R64" s="599">
        <f t="shared" si="17"/>
        <v>0</v>
      </c>
    </row>
    <row r="65" spans="2:18" ht="15.75" customHeight="1" thickBot="1" x14ac:dyDescent="0.4">
      <c r="C65" s="48" t="s">
        <v>542</v>
      </c>
      <c r="D65" s="92"/>
      <c r="E65" s="92"/>
      <c r="F65" s="92"/>
      <c r="G65" s="92"/>
      <c r="H65" s="92"/>
      <c r="I65" s="92"/>
      <c r="J65" s="61">
        <f t="shared" si="16"/>
        <v>0</v>
      </c>
      <c r="L65" s="92"/>
      <c r="M65" s="92"/>
      <c r="N65" s="92"/>
      <c r="O65" s="92"/>
      <c r="P65" s="92"/>
      <c r="Q65" s="92"/>
      <c r="R65" s="599">
        <f t="shared" si="17"/>
        <v>0</v>
      </c>
    </row>
    <row r="66" spans="2:18" ht="18.75" customHeight="1" thickBot="1" x14ac:dyDescent="0.4">
      <c r="C66" s="49" t="s">
        <v>543</v>
      </c>
      <c r="D66" s="92">
        <f>SUM('1) Tableau budgétaire 1'!D59)</f>
        <v>6000</v>
      </c>
      <c r="E66" s="92">
        <f>SUM('1) Tableau budgétaire 1'!E59)</f>
        <v>7000</v>
      </c>
      <c r="F66" s="92">
        <f>SUM('1) Tableau budgétaire 1'!F59)</f>
        <v>7000</v>
      </c>
      <c r="G66" s="92"/>
      <c r="H66" s="92"/>
      <c r="I66" s="92"/>
      <c r="J66" s="61">
        <f t="shared" si="16"/>
        <v>20000</v>
      </c>
      <c r="L66" s="670">
        <f>SUM('1) Tableau budgétaire 1'!L59:L68)</f>
        <v>238600.5</v>
      </c>
      <c r="M66" s="670">
        <f>SUM('1) Tableau budgétaire 1'!M59:M68)</f>
        <v>203112.5</v>
      </c>
      <c r="N66" s="670">
        <f>SUM('1) Tableau budgétaire 1'!N59:N68)</f>
        <v>182412.5</v>
      </c>
      <c r="O66" s="92"/>
      <c r="P66" s="92"/>
      <c r="Q66" s="92"/>
      <c r="R66" s="599">
        <f t="shared" si="17"/>
        <v>385525</v>
      </c>
    </row>
    <row r="67" spans="2:18" ht="16" thickBot="1" x14ac:dyDescent="0.4">
      <c r="C67" s="48" t="s">
        <v>544</v>
      </c>
      <c r="D67" s="92"/>
      <c r="E67" s="92"/>
      <c r="F67" s="92"/>
      <c r="G67" s="92"/>
      <c r="H67" s="92"/>
      <c r="I67" s="92"/>
      <c r="J67" s="61">
        <f t="shared" si="16"/>
        <v>0</v>
      </c>
      <c r="L67" s="670"/>
      <c r="M67" s="670"/>
      <c r="N67" s="670"/>
      <c r="O67" s="92"/>
      <c r="P67" s="92"/>
      <c r="Q67" s="92"/>
      <c r="R67" s="599">
        <f t="shared" si="17"/>
        <v>0</v>
      </c>
    </row>
    <row r="68" spans="2:18" s="52" customFormat="1" ht="21.75" customHeight="1" thickBot="1" x14ac:dyDescent="0.4">
      <c r="B68" s="50"/>
      <c r="C68" s="48" t="s">
        <v>545</v>
      </c>
      <c r="D68" s="92"/>
      <c r="E68" s="92"/>
      <c r="F68" s="92"/>
      <c r="G68" s="92"/>
      <c r="H68" s="92">
        <f>SUM('1) Tableau budgétaire 1'!H59:H68)</f>
        <v>16500</v>
      </c>
      <c r="I68" s="92"/>
      <c r="J68" s="61">
        <f t="shared" si="16"/>
        <v>16500</v>
      </c>
      <c r="K68" s="50"/>
      <c r="L68" s="92"/>
      <c r="M68" s="92"/>
      <c r="N68" s="92"/>
      <c r="O68" s="92"/>
      <c r="P68" s="92">
        <f>SUM('1) Tableau budgétaire 1'!P59:P68)</f>
        <v>16500</v>
      </c>
      <c r="Q68" s="92"/>
      <c r="R68" s="599">
        <f t="shared" si="17"/>
        <v>16500</v>
      </c>
    </row>
    <row r="69" spans="2:18" s="52" customFormat="1" ht="31.5" thickBot="1" x14ac:dyDescent="0.4">
      <c r="B69" s="50"/>
      <c r="C69" s="48" t="s">
        <v>546</v>
      </c>
      <c r="D69" s="92"/>
      <c r="E69" s="92"/>
      <c r="F69" s="92"/>
      <c r="G69" s="92"/>
      <c r="H69" s="92"/>
      <c r="I69" s="92"/>
      <c r="J69" s="61">
        <f t="shared" si="16"/>
        <v>0</v>
      </c>
      <c r="K69" s="50"/>
      <c r="L69" s="92"/>
      <c r="M69" s="92"/>
      <c r="N69" s="92"/>
      <c r="O69" s="92"/>
      <c r="P69" s="92"/>
      <c r="Q69" s="92"/>
      <c r="R69" s="599">
        <f t="shared" si="17"/>
        <v>0</v>
      </c>
    </row>
    <row r="70" spans="2:18" x14ac:dyDescent="0.35">
      <c r="C70" s="53" t="s">
        <v>21</v>
      </c>
      <c r="D70" s="62">
        <f>SUM(D63:D69)</f>
        <v>51000</v>
      </c>
      <c r="E70" s="62">
        <f>SUM(E63:E69)</f>
        <v>70000</v>
      </c>
      <c r="F70" s="62">
        <f>SUM(F63:F69)</f>
        <v>58300</v>
      </c>
      <c r="G70" s="62">
        <f t="shared" ref="G70:I70" si="18">SUM(G63:G69)</f>
        <v>0</v>
      </c>
      <c r="H70" s="62">
        <f t="shared" si="18"/>
        <v>16500</v>
      </c>
      <c r="I70" s="62">
        <f t="shared" si="18"/>
        <v>0</v>
      </c>
      <c r="J70" s="57">
        <f>SUM(D70:I70)</f>
        <v>195800</v>
      </c>
      <c r="L70" s="601">
        <f>SUM(L63:L69)</f>
        <v>238600.5</v>
      </c>
      <c r="M70" s="601">
        <f>SUM(M63:M69)</f>
        <v>203112.5</v>
      </c>
      <c r="N70" s="601">
        <f>SUM(N63:N69)</f>
        <v>182412.5</v>
      </c>
      <c r="O70" s="601">
        <f>SUM(O63:O69)</f>
        <v>0</v>
      </c>
      <c r="P70" s="601">
        <f t="shared" ref="P70:Q70" si="19">SUM(P63:P69)</f>
        <v>16500</v>
      </c>
      <c r="Q70" s="601">
        <f t="shared" si="19"/>
        <v>0</v>
      </c>
      <c r="R70" s="602">
        <f>SUM(L70:Q70)</f>
        <v>640625.5</v>
      </c>
    </row>
    <row r="71" spans="2:18" s="52" customFormat="1" x14ac:dyDescent="0.35">
      <c r="C71" s="63"/>
      <c r="D71" s="64"/>
      <c r="E71" s="64"/>
      <c r="F71" s="64"/>
      <c r="G71" s="64"/>
      <c r="H71" s="64"/>
      <c r="I71" s="64"/>
      <c r="J71" s="65"/>
      <c r="K71" s="50"/>
      <c r="L71" s="64"/>
      <c r="M71" s="64"/>
      <c r="N71" s="64"/>
      <c r="O71" s="64"/>
      <c r="P71" s="64"/>
      <c r="Q71" s="622"/>
      <c r="R71" s="65"/>
    </row>
    <row r="72" spans="2:18" x14ac:dyDescent="0.35">
      <c r="B72" s="52"/>
      <c r="C72" s="797" t="s">
        <v>422</v>
      </c>
      <c r="D72" s="798"/>
      <c r="E72" s="798"/>
      <c r="F72" s="798"/>
      <c r="G72" s="798"/>
      <c r="H72" s="798"/>
      <c r="I72" s="798"/>
      <c r="J72" s="799"/>
      <c r="L72" s="820"/>
      <c r="M72" s="820"/>
      <c r="N72" s="820"/>
      <c r="O72" s="820"/>
      <c r="P72" s="820"/>
      <c r="Q72" s="820"/>
      <c r="R72" s="821"/>
    </row>
    <row r="73" spans="2:18" ht="21.75" customHeight="1" thickBot="1" x14ac:dyDescent="0.4">
      <c r="C73" s="59" t="s">
        <v>555</v>
      </c>
      <c r="D73" s="60">
        <f>'1) Tableau budgétaire 1'!D79</f>
        <v>22000</v>
      </c>
      <c r="E73" s="60">
        <f>'1) Tableau budgétaire 1'!E79</f>
        <v>41000</v>
      </c>
      <c r="F73" s="60">
        <f>'1) Tableau budgétaire 1'!F79</f>
        <v>52700</v>
      </c>
      <c r="G73" s="60">
        <f>'1) Tableau budgétaire 1'!G79</f>
        <v>0</v>
      </c>
      <c r="H73" s="60">
        <f>'1) Tableau budgétaire 1'!H79</f>
        <v>5000</v>
      </c>
      <c r="I73" s="60">
        <f>'1) Tableau budgétaire 1'!I79</f>
        <v>0</v>
      </c>
      <c r="J73" s="61">
        <f>SUM(D73:I73)</f>
        <v>120700</v>
      </c>
      <c r="L73" s="598">
        <f>'1) Tableau budgétaire 1'!L79</f>
        <v>67000</v>
      </c>
      <c r="M73" s="598">
        <f>'1) Tableau budgétaire 1'!M79</f>
        <v>67000</v>
      </c>
      <c r="N73" s="598">
        <f>'1) Tableau budgétaire 1'!N79</f>
        <v>87700</v>
      </c>
      <c r="O73" s="598">
        <f>'1) Tableau budgétaire 1'!O79</f>
        <v>0</v>
      </c>
      <c r="P73" s="598">
        <f>'1) Tableau budgétaire 1'!P79</f>
        <v>5000</v>
      </c>
      <c r="Q73" s="598">
        <v>0</v>
      </c>
      <c r="R73" s="599">
        <f>SUM(L73:Q73)</f>
        <v>226700</v>
      </c>
    </row>
    <row r="74" spans="2:18" ht="15.75" customHeight="1" thickBot="1" x14ac:dyDescent="0.4">
      <c r="C74" s="58" t="s">
        <v>540</v>
      </c>
      <c r="D74" s="90"/>
      <c r="E74" s="91"/>
      <c r="F74" s="91"/>
      <c r="G74" s="91"/>
      <c r="H74" s="91"/>
      <c r="I74" s="91"/>
      <c r="J74" s="61">
        <f t="shared" ref="J74:J80" si="20">SUM(D74:I74)</f>
        <v>0</v>
      </c>
      <c r="L74" s="90"/>
      <c r="M74" s="90"/>
      <c r="N74" s="91"/>
      <c r="O74" s="91"/>
      <c r="P74" s="91"/>
      <c r="Q74" s="91"/>
      <c r="R74" s="599">
        <f t="shared" ref="R74:R80" si="21">SUM(M74:Q74)</f>
        <v>0</v>
      </c>
    </row>
    <row r="75" spans="2:18" ht="15.75" customHeight="1" thickBot="1" x14ac:dyDescent="0.4">
      <c r="C75" s="48" t="s">
        <v>541</v>
      </c>
      <c r="D75" s="92">
        <f>SUM('1) Tableau budgétaire 1'!D71:D73)</f>
        <v>14000</v>
      </c>
      <c r="E75" s="92">
        <f>SUM('1) Tableau budgétaire 1'!E71:E73)</f>
        <v>25000</v>
      </c>
      <c r="F75" s="92">
        <f>SUM('1) Tableau budgétaire 1'!F71:F73)</f>
        <v>36700</v>
      </c>
      <c r="G75" s="18"/>
      <c r="H75" s="18"/>
      <c r="I75" s="18"/>
      <c r="J75" s="61">
        <f>SUM(D75:I75)</f>
        <v>75700</v>
      </c>
      <c r="L75" s="92"/>
      <c r="M75" s="92"/>
      <c r="N75" s="92"/>
      <c r="O75" s="92"/>
      <c r="P75" s="18"/>
      <c r="Q75" s="18"/>
      <c r="R75" s="599">
        <f t="shared" si="21"/>
        <v>0</v>
      </c>
    </row>
    <row r="76" spans="2:18" ht="15.75" customHeight="1" thickBot="1" x14ac:dyDescent="0.4">
      <c r="C76" s="48" t="s">
        <v>542</v>
      </c>
      <c r="D76" s="92"/>
      <c r="E76" s="92"/>
      <c r="F76" s="92"/>
      <c r="G76" s="92"/>
      <c r="H76" s="92"/>
      <c r="I76" s="92"/>
      <c r="J76" s="61">
        <f t="shared" si="20"/>
        <v>0</v>
      </c>
      <c r="L76" s="92"/>
      <c r="M76" s="92"/>
      <c r="N76" s="92"/>
      <c r="O76" s="92"/>
      <c r="P76" s="92"/>
      <c r="Q76" s="92"/>
      <c r="R76" s="599">
        <f t="shared" si="21"/>
        <v>0</v>
      </c>
    </row>
    <row r="77" spans="2:18" ht="16" thickBot="1" x14ac:dyDescent="0.4">
      <c r="C77" s="49" t="s">
        <v>543</v>
      </c>
      <c r="D77" s="92">
        <f>SUM('1) Tableau budgétaire 1'!D74)</f>
        <v>8000</v>
      </c>
      <c r="E77" s="92">
        <f>SUM('1) Tableau budgétaire 1'!E74)</f>
        <v>16000</v>
      </c>
      <c r="F77" s="92">
        <f>SUM('1) Tableau budgétaire 1'!F74)</f>
        <v>16000</v>
      </c>
      <c r="G77" s="92"/>
      <c r="H77" s="92"/>
      <c r="I77" s="92"/>
      <c r="J77" s="61">
        <f t="shared" si="20"/>
        <v>40000</v>
      </c>
      <c r="L77" s="670">
        <f>SUM('1) Tableau budgétaire 1'!L71:L77)</f>
        <v>67000</v>
      </c>
      <c r="M77" s="670">
        <f>SUM('1) Tableau budgétaire 1'!M71:M77)</f>
        <v>67000</v>
      </c>
      <c r="N77" s="670">
        <f>SUM('1) Tableau budgétaire 1'!N71:N77)</f>
        <v>87700</v>
      </c>
      <c r="O77" s="92"/>
      <c r="P77" s="92"/>
      <c r="Q77" s="92"/>
      <c r="R77" s="599">
        <f t="shared" si="21"/>
        <v>154700</v>
      </c>
    </row>
    <row r="78" spans="2:18" ht="16" thickBot="1" x14ac:dyDescent="0.4">
      <c r="C78" s="48" t="s">
        <v>544</v>
      </c>
      <c r="D78" s="92"/>
      <c r="E78" s="92"/>
      <c r="F78" s="92"/>
      <c r="G78" s="92"/>
      <c r="H78" s="92"/>
      <c r="I78" s="92"/>
      <c r="J78" s="61">
        <f t="shared" si="20"/>
        <v>0</v>
      </c>
      <c r="L78" s="92"/>
      <c r="M78" s="92"/>
      <c r="N78" s="92"/>
      <c r="O78" s="92"/>
      <c r="P78" s="92"/>
      <c r="Q78" s="92"/>
      <c r="R78" s="599">
        <f t="shared" si="21"/>
        <v>0</v>
      </c>
    </row>
    <row r="79" spans="2:18" ht="16" thickBot="1" x14ac:dyDescent="0.4">
      <c r="C79" s="48" t="s">
        <v>545</v>
      </c>
      <c r="D79" s="92"/>
      <c r="E79" s="92"/>
      <c r="F79" s="92"/>
      <c r="G79" s="92"/>
      <c r="H79" s="92">
        <f>SUM('1) Tableau budgétaire 1'!H71:H73)</f>
        <v>5000</v>
      </c>
      <c r="I79" s="92"/>
      <c r="J79" s="61">
        <f t="shared" si="20"/>
        <v>5000</v>
      </c>
      <c r="L79" s="92"/>
      <c r="M79" s="92"/>
      <c r="N79" s="92"/>
      <c r="O79" s="92"/>
      <c r="P79" s="92">
        <f>SUM('1) Tableau budgétaire 1'!P71:P73)</f>
        <v>5000</v>
      </c>
      <c r="Q79" s="92"/>
      <c r="R79" s="599">
        <f t="shared" si="21"/>
        <v>5000</v>
      </c>
    </row>
    <row r="80" spans="2:18" ht="31.5" thickBot="1" x14ac:dyDescent="0.4">
      <c r="C80" s="48" t="s">
        <v>546</v>
      </c>
      <c r="D80" s="92"/>
      <c r="E80" s="92"/>
      <c r="F80" s="92"/>
      <c r="G80" s="92"/>
      <c r="H80" s="92"/>
      <c r="I80" s="92"/>
      <c r="J80" s="61">
        <f t="shared" si="20"/>
        <v>0</v>
      </c>
      <c r="L80" s="92"/>
      <c r="M80" s="92"/>
      <c r="N80" s="92"/>
      <c r="O80" s="92"/>
      <c r="P80" s="92"/>
      <c r="Q80" s="92"/>
      <c r="R80" s="599">
        <f t="shared" si="21"/>
        <v>0</v>
      </c>
    </row>
    <row r="81" spans="2:18" x14ac:dyDescent="0.35">
      <c r="C81" s="53" t="s">
        <v>21</v>
      </c>
      <c r="D81" s="62">
        <f>SUM(D74:D80)</f>
        <v>22000</v>
      </c>
      <c r="E81" s="62">
        <f>SUM(E74:E80)</f>
        <v>41000</v>
      </c>
      <c r="F81" s="62">
        <f>SUM(F74:F80)</f>
        <v>52700</v>
      </c>
      <c r="G81" s="62">
        <f t="shared" ref="G81:I81" si="22">SUM(G74:G80)</f>
        <v>0</v>
      </c>
      <c r="H81" s="62">
        <f t="shared" si="22"/>
        <v>5000</v>
      </c>
      <c r="I81" s="62">
        <f t="shared" si="22"/>
        <v>0</v>
      </c>
      <c r="J81" s="57">
        <f>SUM(D81:I81)</f>
        <v>120700</v>
      </c>
      <c r="L81" s="601">
        <f>SUM(L74:L80)</f>
        <v>67000</v>
      </c>
      <c r="M81" s="601">
        <f>SUM(M74:M80)</f>
        <v>67000</v>
      </c>
      <c r="N81" s="601">
        <f>SUM(N74:N80)</f>
        <v>87700</v>
      </c>
      <c r="O81" s="601">
        <f>SUM(O74:O80)</f>
        <v>0</v>
      </c>
      <c r="P81" s="601">
        <f t="shared" ref="P81" si="23">SUM(P74:P80)</f>
        <v>5000</v>
      </c>
      <c r="Q81" s="601">
        <f t="shared" ref="Q81" si="24">SUM(Q74:Q80)</f>
        <v>0</v>
      </c>
      <c r="R81" s="602">
        <f>SUM(L81:Q81)</f>
        <v>226700</v>
      </c>
    </row>
    <row r="82" spans="2:18" s="52" customFormat="1" x14ac:dyDescent="0.35">
      <c r="C82" s="63"/>
      <c r="D82" s="64"/>
      <c r="E82" s="64"/>
      <c r="F82" s="64"/>
      <c r="G82" s="64"/>
      <c r="H82" s="64"/>
      <c r="I82" s="64"/>
      <c r="J82" s="65"/>
      <c r="K82" s="50"/>
      <c r="L82" s="64"/>
      <c r="M82" s="64"/>
      <c r="N82" s="64"/>
      <c r="O82" s="64"/>
      <c r="P82" s="64"/>
      <c r="Q82" s="622"/>
      <c r="R82" s="65"/>
    </row>
    <row r="83" spans="2:18" x14ac:dyDescent="0.35">
      <c r="C83" s="797" t="s">
        <v>431</v>
      </c>
      <c r="D83" s="798"/>
      <c r="E83" s="798"/>
      <c r="F83" s="798"/>
      <c r="G83" s="798"/>
      <c r="H83" s="798"/>
      <c r="I83" s="798"/>
      <c r="J83" s="799"/>
      <c r="L83" s="820"/>
      <c r="M83" s="820"/>
      <c r="N83" s="820"/>
      <c r="O83" s="820"/>
      <c r="P83" s="820"/>
      <c r="Q83" s="820"/>
      <c r="R83" s="821"/>
    </row>
    <row r="84" spans="2:18" ht="21.75" customHeight="1" thickBot="1" x14ac:dyDescent="0.4">
      <c r="B84" s="52"/>
      <c r="C84" s="59" t="s">
        <v>556</v>
      </c>
      <c r="D84" s="60">
        <f>'1) Tableau budgétaire 1'!D84</f>
        <v>0</v>
      </c>
      <c r="E84" s="60">
        <f>'1) Tableau budgétaire 1'!E84</f>
        <v>0</v>
      </c>
      <c r="F84" s="60">
        <f>'1) Tableau budgétaire 1'!F84</f>
        <v>0</v>
      </c>
      <c r="G84" s="60">
        <f>'1) Tableau budgétaire 1'!G84</f>
        <v>0</v>
      </c>
      <c r="H84" s="60">
        <f>'1) Tableau budgétaire 1'!H84</f>
        <v>0</v>
      </c>
      <c r="I84" s="60">
        <f>'1) Tableau budgétaire 1'!I84</f>
        <v>0</v>
      </c>
      <c r="J84" s="61">
        <f>SUM(D84:I84)</f>
        <v>0</v>
      </c>
      <c r="L84" s="598">
        <f>'1) Tableau budgétaire 1'!L84</f>
        <v>45000</v>
      </c>
      <c r="M84" s="598">
        <f>'1) Tableau budgétaire 1'!M84</f>
        <v>27544</v>
      </c>
      <c r="N84" s="598">
        <f>'1) Tableau budgétaire 1'!N84</f>
        <v>27544</v>
      </c>
      <c r="O84" s="598">
        <f>'1) Tableau budgétaire 1'!O84</f>
        <v>0</v>
      </c>
      <c r="P84" s="598">
        <f>'1) Tableau budgétaire 1'!P84</f>
        <v>0</v>
      </c>
      <c r="Q84" s="598">
        <v>0</v>
      </c>
      <c r="R84" s="599">
        <f>SUM(L84:Q84)</f>
        <v>100088</v>
      </c>
    </row>
    <row r="85" spans="2:18" ht="18" customHeight="1" thickBot="1" x14ac:dyDescent="0.4">
      <c r="C85" s="58" t="s">
        <v>540</v>
      </c>
      <c r="D85" s="90">
        <v>0</v>
      </c>
      <c r="E85" s="91">
        <v>0</v>
      </c>
      <c r="F85" s="91">
        <v>0</v>
      </c>
      <c r="G85" s="91">
        <v>0</v>
      </c>
      <c r="H85" s="91">
        <v>0</v>
      </c>
      <c r="I85" s="91">
        <v>0</v>
      </c>
      <c r="J85" s="61">
        <f t="shared" ref="J85:J91" si="25">SUM(D85:I85)</f>
        <v>0</v>
      </c>
      <c r="L85" s="90"/>
      <c r="M85" s="90"/>
      <c r="N85" s="91"/>
      <c r="O85" s="91"/>
      <c r="P85" s="91"/>
      <c r="Q85" s="91"/>
      <c r="R85" s="599">
        <f t="shared" ref="R85:R87" si="26">SUM(L85:Q85)</f>
        <v>0</v>
      </c>
    </row>
    <row r="86" spans="2:18" ht="15.75" customHeight="1" thickBot="1" x14ac:dyDescent="0.4">
      <c r="C86" s="48" t="s">
        <v>541</v>
      </c>
      <c r="D86" s="92">
        <v>0</v>
      </c>
      <c r="E86" s="18">
        <v>0</v>
      </c>
      <c r="F86" s="18">
        <v>0</v>
      </c>
      <c r="G86" s="18">
        <v>0</v>
      </c>
      <c r="H86" s="18">
        <v>0</v>
      </c>
      <c r="I86" s="18">
        <v>0</v>
      </c>
      <c r="J86" s="61">
        <f t="shared" si="25"/>
        <v>0</v>
      </c>
      <c r="L86" s="92"/>
      <c r="M86" s="92"/>
      <c r="N86" s="18"/>
      <c r="O86" s="18"/>
      <c r="P86" s="18"/>
      <c r="Q86" s="18"/>
      <c r="R86" s="599">
        <f t="shared" si="26"/>
        <v>0</v>
      </c>
    </row>
    <row r="87" spans="2:18" s="52" customFormat="1" ht="15.75" customHeight="1" thickBot="1" x14ac:dyDescent="0.4">
      <c r="B87" s="50"/>
      <c r="C87" s="48" t="s">
        <v>542</v>
      </c>
      <c r="D87" s="92">
        <v>0</v>
      </c>
      <c r="E87" s="92">
        <v>0</v>
      </c>
      <c r="F87" s="92">
        <v>0</v>
      </c>
      <c r="G87" s="92">
        <v>0</v>
      </c>
      <c r="H87" s="92">
        <v>0</v>
      </c>
      <c r="I87" s="92">
        <v>0</v>
      </c>
      <c r="J87" s="61">
        <f t="shared" si="25"/>
        <v>0</v>
      </c>
      <c r="K87" s="50"/>
      <c r="L87" s="92"/>
      <c r="M87" s="92"/>
      <c r="N87" s="92"/>
      <c r="O87" s="92"/>
      <c r="P87" s="92"/>
      <c r="Q87" s="92"/>
      <c r="R87" s="599">
        <f t="shared" si="26"/>
        <v>0</v>
      </c>
    </row>
    <row r="88" spans="2:18" ht="16" thickBot="1" x14ac:dyDescent="0.4">
      <c r="B88" s="52"/>
      <c r="C88" s="49" t="s">
        <v>543</v>
      </c>
      <c r="D88" s="92">
        <v>0</v>
      </c>
      <c r="E88" s="92">
        <v>0</v>
      </c>
      <c r="F88" s="92">
        <v>0</v>
      </c>
      <c r="G88" s="92">
        <v>0</v>
      </c>
      <c r="H88" s="92">
        <v>0</v>
      </c>
      <c r="I88" s="92">
        <v>0</v>
      </c>
      <c r="J88" s="61">
        <f t="shared" si="25"/>
        <v>0</v>
      </c>
      <c r="L88" s="92">
        <f>+SUM('1) Tableau budgétaire 1'!L81:L83)</f>
        <v>45000</v>
      </c>
      <c r="M88" s="92">
        <f>+SUM('1) Tableau budgétaire 1'!M81:M83)</f>
        <v>27544</v>
      </c>
      <c r="N88" s="92">
        <f>+SUM('1) Tableau budgétaire 1'!N81:N83)</f>
        <v>27544</v>
      </c>
      <c r="O88" s="92"/>
      <c r="P88" s="92"/>
      <c r="Q88" s="92"/>
      <c r="R88" s="599">
        <f>SUM(L88:Q88)</f>
        <v>100088</v>
      </c>
    </row>
    <row r="89" spans="2:18" ht="16" thickBot="1" x14ac:dyDescent="0.4">
      <c r="B89" s="52"/>
      <c r="C89" s="48" t="s">
        <v>544</v>
      </c>
      <c r="D89" s="92">
        <v>0</v>
      </c>
      <c r="E89" s="92">
        <v>0</v>
      </c>
      <c r="F89" s="92">
        <v>0</v>
      </c>
      <c r="G89" s="92">
        <v>0</v>
      </c>
      <c r="H89" s="92">
        <v>0</v>
      </c>
      <c r="I89" s="92">
        <v>0</v>
      </c>
      <c r="J89" s="61">
        <f t="shared" si="25"/>
        <v>0</v>
      </c>
      <c r="L89" s="92"/>
      <c r="M89" s="92"/>
      <c r="N89" s="92"/>
      <c r="O89" s="92"/>
      <c r="P89" s="92"/>
      <c r="Q89" s="92"/>
      <c r="R89" s="599">
        <f t="shared" ref="R89:R91" si="27">SUM(L89:Q89)</f>
        <v>0</v>
      </c>
    </row>
    <row r="90" spans="2:18" ht="16" thickBot="1" x14ac:dyDescent="0.4">
      <c r="B90" s="52"/>
      <c r="C90" s="48" t="s">
        <v>545</v>
      </c>
      <c r="D90" s="92">
        <v>0</v>
      </c>
      <c r="E90" s="92">
        <v>0</v>
      </c>
      <c r="F90" s="92">
        <v>0</v>
      </c>
      <c r="G90" s="92">
        <v>0</v>
      </c>
      <c r="H90" s="92">
        <v>0</v>
      </c>
      <c r="I90" s="92">
        <v>0</v>
      </c>
      <c r="J90" s="61">
        <f t="shared" si="25"/>
        <v>0</v>
      </c>
      <c r="L90" s="92"/>
      <c r="M90" s="92"/>
      <c r="N90" s="92"/>
      <c r="O90" s="92"/>
      <c r="P90" s="92"/>
      <c r="Q90" s="92"/>
      <c r="R90" s="599">
        <f t="shared" si="27"/>
        <v>0</v>
      </c>
    </row>
    <row r="91" spans="2:18" ht="31.5" thickBot="1" x14ac:dyDescent="0.4">
      <c r="C91" s="48" t="s">
        <v>546</v>
      </c>
      <c r="D91" s="92">
        <v>0</v>
      </c>
      <c r="E91" s="92">
        <v>0</v>
      </c>
      <c r="F91" s="92">
        <v>0</v>
      </c>
      <c r="G91" s="92">
        <v>0</v>
      </c>
      <c r="H91" s="92">
        <v>0</v>
      </c>
      <c r="I91" s="92">
        <v>0</v>
      </c>
      <c r="J91" s="61">
        <f t="shared" si="25"/>
        <v>0</v>
      </c>
      <c r="L91" s="92"/>
      <c r="M91" s="92"/>
      <c r="N91" s="92"/>
      <c r="O91" s="92"/>
      <c r="P91" s="92"/>
      <c r="Q91" s="92"/>
      <c r="R91" s="599">
        <f t="shared" si="27"/>
        <v>0</v>
      </c>
    </row>
    <row r="92" spans="2:18" x14ac:dyDescent="0.35">
      <c r="C92" s="53" t="s">
        <v>21</v>
      </c>
      <c r="D92" s="62">
        <f>SUM(D85:D91)</f>
        <v>0</v>
      </c>
      <c r="E92" s="62">
        <f>SUM(E85:E91)</f>
        <v>0</v>
      </c>
      <c r="F92" s="62">
        <f>SUM(F85:F91)</f>
        <v>0</v>
      </c>
      <c r="G92" s="62">
        <f t="shared" ref="G92:I92" si="28">SUM(G85:G91)</f>
        <v>0</v>
      </c>
      <c r="H92" s="62">
        <f t="shared" si="28"/>
        <v>0</v>
      </c>
      <c r="I92" s="62">
        <f t="shared" si="28"/>
        <v>0</v>
      </c>
      <c r="J92" s="57">
        <f>SUM(D92:I92)</f>
        <v>0</v>
      </c>
      <c r="L92" s="601">
        <f>SUM(L85:L91)</f>
        <v>45000</v>
      </c>
      <c r="M92" s="601">
        <f>SUM(M85:M91)</f>
        <v>27544</v>
      </c>
      <c r="N92" s="601">
        <f>SUM(N85:N91)</f>
        <v>27544</v>
      </c>
      <c r="O92" s="601">
        <f>SUM(O85:O91)</f>
        <v>0</v>
      </c>
      <c r="P92" s="601">
        <f t="shared" ref="P92" si="29">SUM(P85:P91)</f>
        <v>0</v>
      </c>
      <c r="Q92" s="601">
        <f t="shared" ref="Q92" si="30">SUM(Q85:Q91)</f>
        <v>0</v>
      </c>
      <c r="R92" s="602">
        <f>SUM(L92:Q92)</f>
        <v>100088</v>
      </c>
    </row>
    <row r="93" spans="2:18" s="52" customFormat="1" x14ac:dyDescent="0.35">
      <c r="C93" s="63"/>
      <c r="D93" s="64"/>
      <c r="E93" s="64"/>
      <c r="F93" s="64"/>
      <c r="G93" s="64"/>
      <c r="H93" s="64"/>
      <c r="I93" s="64"/>
      <c r="J93" s="65"/>
      <c r="K93" s="50"/>
      <c r="L93" s="64"/>
      <c r="M93" s="64"/>
      <c r="N93" s="64"/>
      <c r="O93" s="64"/>
      <c r="P93" s="64"/>
      <c r="Q93" s="622"/>
      <c r="R93" s="65"/>
    </row>
    <row r="94" spans="2:18" x14ac:dyDescent="0.35">
      <c r="C94" s="797" t="s">
        <v>435</v>
      </c>
      <c r="D94" s="798"/>
      <c r="E94" s="798"/>
      <c r="F94" s="798"/>
      <c r="G94" s="798"/>
      <c r="H94" s="798"/>
      <c r="I94" s="798"/>
      <c r="J94" s="799"/>
      <c r="L94" s="820"/>
      <c r="M94" s="820"/>
      <c r="N94" s="820"/>
      <c r="O94" s="820"/>
      <c r="P94" s="820"/>
      <c r="Q94" s="820"/>
      <c r="R94" s="821"/>
    </row>
    <row r="95" spans="2:18" ht="21.75" customHeight="1" thickBot="1" x14ac:dyDescent="0.4">
      <c r="C95" s="59" t="s">
        <v>557</v>
      </c>
      <c r="D95" s="60">
        <f>'1) Tableau budgétaire 1'!D94</f>
        <v>0</v>
      </c>
      <c r="E95" s="60">
        <f>'1) Tableau budgétaire 1'!E94</f>
        <v>0</v>
      </c>
      <c r="F95" s="60">
        <f>'1) Tableau budgétaire 1'!F94</f>
        <v>0</v>
      </c>
      <c r="G95" s="60">
        <f>'1) Tableau budgétaire 1'!G94</f>
        <v>0</v>
      </c>
      <c r="H95" s="60">
        <f>'1) Tableau budgétaire 1'!H94</f>
        <v>0</v>
      </c>
      <c r="I95" s="60">
        <f>'1) Tableau budgétaire 1'!I94</f>
        <v>0</v>
      </c>
      <c r="J95" s="61">
        <f>SUM(D95:I95)</f>
        <v>0</v>
      </c>
      <c r="L95" s="598">
        <f>'1) Tableau budgétaire 1'!L94</f>
        <v>0</v>
      </c>
      <c r="M95" s="598">
        <f>'1) Tableau budgétaire 1'!M94</f>
        <v>0</v>
      </c>
      <c r="N95" s="598">
        <f>'1) Tableau budgétaire 1'!N94</f>
        <v>0</v>
      </c>
      <c r="O95" s="598">
        <f>'1) Tableau budgétaire 1'!O94</f>
        <v>0</v>
      </c>
      <c r="P95" s="598">
        <f>'1) Tableau budgétaire 1'!P94</f>
        <v>0</v>
      </c>
      <c r="Q95" s="598">
        <v>0</v>
      </c>
      <c r="R95" s="599">
        <f t="shared" ref="R95:R103" si="31">SUM(M95:Q95)</f>
        <v>0</v>
      </c>
    </row>
    <row r="96" spans="2:18" ht="15.75" customHeight="1" thickBot="1" x14ac:dyDescent="0.4">
      <c r="C96" s="58" t="s">
        <v>540</v>
      </c>
      <c r="D96" s="90"/>
      <c r="E96" s="91"/>
      <c r="F96" s="91"/>
      <c r="G96" s="91"/>
      <c r="H96" s="91"/>
      <c r="I96" s="91"/>
      <c r="J96" s="61">
        <f t="shared" ref="J96:J102" si="32">SUM(D96:I96)</f>
        <v>0</v>
      </c>
      <c r="L96" s="90"/>
      <c r="M96" s="90"/>
      <c r="N96" s="91"/>
      <c r="O96" s="91"/>
      <c r="P96" s="91"/>
      <c r="Q96" s="91"/>
      <c r="R96" s="599">
        <f t="shared" si="31"/>
        <v>0</v>
      </c>
    </row>
    <row r="97" spans="2:18" ht="15.75" customHeight="1" thickBot="1" x14ac:dyDescent="0.4">
      <c r="B97" s="52"/>
      <c r="C97" s="48" t="s">
        <v>541</v>
      </c>
      <c r="D97" s="92"/>
      <c r="E97" s="18"/>
      <c r="F97" s="18"/>
      <c r="G97" s="18"/>
      <c r="H97" s="18"/>
      <c r="I97" s="18"/>
      <c r="J97" s="61">
        <f t="shared" si="32"/>
        <v>0</v>
      </c>
      <c r="L97" s="92"/>
      <c r="M97" s="92"/>
      <c r="N97" s="18"/>
      <c r="O97" s="18"/>
      <c r="P97" s="18"/>
      <c r="Q97" s="18"/>
      <c r="R97" s="599">
        <f t="shared" si="31"/>
        <v>0</v>
      </c>
    </row>
    <row r="98" spans="2:18" ht="15.75" customHeight="1" thickBot="1" x14ac:dyDescent="0.4">
      <c r="C98" s="48" t="s">
        <v>542</v>
      </c>
      <c r="D98" s="92"/>
      <c r="E98" s="92"/>
      <c r="F98" s="92"/>
      <c r="G98" s="92"/>
      <c r="H98" s="92"/>
      <c r="I98" s="92"/>
      <c r="J98" s="61">
        <f t="shared" si="32"/>
        <v>0</v>
      </c>
      <c r="L98" s="92"/>
      <c r="M98" s="92"/>
      <c r="N98" s="92"/>
      <c r="O98" s="92"/>
      <c r="P98" s="92"/>
      <c r="Q98" s="92"/>
      <c r="R98" s="599">
        <f t="shared" si="31"/>
        <v>0</v>
      </c>
    </row>
    <row r="99" spans="2:18" ht="16" thickBot="1" x14ac:dyDescent="0.4">
      <c r="C99" s="49" t="s">
        <v>543</v>
      </c>
      <c r="D99" s="92"/>
      <c r="E99" s="92"/>
      <c r="F99" s="92"/>
      <c r="G99" s="92"/>
      <c r="H99" s="92"/>
      <c r="I99" s="92"/>
      <c r="J99" s="61">
        <f t="shared" si="32"/>
        <v>0</v>
      </c>
      <c r="L99" s="92"/>
      <c r="M99" s="92"/>
      <c r="N99" s="92"/>
      <c r="O99" s="92"/>
      <c r="P99" s="92"/>
      <c r="Q99" s="92"/>
      <c r="R99" s="599">
        <f t="shared" si="31"/>
        <v>0</v>
      </c>
    </row>
    <row r="100" spans="2:18" ht="16" thickBot="1" x14ac:dyDescent="0.4">
      <c r="C100" s="48" t="s">
        <v>544</v>
      </c>
      <c r="D100" s="92"/>
      <c r="E100" s="92"/>
      <c r="F100" s="92"/>
      <c r="G100" s="92"/>
      <c r="H100" s="92"/>
      <c r="I100" s="92"/>
      <c r="J100" s="61">
        <f t="shared" si="32"/>
        <v>0</v>
      </c>
      <c r="L100" s="92"/>
      <c r="M100" s="92"/>
      <c r="N100" s="92"/>
      <c r="O100" s="92"/>
      <c r="P100" s="92"/>
      <c r="Q100" s="92"/>
      <c r="R100" s="599">
        <f t="shared" si="31"/>
        <v>0</v>
      </c>
    </row>
    <row r="101" spans="2:18" ht="25.5" customHeight="1" thickBot="1" x14ac:dyDescent="0.4">
      <c r="C101" s="48" t="s">
        <v>545</v>
      </c>
      <c r="D101" s="92"/>
      <c r="E101" s="92"/>
      <c r="F101" s="92"/>
      <c r="G101" s="92"/>
      <c r="H101" s="92"/>
      <c r="I101" s="92"/>
      <c r="J101" s="61">
        <f t="shared" si="32"/>
        <v>0</v>
      </c>
      <c r="L101" s="92"/>
      <c r="M101" s="92"/>
      <c r="N101" s="92"/>
      <c r="O101" s="92"/>
      <c r="P101" s="92"/>
      <c r="Q101" s="92"/>
      <c r="R101" s="599">
        <f t="shared" si="31"/>
        <v>0</v>
      </c>
    </row>
    <row r="102" spans="2:18" ht="31.5" thickBot="1" x14ac:dyDescent="0.4">
      <c r="B102" s="52"/>
      <c r="C102" s="48" t="s">
        <v>546</v>
      </c>
      <c r="D102" s="92"/>
      <c r="E102" s="92"/>
      <c r="F102" s="92"/>
      <c r="G102" s="92"/>
      <c r="H102" s="92"/>
      <c r="I102" s="92"/>
      <c r="J102" s="61">
        <f t="shared" si="32"/>
        <v>0</v>
      </c>
      <c r="L102" s="92"/>
      <c r="M102" s="92"/>
      <c r="N102" s="92"/>
      <c r="O102" s="92"/>
      <c r="P102" s="92"/>
      <c r="Q102" s="92"/>
      <c r="R102" s="599">
        <f t="shared" si="31"/>
        <v>0</v>
      </c>
    </row>
    <row r="103" spans="2:18" ht="15.75" customHeight="1" x14ac:dyDescent="0.35">
      <c r="C103" s="53" t="s">
        <v>21</v>
      </c>
      <c r="D103" s="62">
        <f>SUM(D96:D102)</f>
        <v>0</v>
      </c>
      <c r="E103" s="62">
        <f>SUM(E96:E102)</f>
        <v>0</v>
      </c>
      <c r="F103" s="62">
        <f>SUM(F96:F102)</f>
        <v>0</v>
      </c>
      <c r="G103" s="62"/>
      <c r="H103" s="62"/>
      <c r="I103" s="62"/>
      <c r="J103" s="57">
        <f>SUM(D103:I103)</f>
        <v>0</v>
      </c>
      <c r="L103" s="601">
        <f>SUM(L96:L102)</f>
        <v>0</v>
      </c>
      <c r="M103" s="601">
        <f>SUM(M96:M102)</f>
        <v>0</v>
      </c>
      <c r="N103" s="601">
        <f>SUM(N96:N102)</f>
        <v>0</v>
      </c>
      <c r="O103" s="601">
        <f>SUM(O96:O102)</f>
        <v>0</v>
      </c>
      <c r="P103" s="601"/>
      <c r="Q103" s="601"/>
      <c r="R103" s="602">
        <f t="shared" si="31"/>
        <v>0</v>
      </c>
    </row>
    <row r="104" spans="2:18" ht="25.5" customHeight="1" x14ac:dyDescent="0.35">
      <c r="D104" s="50"/>
      <c r="E104" s="50"/>
      <c r="F104" s="50"/>
      <c r="G104" s="50"/>
      <c r="H104" s="50"/>
      <c r="I104" s="50"/>
      <c r="L104" s="50"/>
    </row>
    <row r="105" spans="2:18" x14ac:dyDescent="0.35">
      <c r="B105" s="797" t="s">
        <v>558</v>
      </c>
      <c r="C105" s="798"/>
      <c r="D105" s="798"/>
      <c r="E105" s="798"/>
      <c r="F105" s="798"/>
      <c r="G105" s="798"/>
      <c r="H105" s="798"/>
      <c r="I105" s="798"/>
      <c r="J105" s="799"/>
      <c r="L105" s="820"/>
      <c r="M105" s="820"/>
      <c r="N105" s="820"/>
      <c r="O105" s="820"/>
      <c r="P105" s="820"/>
      <c r="Q105" s="820"/>
      <c r="R105" s="821"/>
    </row>
    <row r="106" spans="2:18" x14ac:dyDescent="0.35">
      <c r="C106" s="797" t="s">
        <v>445</v>
      </c>
      <c r="D106" s="798"/>
      <c r="E106" s="798"/>
      <c r="F106" s="798"/>
      <c r="G106" s="798"/>
      <c r="H106" s="798"/>
      <c r="I106" s="798"/>
      <c r="J106" s="799"/>
      <c r="L106" s="820"/>
      <c r="M106" s="820"/>
      <c r="N106" s="820"/>
      <c r="O106" s="820"/>
      <c r="P106" s="820"/>
      <c r="Q106" s="820"/>
      <c r="R106" s="821"/>
    </row>
    <row r="107" spans="2:18" ht="22.5" customHeight="1" thickBot="1" x14ac:dyDescent="0.4">
      <c r="C107" s="59" t="s">
        <v>559</v>
      </c>
      <c r="D107" s="60">
        <f>'1) Tableau budgétaire 1'!D111</f>
        <v>0</v>
      </c>
      <c r="E107" s="60">
        <f>'1) Tableau budgétaire 1'!E111</f>
        <v>0</v>
      </c>
      <c r="F107" s="60">
        <f>'1) Tableau budgétaire 1'!F111</f>
        <v>0</v>
      </c>
      <c r="G107" s="60">
        <f>'1) Tableau budgétaire 1'!G111</f>
        <v>260295.26400000002</v>
      </c>
      <c r="H107" s="60">
        <f>'1) Tableau budgétaire 1'!H111</f>
        <v>227000</v>
      </c>
      <c r="I107" s="60">
        <f>'1) Tableau budgétaire 1'!I111</f>
        <v>227882.60914227008</v>
      </c>
      <c r="J107" s="61">
        <f>SUM(D107:I107)</f>
        <v>715177.87314227014</v>
      </c>
      <c r="L107" s="598">
        <f>'1) Tableau budgétaire 1'!L111</f>
        <v>0</v>
      </c>
      <c r="M107" s="598">
        <f>'1) Tableau budgétaire 1'!M111</f>
        <v>0</v>
      </c>
      <c r="N107" s="598">
        <f>'1) Tableau budgétaire 1'!N111</f>
        <v>0</v>
      </c>
      <c r="O107" s="598">
        <f>'1) Tableau budgétaire 1'!O111</f>
        <v>384295.26400000002</v>
      </c>
      <c r="P107" s="598">
        <f>'1) Tableau budgétaire 1'!P111</f>
        <v>302000</v>
      </c>
      <c r="Q107" s="598">
        <v>327882.60914227</v>
      </c>
      <c r="R107" s="599">
        <f>SUM(L107:Q107)</f>
        <v>1014177.8731422699</v>
      </c>
    </row>
    <row r="108" spans="2:18" ht="16" thickBot="1" x14ac:dyDescent="0.4">
      <c r="C108" s="58" t="s">
        <v>540</v>
      </c>
      <c r="D108" s="90"/>
      <c r="E108" s="91"/>
      <c r="F108" s="91"/>
      <c r="G108" s="91"/>
      <c r="H108" s="91"/>
      <c r="I108" s="91"/>
      <c r="J108" s="61">
        <f t="shared" ref="J108:J114" si="33">SUM(D108:I108)</f>
        <v>0</v>
      </c>
      <c r="L108" s="90"/>
      <c r="M108" s="90"/>
      <c r="N108" s="91"/>
      <c r="O108" s="91"/>
      <c r="P108" s="91"/>
      <c r="Q108" s="91"/>
      <c r="R108" s="599">
        <f t="shared" ref="R108:R114" si="34">SUM(M108:Q108)</f>
        <v>0</v>
      </c>
    </row>
    <row r="109" spans="2:18" ht="16" thickBot="1" x14ac:dyDescent="0.4">
      <c r="C109" s="48" t="s">
        <v>541</v>
      </c>
      <c r="D109" s="92"/>
      <c r="E109" s="18"/>
      <c r="F109" s="18"/>
      <c r="G109" s="18"/>
      <c r="H109" s="18"/>
      <c r="I109" s="18">
        <v>74882.609142270085</v>
      </c>
      <c r="J109" s="61">
        <f t="shared" si="33"/>
        <v>74882.609142270085</v>
      </c>
      <c r="L109" s="92"/>
      <c r="M109" s="92"/>
      <c r="N109" s="18"/>
      <c r="O109" s="621">
        <v>11000</v>
      </c>
      <c r="P109" s="669"/>
      <c r="Q109" s="621">
        <f>74882.6091422701+15000</f>
        <v>89882.609142270099</v>
      </c>
      <c r="R109" s="599">
        <f t="shared" si="34"/>
        <v>100882.6091422701</v>
      </c>
    </row>
    <row r="110" spans="2:18" ht="15.75" customHeight="1" thickBot="1" x14ac:dyDescent="0.4">
      <c r="C110" s="48" t="s">
        <v>542</v>
      </c>
      <c r="D110" s="92"/>
      <c r="E110" s="92"/>
      <c r="F110" s="92"/>
      <c r="G110" s="92"/>
      <c r="H110" s="92"/>
      <c r="I110" s="92"/>
      <c r="J110" s="61">
        <f t="shared" si="33"/>
        <v>0</v>
      </c>
      <c r="L110" s="92"/>
      <c r="M110" s="92"/>
      <c r="N110" s="92"/>
      <c r="O110" s="92"/>
      <c r="P110" s="670"/>
      <c r="Q110" s="670"/>
      <c r="R110" s="599">
        <f t="shared" si="34"/>
        <v>0</v>
      </c>
    </row>
    <row r="111" spans="2:18" ht="16" thickBot="1" x14ac:dyDescent="0.4">
      <c r="C111" s="49" t="s">
        <v>543</v>
      </c>
      <c r="D111" s="92"/>
      <c r="E111" s="92"/>
      <c r="F111" s="92"/>
      <c r="G111" s="92">
        <f>'1) Tableau budgétaire 1'!G98+'1) Tableau budgétaire 1'!G99+'1) Tableau budgétaire 1'!G100+'1) Tableau budgétaire 1'!G101+'1) Tableau budgétaire 1'!G104</f>
        <v>230295.26400000002</v>
      </c>
      <c r="H111" s="92">
        <f>'1) Tableau budgétaire 1'!H98+'1) Tableau budgétaire 1'!H99+'1) Tableau budgétaire 1'!H100+'1) Tableau budgétaire 1'!H101+'1) Tableau budgétaire 1'!H104</f>
        <v>217000</v>
      </c>
      <c r="I111" s="92">
        <v>60000</v>
      </c>
      <c r="J111" s="61">
        <f t="shared" si="33"/>
        <v>507295.26400000002</v>
      </c>
      <c r="L111" s="92"/>
      <c r="M111" s="92"/>
      <c r="N111" s="92"/>
      <c r="O111" s="619">
        <f>'1) Tableau budgétaire 1'!O98+'1) Tableau budgétaire 1'!O99+'1) Tableau budgétaire 1'!O100+'1) Tableau budgétaire 1'!O101+'1) Tableau budgétaire 1'!O104+18000</f>
        <v>248295.26400000002</v>
      </c>
      <c r="P111" s="670">
        <v>217000</v>
      </c>
      <c r="Q111" s="670">
        <v>60000</v>
      </c>
      <c r="R111" s="599">
        <f t="shared" si="34"/>
        <v>525295.26399999997</v>
      </c>
    </row>
    <row r="112" spans="2:18" ht="16" thickBot="1" x14ac:dyDescent="0.4">
      <c r="C112" s="48" t="s">
        <v>544</v>
      </c>
      <c r="D112" s="92"/>
      <c r="E112" s="92"/>
      <c r="F112" s="92"/>
      <c r="G112" s="92"/>
      <c r="H112" s="92"/>
      <c r="I112" s="92"/>
      <c r="J112" s="61">
        <f t="shared" si="33"/>
        <v>0</v>
      </c>
      <c r="L112" s="92"/>
      <c r="M112" s="92"/>
      <c r="N112" s="92"/>
      <c r="O112" s="92"/>
      <c r="P112" s="670"/>
      <c r="Q112" s="670"/>
      <c r="R112" s="599">
        <f t="shared" si="34"/>
        <v>0</v>
      </c>
    </row>
    <row r="113" spans="3:18" ht="16" thickBot="1" x14ac:dyDescent="0.4">
      <c r="C113" s="48" t="s">
        <v>545</v>
      </c>
      <c r="D113" s="92"/>
      <c r="E113" s="92"/>
      <c r="F113" s="92"/>
      <c r="G113" s="92">
        <f>'1) Tableau budgétaire 1'!G102+'1) Tableau budgétaire 1'!G103+'1) Tableau budgétaire 1'!G105</f>
        <v>30000</v>
      </c>
      <c r="H113" s="92">
        <f>'1) Tableau budgétaire 1'!H102+'1) Tableau budgétaire 1'!H103+'1) Tableau budgétaire 1'!H105</f>
        <v>10000</v>
      </c>
      <c r="I113" s="92">
        <v>93000</v>
      </c>
      <c r="J113" s="61">
        <f t="shared" si="33"/>
        <v>133000</v>
      </c>
      <c r="L113" s="92"/>
      <c r="M113" s="92"/>
      <c r="N113" s="92"/>
      <c r="O113" s="619">
        <f>'1) Tableau budgétaire 1'!O102+'1) Tableau budgétaire 1'!O103+'1) Tableau budgétaire 1'!O105+95000</f>
        <v>125000</v>
      </c>
      <c r="P113" s="670">
        <v>85000</v>
      </c>
      <c r="Q113" s="619">
        <f>93000+85000</f>
        <v>178000</v>
      </c>
      <c r="R113" s="599">
        <f t="shared" si="34"/>
        <v>388000</v>
      </c>
    </row>
    <row r="114" spans="3:18" ht="31.5" thickBot="1" x14ac:dyDescent="0.4">
      <c r="C114" s="48" t="s">
        <v>546</v>
      </c>
      <c r="D114" s="92"/>
      <c r="E114" s="92"/>
      <c r="F114" s="92"/>
      <c r="G114" s="92"/>
      <c r="H114" s="92"/>
      <c r="I114" s="92"/>
      <c r="J114" s="61">
        <f t="shared" si="33"/>
        <v>0</v>
      </c>
      <c r="L114" s="92"/>
      <c r="M114" s="92"/>
      <c r="N114" s="92"/>
      <c r="O114" s="717"/>
      <c r="P114" s="92"/>
      <c r="Q114" s="92"/>
      <c r="R114" s="599">
        <f t="shared" si="34"/>
        <v>0</v>
      </c>
    </row>
    <row r="115" spans="3:18" x14ac:dyDescent="0.35">
      <c r="C115" s="53" t="s">
        <v>21</v>
      </c>
      <c r="D115" s="62">
        <f>SUM(D108:D114)</f>
        <v>0</v>
      </c>
      <c r="E115" s="62">
        <f>SUM(E108:E114)</f>
        <v>0</v>
      </c>
      <c r="F115" s="62">
        <f>SUM(F108:F114)</f>
        <v>0</v>
      </c>
      <c r="G115" s="62">
        <f>SUM(G108:G114)</f>
        <v>260295.26400000002</v>
      </c>
      <c r="H115" s="62">
        <f>SUM(H108:H114)</f>
        <v>227000</v>
      </c>
      <c r="I115" s="62">
        <f t="shared" ref="I115" si="35">SUM(I108:I114)</f>
        <v>227882.60914227008</v>
      </c>
      <c r="J115" s="57">
        <f>SUM(D115:I115)</f>
        <v>715177.87314227014</v>
      </c>
      <c r="L115" s="601">
        <f>SUM(L108:L114)</f>
        <v>0</v>
      </c>
      <c r="M115" s="601">
        <f>SUM(M108:M114)</f>
        <v>0</v>
      </c>
      <c r="N115" s="601">
        <f>SUM(N108:N114)</f>
        <v>0</v>
      </c>
      <c r="O115" s="677">
        <f>SUM(O108:O114)</f>
        <v>384295.26400000002</v>
      </c>
      <c r="P115" s="677">
        <f>SUM(P108:P114)</f>
        <v>302000</v>
      </c>
      <c r="Q115" s="677">
        <f t="shared" ref="Q115" si="36">SUM(Q108:Q114)</f>
        <v>327882.60914227011</v>
      </c>
      <c r="R115" s="602">
        <f>SUM(L115:Q115)</f>
        <v>1014177.8731422701</v>
      </c>
    </row>
    <row r="116" spans="3:18" s="52" customFormat="1" x14ac:dyDescent="0.35">
      <c r="C116" s="63"/>
      <c r="D116" s="64"/>
      <c r="E116" s="64"/>
      <c r="F116" s="64"/>
      <c r="G116" s="64"/>
      <c r="H116" s="64"/>
      <c r="I116" s="64"/>
      <c r="J116" s="65"/>
      <c r="K116" s="50"/>
      <c r="L116" s="64"/>
      <c r="M116" s="64"/>
      <c r="N116" s="64"/>
      <c r="O116" s="64"/>
      <c r="P116" s="64"/>
      <c r="Q116" s="622"/>
      <c r="R116" s="65"/>
    </row>
    <row r="117" spans="3:18" ht="15.75" customHeight="1" x14ac:dyDescent="0.35">
      <c r="C117" s="797" t="s">
        <v>560</v>
      </c>
      <c r="D117" s="798"/>
      <c r="E117" s="798"/>
      <c r="F117" s="798"/>
      <c r="G117" s="798"/>
      <c r="H117" s="798"/>
      <c r="I117" s="798"/>
      <c r="J117" s="799"/>
      <c r="L117" s="820"/>
      <c r="M117" s="820"/>
      <c r="N117" s="820"/>
      <c r="O117" s="820"/>
      <c r="P117" s="820"/>
      <c r="Q117" s="820"/>
      <c r="R117" s="821"/>
    </row>
    <row r="118" spans="3:18" ht="21.75" customHeight="1" thickBot="1" x14ac:dyDescent="0.4">
      <c r="C118" s="59" t="s">
        <v>561</v>
      </c>
      <c r="D118" s="60">
        <f>'1) Tableau budgétaire 1'!D123</f>
        <v>0</v>
      </c>
      <c r="E118" s="60">
        <f>'1) Tableau budgétaire 1'!E123</f>
        <v>0</v>
      </c>
      <c r="F118" s="60">
        <f>'1) Tableau budgétaire 1'!F123</f>
        <v>0</v>
      </c>
      <c r="G118" s="60">
        <f>'1) Tableau budgétaire 1'!G123</f>
        <v>94999.64</v>
      </c>
      <c r="H118" s="60">
        <f>'1) Tableau budgétaire 1'!H123</f>
        <v>50000</v>
      </c>
      <c r="I118" s="60">
        <f>'1) Tableau budgétaire 1'!I123</f>
        <v>36070.728299948642</v>
      </c>
      <c r="J118" s="61">
        <f>SUM(D118:I118)</f>
        <v>181070.36829994866</v>
      </c>
      <c r="L118" s="598">
        <f>'1) Tableau budgétaire 1'!L123</f>
        <v>0</v>
      </c>
      <c r="M118" s="598">
        <f>'1) Tableau budgétaire 1'!M123</f>
        <v>0</v>
      </c>
      <c r="N118" s="598">
        <f>'1) Tableau budgétaire 1'!N123</f>
        <v>0</v>
      </c>
      <c r="O118" s="598">
        <f>'1) Tableau budgétaire 1'!O123</f>
        <v>181599.64</v>
      </c>
      <c r="P118" s="598">
        <f>'1) Tableau budgétaire 1'!P123</f>
        <v>200545</v>
      </c>
      <c r="Q118" s="598">
        <f>'1) Tableau budgétaire 1'!Q123</f>
        <v>136070.72829994865</v>
      </c>
      <c r="R118" s="599">
        <f>SUM(L118:Q118)</f>
        <v>518215.36829994863</v>
      </c>
    </row>
    <row r="119" spans="3:18" ht="16" thickBot="1" x14ac:dyDescent="0.4">
      <c r="C119" s="58" t="s">
        <v>540</v>
      </c>
      <c r="D119" s="90"/>
      <c r="E119" s="91"/>
      <c r="F119" s="91"/>
      <c r="G119" s="91"/>
      <c r="H119" s="91"/>
      <c r="I119" s="91"/>
      <c r="J119" s="61">
        <f t="shared" ref="J119:J125" si="37">SUM(D119:I119)</f>
        <v>0</v>
      </c>
      <c r="L119" s="90"/>
      <c r="M119" s="90"/>
      <c r="N119" s="91"/>
      <c r="O119" s="91"/>
      <c r="P119" s="91"/>
      <c r="Q119" s="91"/>
      <c r="R119" s="599">
        <f t="shared" ref="R119" si="38">SUM(M119:Q119)</f>
        <v>0</v>
      </c>
    </row>
    <row r="120" spans="3:18" ht="16" thickBot="1" x14ac:dyDescent="0.4">
      <c r="C120" s="48" t="s">
        <v>541</v>
      </c>
      <c r="D120" s="92"/>
      <c r="E120" s="18"/>
      <c r="F120" s="18"/>
      <c r="G120" s="18">
        <f>SUM('1) Tableau budgétaire 1'!G113:G118)</f>
        <v>84999.64</v>
      </c>
      <c r="H120" s="18">
        <f>SUM('1) Tableau budgétaire 1'!H113:H118)</f>
        <v>44000</v>
      </c>
      <c r="I120" s="18">
        <f>'1) Tableau budgétaire 1'!I113+'1) Tableau budgétaire 1'!I114+'1) Tableau budgétaire 1'!I115+'1) Tableau budgétaire 1'!I116+'1) Tableau budgétaire 1'!I117+'1) Tableau budgétaire 1'!I118</f>
        <v>27529.485362095533</v>
      </c>
      <c r="J120" s="61">
        <f t="shared" si="37"/>
        <v>156529.12536209554</v>
      </c>
      <c r="L120" s="92"/>
      <c r="M120" s="92"/>
      <c r="N120" s="18"/>
      <c r="O120" s="621">
        <f>SUM('1) Tableau budgétaire 1'!O113:O118)+12000</f>
        <v>96999.64</v>
      </c>
      <c r="P120" s="669">
        <f>48134+5017</f>
        <v>53151</v>
      </c>
      <c r="Q120" s="621">
        <f>27529.4853620955+30000</f>
        <v>57529.485362095496</v>
      </c>
      <c r="R120" s="599">
        <f t="shared" ref="R120:R125" si="39">SUM(L120:Q120)</f>
        <v>207680.12536209551</v>
      </c>
    </row>
    <row r="121" spans="3:18" ht="31.5" thickBot="1" x14ac:dyDescent="0.4">
      <c r="C121" s="48" t="s">
        <v>542</v>
      </c>
      <c r="D121" s="92"/>
      <c r="E121" s="92"/>
      <c r="F121" s="92"/>
      <c r="G121" s="92"/>
      <c r="H121" s="92"/>
      <c r="I121" s="92"/>
      <c r="J121" s="61">
        <f t="shared" si="37"/>
        <v>0</v>
      </c>
      <c r="L121" s="92"/>
      <c r="M121" s="92"/>
      <c r="N121" s="92"/>
      <c r="O121" s="670"/>
      <c r="P121" s="670">
        <v>0</v>
      </c>
      <c r="Q121" s="619">
        <v>10000</v>
      </c>
      <c r="R121" s="599">
        <f t="shared" si="39"/>
        <v>10000</v>
      </c>
    </row>
    <row r="122" spans="3:18" ht="16" thickBot="1" x14ac:dyDescent="0.4">
      <c r="C122" s="49" t="s">
        <v>543</v>
      </c>
      <c r="D122" s="92"/>
      <c r="E122" s="92"/>
      <c r="F122" s="92"/>
      <c r="G122" s="92"/>
      <c r="H122" s="92"/>
      <c r="I122" s="92"/>
      <c r="J122" s="61">
        <f t="shared" si="37"/>
        <v>0</v>
      </c>
      <c r="L122" s="92"/>
      <c r="M122" s="92"/>
      <c r="N122" s="92"/>
      <c r="O122" s="619">
        <v>18000</v>
      </c>
      <c r="P122" s="670"/>
      <c r="Q122" s="670"/>
      <c r="R122" s="599">
        <f t="shared" si="39"/>
        <v>18000</v>
      </c>
    </row>
    <row r="123" spans="3:18" ht="16" thickBot="1" x14ac:dyDescent="0.4">
      <c r="C123" s="48" t="s">
        <v>544</v>
      </c>
      <c r="D123" s="92"/>
      <c r="E123" s="92"/>
      <c r="F123" s="92"/>
      <c r="G123" s="92"/>
      <c r="H123" s="92"/>
      <c r="I123" s="92"/>
      <c r="J123" s="61">
        <f t="shared" si="37"/>
        <v>0</v>
      </c>
      <c r="L123" s="92"/>
      <c r="M123" s="92"/>
      <c r="N123" s="92"/>
      <c r="O123" s="670"/>
      <c r="P123" s="670">
        <v>7294</v>
      </c>
      <c r="Q123" s="619">
        <v>10000</v>
      </c>
      <c r="R123" s="599">
        <f t="shared" si="39"/>
        <v>17294</v>
      </c>
    </row>
    <row r="124" spans="3:18" ht="16" thickBot="1" x14ac:dyDescent="0.4">
      <c r="C124" s="48" t="s">
        <v>545</v>
      </c>
      <c r="D124" s="92"/>
      <c r="E124" s="92"/>
      <c r="F124" s="92"/>
      <c r="G124" s="92">
        <f>'1) Tableau budgétaire 1'!G119</f>
        <v>10000</v>
      </c>
      <c r="H124" s="92">
        <f>'1) Tableau budgétaire 1'!H119</f>
        <v>6000</v>
      </c>
      <c r="I124" s="92">
        <f>'1) Tableau budgétaire 1'!I119</f>
        <v>8541.2429378531106</v>
      </c>
      <c r="J124" s="61">
        <f t="shared" si="37"/>
        <v>24541.242937853109</v>
      </c>
      <c r="L124" s="92"/>
      <c r="M124" s="92"/>
      <c r="N124" s="92"/>
      <c r="O124" s="619">
        <f>'1) Tableau budgétaire 1'!O119+36600</f>
        <v>46600</v>
      </c>
      <c r="P124" s="670">
        <v>140100</v>
      </c>
      <c r="Q124" s="619">
        <f>8541.24293785311+30000</f>
        <v>38541.242937853109</v>
      </c>
      <c r="R124" s="599">
        <f t="shared" si="39"/>
        <v>225241.24293785309</v>
      </c>
    </row>
    <row r="125" spans="3:18" ht="31.5" thickBot="1" x14ac:dyDescent="0.4">
      <c r="C125" s="48" t="s">
        <v>546</v>
      </c>
      <c r="D125" s="92"/>
      <c r="E125" s="92"/>
      <c r="F125" s="92"/>
      <c r="G125" s="92"/>
      <c r="H125" s="92"/>
      <c r="I125" s="92"/>
      <c r="J125" s="61">
        <f t="shared" si="37"/>
        <v>0</v>
      </c>
      <c r="L125" s="92"/>
      <c r="M125" s="92"/>
      <c r="N125" s="92"/>
      <c r="O125" s="717">
        <v>20000</v>
      </c>
      <c r="P125" s="92"/>
      <c r="Q125" s="619">
        <v>20000</v>
      </c>
      <c r="R125" s="599">
        <f t="shared" si="39"/>
        <v>40000</v>
      </c>
    </row>
    <row r="126" spans="3:18" ht="16" thickBot="1" x14ac:dyDescent="0.4">
      <c r="C126" s="53" t="s">
        <v>21</v>
      </c>
      <c r="D126" s="62">
        <f>SUM(D119:D125)</f>
        <v>0</v>
      </c>
      <c r="E126" s="62">
        <f>SUM(E119:E125)</f>
        <v>0</v>
      </c>
      <c r="F126" s="62">
        <f>SUM(F119:F125)</f>
        <v>0</v>
      </c>
      <c r="G126" s="62">
        <f t="shared" ref="G126:I126" si="40">SUM(G119:G125)</f>
        <v>94999.64</v>
      </c>
      <c r="H126" s="62">
        <f t="shared" si="40"/>
        <v>50000</v>
      </c>
      <c r="I126" s="62">
        <f t="shared" si="40"/>
        <v>36070.728299948642</v>
      </c>
      <c r="J126" s="57">
        <f>SUM(D126:I126)</f>
        <v>181070.36829994866</v>
      </c>
      <c r="L126" s="601">
        <f t="shared" ref="L126:Q126" si="41">SUM(L119:L125)</f>
        <v>0</v>
      </c>
      <c r="M126" s="601">
        <f t="shared" si="41"/>
        <v>0</v>
      </c>
      <c r="N126" s="601">
        <f t="shared" si="41"/>
        <v>0</v>
      </c>
      <c r="O126" s="677">
        <f t="shared" si="41"/>
        <v>181599.64</v>
      </c>
      <c r="P126" s="601">
        <f t="shared" si="41"/>
        <v>200545</v>
      </c>
      <c r="Q126" s="677">
        <f t="shared" si="41"/>
        <v>136070.72829994862</v>
      </c>
      <c r="R126" s="599">
        <f>SUM(L126:Q126)</f>
        <v>518215.36829994863</v>
      </c>
    </row>
    <row r="127" spans="3:18" s="52" customFormat="1" x14ac:dyDescent="0.35">
      <c r="C127" s="63"/>
      <c r="D127" s="64"/>
      <c r="E127" s="64"/>
      <c r="F127" s="64"/>
      <c r="G127" s="64"/>
      <c r="H127" s="64"/>
      <c r="I127" s="64"/>
      <c r="J127" s="65"/>
      <c r="K127" s="50"/>
      <c r="L127" s="64"/>
      <c r="M127" s="64"/>
      <c r="N127" s="64"/>
      <c r="O127" s="64"/>
      <c r="P127" s="64"/>
      <c r="Q127" s="622"/>
      <c r="R127" s="65"/>
    </row>
    <row r="128" spans="3:18" x14ac:dyDescent="0.35">
      <c r="C128" s="797" t="s">
        <v>463</v>
      </c>
      <c r="D128" s="798"/>
      <c r="E128" s="798"/>
      <c r="F128" s="798"/>
      <c r="G128" s="798"/>
      <c r="H128" s="798"/>
      <c r="I128" s="798"/>
      <c r="J128" s="799"/>
      <c r="L128" s="820"/>
      <c r="M128" s="820"/>
      <c r="N128" s="820"/>
      <c r="O128" s="820"/>
      <c r="P128" s="820"/>
      <c r="Q128" s="820"/>
      <c r="R128" s="821"/>
    </row>
    <row r="129" spans="3:18" ht="21" customHeight="1" thickBot="1" x14ac:dyDescent="0.4">
      <c r="C129" s="59" t="s">
        <v>562</v>
      </c>
      <c r="D129" s="60">
        <f>'1) Tableau budgétaire 1'!D133</f>
        <v>0</v>
      </c>
      <c r="E129" s="60">
        <f>'1) Tableau budgétaire 1'!E133</f>
        <v>0</v>
      </c>
      <c r="F129" s="60">
        <f>'1) Tableau budgétaire 1'!F133</f>
        <v>0</v>
      </c>
      <c r="G129" s="60">
        <f>'1) Tableau budgétaire 1'!G133</f>
        <v>28576.878504672895</v>
      </c>
      <c r="H129" s="60">
        <f>'1) Tableau budgétaire 1'!H133</f>
        <v>8000</v>
      </c>
      <c r="I129" s="60">
        <f>'1) Tableau budgétaire 1'!I133</f>
        <v>45000</v>
      </c>
      <c r="J129" s="61">
        <f>SUM(D129:I129)</f>
        <v>81576.878504672903</v>
      </c>
      <c r="L129" s="598">
        <f>'1) Tableau budgétaire 1'!L133</f>
        <v>0</v>
      </c>
      <c r="M129" s="598">
        <f>'1) Tableau budgétaire 1'!M133</f>
        <v>0</v>
      </c>
      <c r="N129" s="598">
        <f>'1) Tableau budgétaire 1'!N133</f>
        <v>0</v>
      </c>
      <c r="O129" s="598">
        <f>'1) Tableau budgétaire 1'!O133</f>
        <v>62986.878504672895</v>
      </c>
      <c r="P129" s="598">
        <f>'1) Tableau budgétaire 1'!P133</f>
        <v>45000</v>
      </c>
      <c r="Q129" s="598">
        <f>'1) Tableau budgétaire 1'!Q133</f>
        <v>110000</v>
      </c>
      <c r="R129" s="599">
        <f>SUM(L129:Q129)</f>
        <v>217986.8785046729</v>
      </c>
    </row>
    <row r="130" spans="3:18" ht="16" thickBot="1" x14ac:dyDescent="0.4">
      <c r="C130" s="58" t="s">
        <v>540</v>
      </c>
      <c r="D130" s="90"/>
      <c r="E130" s="91"/>
      <c r="F130" s="91"/>
      <c r="G130" s="91"/>
      <c r="H130" s="91"/>
      <c r="I130" s="91"/>
      <c r="J130" s="61">
        <f t="shared" ref="J130:J136" si="42">SUM(D130:I130)</f>
        <v>0</v>
      </c>
      <c r="L130" s="90"/>
      <c r="M130" s="90"/>
      <c r="N130" s="91"/>
      <c r="O130" s="91"/>
      <c r="P130" s="91"/>
      <c r="Q130" s="91"/>
      <c r="R130" s="599">
        <f t="shared" ref="R130:R136" si="43">SUM(M130:Q130)</f>
        <v>0</v>
      </c>
    </row>
    <row r="131" spans="3:18" ht="16" thickBot="1" x14ac:dyDescent="0.4">
      <c r="C131" s="48" t="s">
        <v>541</v>
      </c>
      <c r="D131" s="92"/>
      <c r="E131" s="18"/>
      <c r="F131" s="18"/>
      <c r="G131" s="92"/>
      <c r="H131" s="18"/>
      <c r="I131" s="18"/>
      <c r="J131" s="61">
        <f t="shared" si="42"/>
        <v>0</v>
      </c>
      <c r="L131" s="92"/>
      <c r="M131" s="92"/>
      <c r="N131" s="18"/>
      <c r="O131" s="621">
        <v>1690</v>
      </c>
      <c r="P131" s="92">
        <v>0</v>
      </c>
      <c r="Q131" s="92"/>
      <c r="R131" s="599">
        <f t="shared" si="43"/>
        <v>1690</v>
      </c>
    </row>
    <row r="132" spans="3:18" ht="31.5" thickBot="1" x14ac:dyDescent="0.4">
      <c r="C132" s="48" t="s">
        <v>542</v>
      </c>
      <c r="D132" s="92"/>
      <c r="E132" s="92"/>
      <c r="F132" s="92"/>
      <c r="G132" s="92"/>
      <c r="H132" s="92"/>
      <c r="I132" s="92"/>
      <c r="J132" s="61">
        <f t="shared" si="42"/>
        <v>0</v>
      </c>
      <c r="L132" s="92"/>
      <c r="M132" s="92"/>
      <c r="N132" s="92"/>
      <c r="O132" s="92"/>
      <c r="P132" s="92"/>
      <c r="Q132" s="92"/>
      <c r="R132" s="599">
        <f t="shared" si="43"/>
        <v>0</v>
      </c>
    </row>
    <row r="133" spans="3:18" ht="16" thickBot="1" x14ac:dyDescent="0.4">
      <c r="C133" s="49" t="s">
        <v>543</v>
      </c>
      <c r="D133" s="92"/>
      <c r="E133" s="92"/>
      <c r="F133" s="92"/>
      <c r="G133" s="92"/>
      <c r="H133" s="92"/>
      <c r="I133" s="92"/>
      <c r="J133" s="61">
        <f t="shared" si="42"/>
        <v>0</v>
      </c>
      <c r="L133" s="92"/>
      <c r="M133" s="92"/>
      <c r="N133" s="92"/>
      <c r="O133" s="619">
        <v>18720</v>
      </c>
      <c r="P133" s="92"/>
      <c r="Q133" s="619">
        <v>25000</v>
      </c>
      <c r="R133" s="599">
        <f t="shared" si="43"/>
        <v>43720</v>
      </c>
    </row>
    <row r="134" spans="3:18" ht="16" thickBot="1" x14ac:dyDescent="0.4">
      <c r="C134" s="48" t="s">
        <v>544</v>
      </c>
      <c r="D134" s="92"/>
      <c r="E134" s="92"/>
      <c r="F134" s="92"/>
      <c r="G134" s="92"/>
      <c r="H134" s="92"/>
      <c r="J134" s="61">
        <f t="shared" si="42"/>
        <v>0</v>
      </c>
      <c r="L134" s="92"/>
      <c r="M134" s="92"/>
      <c r="N134" s="92"/>
      <c r="O134" s="92"/>
      <c r="P134" s="92">
        <v>128</v>
      </c>
      <c r="Q134" s="619">
        <v>15000</v>
      </c>
      <c r="R134" s="599">
        <f t="shared" si="43"/>
        <v>15128</v>
      </c>
    </row>
    <row r="135" spans="3:18" ht="16" thickBot="1" x14ac:dyDescent="0.4">
      <c r="C135" s="48" t="s">
        <v>545</v>
      </c>
      <c r="D135" s="92"/>
      <c r="E135" s="92"/>
      <c r="F135" s="92"/>
      <c r="G135" s="92"/>
      <c r="H135" s="92"/>
      <c r="I135" s="92">
        <v>15000</v>
      </c>
      <c r="J135" s="61">
        <f t="shared" si="42"/>
        <v>15000</v>
      </c>
      <c r="L135" s="92"/>
      <c r="M135" s="92"/>
      <c r="N135" s="92"/>
      <c r="O135" s="670"/>
      <c r="P135" s="670">
        <v>8000</v>
      </c>
      <c r="Q135" s="670">
        <f>15000</f>
        <v>15000</v>
      </c>
      <c r="R135" s="599">
        <f t="shared" si="43"/>
        <v>23000</v>
      </c>
    </row>
    <row r="136" spans="3:18" ht="31.5" thickBot="1" x14ac:dyDescent="0.4">
      <c r="C136" s="48" t="s">
        <v>546</v>
      </c>
      <c r="D136" s="92"/>
      <c r="E136" s="92"/>
      <c r="F136" s="92"/>
      <c r="G136" s="92">
        <f>SUM('1) Tableau budgétaire 1'!G130:G133)</f>
        <v>28576.878504672895</v>
      </c>
      <c r="H136" s="92">
        <f>SUM('1) Tableau budgétaire 1'!H130:H133)</f>
        <v>8000</v>
      </c>
      <c r="I136" s="92">
        <v>30000</v>
      </c>
      <c r="J136" s="61">
        <f t="shared" si="42"/>
        <v>66576.878504672903</v>
      </c>
      <c r="L136" s="92"/>
      <c r="M136" s="92"/>
      <c r="N136" s="92"/>
      <c r="O136" s="717">
        <v>42576.878504672895</v>
      </c>
      <c r="P136" s="670">
        <v>36872</v>
      </c>
      <c r="Q136" s="619">
        <f>30000+25000</f>
        <v>55000</v>
      </c>
      <c r="R136" s="599">
        <f t="shared" si="43"/>
        <v>134448.8785046729</v>
      </c>
    </row>
    <row r="137" spans="3:18" x14ac:dyDescent="0.35">
      <c r="C137" s="53" t="s">
        <v>21</v>
      </c>
      <c r="D137" s="62">
        <f>SUM(D130:D136)</f>
        <v>0</v>
      </c>
      <c r="E137" s="62">
        <f>SUM(E130:E136)</f>
        <v>0</v>
      </c>
      <c r="F137" s="62">
        <f>SUM(F130:F136)</f>
        <v>0</v>
      </c>
      <c r="G137" s="62">
        <f>SUM(G130:G136)</f>
        <v>28576.878504672895</v>
      </c>
      <c r="H137" s="62">
        <f t="shared" ref="H137:I137" si="44">SUM(H130:H136)</f>
        <v>8000</v>
      </c>
      <c r="I137" s="62">
        <f t="shared" si="44"/>
        <v>45000</v>
      </c>
      <c r="J137" s="57">
        <f>SUM(D137:I137)</f>
        <v>81576.878504672903</v>
      </c>
      <c r="L137" s="601">
        <f>SUM(L130:L136)</f>
        <v>0</v>
      </c>
      <c r="M137" s="601">
        <f>SUM(M130:M136)</f>
        <v>0</v>
      </c>
      <c r="N137" s="601">
        <f>SUM(N130:N136)</f>
        <v>0</v>
      </c>
      <c r="O137" s="677">
        <f>SUM('1) Tableau budgétaire 1'!O125:O129)</f>
        <v>62986.878504672895</v>
      </c>
      <c r="P137" s="677">
        <f>P134+P135+P136+P131</f>
        <v>45000</v>
      </c>
      <c r="Q137" s="677">
        <f>SUM(Q130:Q136)</f>
        <v>110000</v>
      </c>
      <c r="R137" s="678">
        <f>SUM(L137:Q137)</f>
        <v>217986.8785046729</v>
      </c>
    </row>
    <row r="138" spans="3:18" s="52" customFormat="1" x14ac:dyDescent="0.35">
      <c r="C138" s="63"/>
      <c r="D138" s="64"/>
      <c r="E138" s="64"/>
      <c r="F138" s="64"/>
      <c r="G138" s="64"/>
      <c r="H138" s="64"/>
      <c r="I138" s="64"/>
      <c r="J138" s="65"/>
      <c r="K138" s="50"/>
      <c r="L138" s="64"/>
      <c r="M138" s="64"/>
      <c r="N138" s="64"/>
      <c r="O138" s="64"/>
      <c r="P138" s="64"/>
      <c r="Q138" s="622"/>
      <c r="R138" s="65"/>
    </row>
    <row r="139" spans="3:18" hidden="1" x14ac:dyDescent="0.35">
      <c r="C139" s="797" t="s">
        <v>472</v>
      </c>
      <c r="D139" s="798"/>
      <c r="E139" s="798"/>
      <c r="F139" s="798"/>
      <c r="G139" s="798"/>
      <c r="H139" s="798"/>
      <c r="I139" s="798"/>
      <c r="J139" s="799"/>
      <c r="L139" s="820"/>
      <c r="M139" s="820"/>
      <c r="N139" s="820"/>
      <c r="O139" s="820"/>
      <c r="P139" s="820"/>
      <c r="Q139" s="820"/>
      <c r="R139" s="821"/>
    </row>
    <row r="140" spans="3:18" ht="24" hidden="1" customHeight="1" thickBot="1" x14ac:dyDescent="0.4">
      <c r="C140" s="59" t="s">
        <v>563</v>
      </c>
      <c r="D140" s="60">
        <f>'1) Tableau budgétaire 1'!D143</f>
        <v>0</v>
      </c>
      <c r="E140" s="60">
        <f>'1) Tableau budgétaire 1'!E143</f>
        <v>0</v>
      </c>
      <c r="F140" s="60">
        <f>'1) Tableau budgétaire 1'!F143</f>
        <v>0</v>
      </c>
      <c r="G140" s="60"/>
      <c r="H140" s="60"/>
      <c r="I140" s="60"/>
      <c r="J140" s="61">
        <f>SUM(D140:I140)</f>
        <v>0</v>
      </c>
      <c r="L140" s="598">
        <f>'1) Tableau budgétaire 1'!L143</f>
        <v>0</v>
      </c>
      <c r="M140" s="598">
        <f>'1) Tableau budgétaire 1'!M143</f>
        <v>0</v>
      </c>
      <c r="N140" s="598">
        <f>'1) Tableau budgétaire 1'!N143</f>
        <v>0</v>
      </c>
      <c r="O140" s="598">
        <f>'1) Tableau budgétaire 1'!O143</f>
        <v>0</v>
      </c>
      <c r="P140" s="598">
        <f>'1) Tableau budgétaire 1'!P143</f>
        <v>0</v>
      </c>
      <c r="Q140" s="598">
        <f>'1) Tableau budgétaire 1'!Q143</f>
        <v>0</v>
      </c>
      <c r="R140" s="599">
        <f>SUM(L140:Q140)</f>
        <v>0</v>
      </c>
    </row>
    <row r="141" spans="3:18" ht="15.75" hidden="1" customHeight="1" thickBot="1" x14ac:dyDescent="0.4">
      <c r="C141" s="58" t="s">
        <v>540</v>
      </c>
      <c r="D141" s="90"/>
      <c r="E141" s="91"/>
      <c r="F141" s="91"/>
      <c r="G141" s="91"/>
      <c r="H141" s="91"/>
      <c r="I141" s="91"/>
      <c r="J141" s="61">
        <f t="shared" ref="J141:J147" si="45">SUM(D141:I141)</f>
        <v>0</v>
      </c>
      <c r="L141" s="90"/>
      <c r="M141" s="90"/>
      <c r="N141" s="91"/>
      <c r="O141" s="91"/>
      <c r="P141" s="91"/>
      <c r="Q141" s="91"/>
      <c r="R141" s="599">
        <f t="shared" ref="R141:R147" si="46">SUM(M141:Q141)</f>
        <v>0</v>
      </c>
    </row>
    <row r="142" spans="3:18" ht="16" hidden="1" thickBot="1" x14ac:dyDescent="0.4">
      <c r="C142" s="48" t="s">
        <v>541</v>
      </c>
      <c r="D142" s="92"/>
      <c r="E142" s="18"/>
      <c r="F142" s="18"/>
      <c r="G142" s="18"/>
      <c r="H142" s="18"/>
      <c r="I142" s="18"/>
      <c r="J142" s="61">
        <f t="shared" si="45"/>
        <v>0</v>
      </c>
      <c r="L142" s="92"/>
      <c r="M142" s="92"/>
      <c r="N142" s="18"/>
      <c r="O142" s="18"/>
      <c r="P142" s="18"/>
      <c r="Q142" s="18"/>
      <c r="R142" s="599">
        <f t="shared" si="46"/>
        <v>0</v>
      </c>
    </row>
    <row r="143" spans="3:18" ht="15.75" hidden="1" customHeight="1" thickBot="1" x14ac:dyDescent="0.4">
      <c r="C143" s="48" t="s">
        <v>542</v>
      </c>
      <c r="D143" s="92"/>
      <c r="E143" s="92"/>
      <c r="F143" s="92"/>
      <c r="G143" s="92"/>
      <c r="H143" s="92"/>
      <c r="I143" s="92"/>
      <c r="J143" s="61">
        <f t="shared" si="45"/>
        <v>0</v>
      </c>
      <c r="L143" s="92"/>
      <c r="M143" s="92"/>
      <c r="N143" s="92"/>
      <c r="O143" s="92"/>
      <c r="P143" s="92"/>
      <c r="Q143" s="92"/>
      <c r="R143" s="599">
        <f t="shared" si="46"/>
        <v>0</v>
      </c>
    </row>
    <row r="144" spans="3:18" ht="16" hidden="1" thickBot="1" x14ac:dyDescent="0.4">
      <c r="C144" s="49" t="s">
        <v>543</v>
      </c>
      <c r="D144" s="92"/>
      <c r="E144" s="92"/>
      <c r="F144" s="92"/>
      <c r="G144" s="92"/>
      <c r="H144" s="92"/>
      <c r="I144" s="92"/>
      <c r="J144" s="61">
        <f t="shared" si="45"/>
        <v>0</v>
      </c>
      <c r="L144" s="92"/>
      <c r="M144" s="92"/>
      <c r="N144" s="92"/>
      <c r="O144" s="92"/>
      <c r="P144" s="92"/>
      <c r="Q144" s="92"/>
      <c r="R144" s="599">
        <f t="shared" si="46"/>
        <v>0</v>
      </c>
    </row>
    <row r="145" spans="2:18" ht="16" hidden="1" thickBot="1" x14ac:dyDescent="0.4">
      <c r="C145" s="48" t="s">
        <v>544</v>
      </c>
      <c r="D145" s="92"/>
      <c r="E145" s="92"/>
      <c r="F145" s="92"/>
      <c r="G145" s="92"/>
      <c r="H145" s="92"/>
      <c r="I145" s="92"/>
      <c r="J145" s="61">
        <f t="shared" si="45"/>
        <v>0</v>
      </c>
      <c r="L145" s="92"/>
      <c r="M145" s="92"/>
      <c r="N145" s="92"/>
      <c r="O145" s="92"/>
      <c r="P145" s="92"/>
      <c r="Q145" s="92"/>
      <c r="R145" s="599">
        <f t="shared" si="46"/>
        <v>0</v>
      </c>
    </row>
    <row r="146" spans="2:18" ht="15.75" hidden="1" customHeight="1" thickBot="1" x14ac:dyDescent="0.4">
      <c r="C146" s="48" t="s">
        <v>545</v>
      </c>
      <c r="D146" s="92"/>
      <c r="E146" s="92"/>
      <c r="F146" s="92"/>
      <c r="G146" s="92"/>
      <c r="H146" s="92"/>
      <c r="I146" s="92"/>
      <c r="J146" s="61">
        <f t="shared" si="45"/>
        <v>0</v>
      </c>
      <c r="L146" s="92"/>
      <c r="M146" s="92"/>
      <c r="N146" s="92"/>
      <c r="O146" s="92"/>
      <c r="P146" s="92"/>
      <c r="Q146" s="619"/>
      <c r="R146" s="599">
        <f t="shared" si="46"/>
        <v>0</v>
      </c>
    </row>
    <row r="147" spans="2:18" ht="31.5" hidden="1" thickBot="1" x14ac:dyDescent="0.4">
      <c r="C147" s="48" t="s">
        <v>546</v>
      </c>
      <c r="D147" s="92"/>
      <c r="E147" s="92"/>
      <c r="F147" s="92"/>
      <c r="G147" s="92"/>
      <c r="H147" s="92"/>
      <c r="I147" s="92"/>
      <c r="J147" s="61">
        <f t="shared" si="45"/>
        <v>0</v>
      </c>
      <c r="L147" s="92"/>
      <c r="M147" s="92"/>
      <c r="N147" s="92"/>
      <c r="O147" s="92"/>
      <c r="P147" s="619"/>
      <c r="Q147" s="619"/>
      <c r="R147" s="599">
        <f t="shared" si="46"/>
        <v>0</v>
      </c>
    </row>
    <row r="148" spans="2:18" hidden="1" x14ac:dyDescent="0.35">
      <c r="C148" s="53" t="s">
        <v>21</v>
      </c>
      <c r="D148" s="62">
        <f>SUM(D141:D147)</f>
        <v>0</v>
      </c>
      <c r="E148" s="62">
        <f>SUM(E141:E147)</f>
        <v>0</v>
      </c>
      <c r="F148" s="62">
        <f>SUM(F141:F147)</f>
        <v>0</v>
      </c>
      <c r="G148" s="62">
        <f>SUM(G141:G147)</f>
        <v>0</v>
      </c>
      <c r="H148" s="62">
        <f t="shared" ref="H148:I148" si="47">SUM(H141:H147)</f>
        <v>0</v>
      </c>
      <c r="I148" s="62">
        <f t="shared" si="47"/>
        <v>0</v>
      </c>
      <c r="J148" s="57">
        <f>SUM(D148:I148)</f>
        <v>0</v>
      </c>
      <c r="L148" s="601">
        <f t="shared" ref="L148:Q148" si="48">SUM(L141:L147)</f>
        <v>0</v>
      </c>
      <c r="M148" s="601">
        <f t="shared" si="48"/>
        <v>0</v>
      </c>
      <c r="N148" s="601">
        <f t="shared" si="48"/>
        <v>0</v>
      </c>
      <c r="O148" s="601">
        <f t="shared" si="48"/>
        <v>0</v>
      </c>
      <c r="P148" s="601">
        <f t="shared" si="48"/>
        <v>0</v>
      </c>
      <c r="Q148" s="601">
        <f t="shared" si="48"/>
        <v>0</v>
      </c>
      <c r="R148" s="602">
        <f>SUM(L148:Q148)</f>
        <v>0</v>
      </c>
    </row>
    <row r="149" spans="2:18" hidden="1" x14ac:dyDescent="0.35">
      <c r="M149" s="52"/>
      <c r="N149" s="52"/>
      <c r="O149" s="52"/>
      <c r="P149" s="52"/>
      <c r="Q149" s="624"/>
    </row>
    <row r="150" spans="2:18" x14ac:dyDescent="0.35">
      <c r="B150" s="797" t="s">
        <v>564</v>
      </c>
      <c r="C150" s="798"/>
      <c r="D150" s="798"/>
      <c r="E150" s="798"/>
      <c r="F150" s="798"/>
      <c r="G150" s="798"/>
      <c r="H150" s="798"/>
      <c r="I150" s="798"/>
      <c r="J150" s="799"/>
      <c r="L150" s="820"/>
      <c r="M150" s="820"/>
      <c r="N150" s="820"/>
      <c r="O150" s="820"/>
      <c r="P150" s="820"/>
      <c r="Q150" s="820"/>
      <c r="R150" s="821"/>
    </row>
    <row r="151" spans="2:18" x14ac:dyDescent="0.35">
      <c r="C151" s="797" t="s">
        <v>482</v>
      </c>
      <c r="D151" s="798"/>
      <c r="E151" s="798"/>
      <c r="F151" s="798"/>
      <c r="G151" s="798"/>
      <c r="H151" s="798"/>
      <c r="I151" s="798"/>
      <c r="J151" s="799"/>
      <c r="L151" s="820"/>
      <c r="M151" s="820"/>
      <c r="N151" s="820"/>
      <c r="O151" s="820"/>
      <c r="P151" s="820"/>
      <c r="Q151" s="820"/>
      <c r="R151" s="821"/>
    </row>
    <row r="152" spans="2:18" ht="24" customHeight="1" thickBot="1" x14ac:dyDescent="0.4">
      <c r="C152" s="59" t="s">
        <v>565</v>
      </c>
      <c r="D152" s="60">
        <f>'1) Tableau budgétaire 1'!D150</f>
        <v>0</v>
      </c>
      <c r="E152" s="60">
        <f>'1) Tableau budgétaire 1'!E150</f>
        <v>0</v>
      </c>
      <c r="F152" s="60">
        <f>'1) Tableau budgétaire 1'!F150</f>
        <v>0</v>
      </c>
      <c r="G152" s="60">
        <f>'1) Tableau budgétaire 1'!G150</f>
        <v>0</v>
      </c>
      <c r="H152" s="60">
        <f>'1) Tableau budgétaire 1'!H150</f>
        <v>0</v>
      </c>
      <c r="I152" s="60">
        <f>'1) Tableau budgétaire 1'!I150</f>
        <v>0</v>
      </c>
      <c r="J152" s="61">
        <f>SUM(D152:I152)</f>
        <v>0</v>
      </c>
      <c r="L152" s="598">
        <f>'1) Tableau budgétaire 1'!L150</f>
        <v>0</v>
      </c>
      <c r="M152" s="598">
        <f>'1) Tableau budgétaire 1'!M150</f>
        <v>0</v>
      </c>
      <c r="N152" s="598">
        <f>'1) Tableau budgétaire 1'!N150</f>
        <v>0</v>
      </c>
      <c r="O152" s="598">
        <f>'1) Tableau budgétaire 1'!O150</f>
        <v>44000</v>
      </c>
      <c r="P152" s="598">
        <f>'1) Tableau budgétaire 1'!P150</f>
        <v>63214.6</v>
      </c>
      <c r="Q152" s="598">
        <f>'1) Tableau budgétaire 1'!Q150</f>
        <v>45000</v>
      </c>
      <c r="R152" s="599">
        <f t="shared" ref="R152:R160" si="49">SUM(M152:Q152)</f>
        <v>152214.6</v>
      </c>
    </row>
    <row r="153" spans="2:18" ht="24.75" customHeight="1" thickBot="1" x14ac:dyDescent="0.4">
      <c r="C153" s="58" t="s">
        <v>540</v>
      </c>
      <c r="D153" s="90"/>
      <c r="E153" s="91"/>
      <c r="F153" s="91"/>
      <c r="G153" s="91"/>
      <c r="H153" s="91"/>
      <c r="I153" s="91"/>
      <c r="J153" s="61">
        <f t="shared" ref="J153:J160" si="50">SUM(D153:I153)</f>
        <v>0</v>
      </c>
      <c r="L153" s="90"/>
      <c r="M153" s="90"/>
      <c r="N153" s="91"/>
      <c r="O153" s="91"/>
      <c r="P153" s="91"/>
      <c r="Q153" s="672">
        <v>20000</v>
      </c>
      <c r="R153" s="599">
        <f t="shared" si="49"/>
        <v>20000</v>
      </c>
    </row>
    <row r="154" spans="2:18" ht="15.75" customHeight="1" thickBot="1" x14ac:dyDescent="0.4">
      <c r="C154" s="48" t="s">
        <v>541</v>
      </c>
      <c r="D154" s="92"/>
      <c r="E154" s="18"/>
      <c r="F154" s="18"/>
      <c r="G154" s="18"/>
      <c r="H154" s="18"/>
      <c r="I154" s="18"/>
      <c r="J154" s="61">
        <f t="shared" si="50"/>
        <v>0</v>
      </c>
      <c r="L154" s="92"/>
      <c r="M154" s="92"/>
      <c r="N154" s="18"/>
      <c r="O154" s="18"/>
      <c r="P154" s="621">
        <v>57714.6</v>
      </c>
      <c r="Q154" s="621">
        <v>5000</v>
      </c>
      <c r="R154" s="599">
        <f t="shared" si="49"/>
        <v>62714.6</v>
      </c>
    </row>
    <row r="155" spans="2:18" ht="15.75" customHeight="1" thickBot="1" x14ac:dyDescent="0.4">
      <c r="C155" s="48" t="s">
        <v>542</v>
      </c>
      <c r="D155" s="92"/>
      <c r="E155" s="92"/>
      <c r="F155" s="92"/>
      <c r="G155" s="92"/>
      <c r="H155" s="92"/>
      <c r="I155" s="92"/>
      <c r="J155" s="61">
        <f t="shared" si="50"/>
        <v>0</v>
      </c>
      <c r="L155" s="92"/>
      <c r="M155" s="92"/>
      <c r="N155" s="92"/>
      <c r="O155" s="92"/>
      <c r="P155" s="92"/>
      <c r="Q155" s="92"/>
      <c r="R155" s="599">
        <f t="shared" si="49"/>
        <v>0</v>
      </c>
    </row>
    <row r="156" spans="2:18" ht="15.75" customHeight="1" thickBot="1" x14ac:dyDescent="0.4">
      <c r="C156" s="49" t="s">
        <v>543</v>
      </c>
      <c r="D156" s="92"/>
      <c r="E156" s="92"/>
      <c r="F156" s="92"/>
      <c r="G156" s="92"/>
      <c r="H156" s="92"/>
      <c r="I156" s="92"/>
      <c r="J156" s="61">
        <f t="shared" si="50"/>
        <v>0</v>
      </c>
      <c r="L156" s="92"/>
      <c r="M156" s="92"/>
      <c r="N156" s="92"/>
      <c r="O156" s="619">
        <v>30000</v>
      </c>
      <c r="P156" s="92"/>
      <c r="Q156" s="92"/>
      <c r="R156" s="599">
        <f t="shared" si="49"/>
        <v>30000</v>
      </c>
    </row>
    <row r="157" spans="2:18" ht="15.75" customHeight="1" thickBot="1" x14ac:dyDescent="0.4">
      <c r="C157" s="48" t="s">
        <v>544</v>
      </c>
      <c r="D157" s="92"/>
      <c r="E157" s="92"/>
      <c r="F157" s="92"/>
      <c r="G157" s="92"/>
      <c r="H157" s="92"/>
      <c r="I157" s="92"/>
      <c r="J157" s="61">
        <f t="shared" si="50"/>
        <v>0</v>
      </c>
      <c r="L157" s="92"/>
      <c r="M157" s="92"/>
      <c r="N157" s="92"/>
      <c r="O157" s="92"/>
      <c r="P157" s="92"/>
      <c r="Q157" s="619">
        <v>10000</v>
      </c>
      <c r="R157" s="599">
        <f t="shared" si="49"/>
        <v>10000</v>
      </c>
    </row>
    <row r="158" spans="2:18" ht="15.75" customHeight="1" thickBot="1" x14ac:dyDescent="0.4">
      <c r="C158" s="48" t="s">
        <v>545</v>
      </c>
      <c r="D158" s="92"/>
      <c r="E158" s="92"/>
      <c r="F158" s="92"/>
      <c r="G158" s="92"/>
      <c r="H158" s="92"/>
      <c r="I158" s="92"/>
      <c r="J158" s="61">
        <f t="shared" si="50"/>
        <v>0</v>
      </c>
      <c r="L158" s="92"/>
      <c r="M158" s="92"/>
      <c r="N158" s="92"/>
      <c r="O158" s="92"/>
      <c r="P158" s="619">
        <v>5500</v>
      </c>
      <c r="Q158" s="92"/>
      <c r="R158" s="599">
        <f t="shared" si="49"/>
        <v>5500</v>
      </c>
    </row>
    <row r="159" spans="2:18" ht="15.75" customHeight="1" thickBot="1" x14ac:dyDescent="0.4">
      <c r="C159" s="48" t="s">
        <v>546</v>
      </c>
      <c r="D159" s="92"/>
      <c r="E159" s="92"/>
      <c r="F159" s="92"/>
      <c r="G159" s="92"/>
      <c r="H159" s="92"/>
      <c r="I159" s="92"/>
      <c r="J159" s="61">
        <f t="shared" si="50"/>
        <v>0</v>
      </c>
      <c r="L159" s="92"/>
      <c r="M159" s="92"/>
      <c r="N159" s="92"/>
      <c r="O159" s="717">
        <v>14000</v>
      </c>
      <c r="P159" s="92"/>
      <c r="Q159" s="619">
        <v>10000</v>
      </c>
      <c r="R159" s="599">
        <f t="shared" si="49"/>
        <v>24000</v>
      </c>
    </row>
    <row r="160" spans="2:18" ht="15.75" customHeight="1" thickBot="1" x14ac:dyDescent="0.4">
      <c r="C160" s="53" t="s">
        <v>21</v>
      </c>
      <c r="D160" s="62">
        <f>SUM(D153:D159)</f>
        <v>0</v>
      </c>
      <c r="E160" s="62">
        <f>SUM(E153:E159)</f>
        <v>0</v>
      </c>
      <c r="F160" s="62">
        <f>SUM(F153:F159)</f>
        <v>0</v>
      </c>
      <c r="G160" s="62">
        <f t="shared" ref="G160:I160" si="51">SUM(G153:G159)</f>
        <v>0</v>
      </c>
      <c r="H160" s="62">
        <f t="shared" si="51"/>
        <v>0</v>
      </c>
      <c r="I160" s="62">
        <f t="shared" si="51"/>
        <v>0</v>
      </c>
      <c r="J160" s="61">
        <f t="shared" si="50"/>
        <v>0</v>
      </c>
      <c r="L160" s="601">
        <f>SUM(L153:L159)</f>
        <v>0</v>
      </c>
      <c r="M160" s="601">
        <f>SUM(M153:M159)</f>
        <v>0</v>
      </c>
      <c r="N160" s="601">
        <f>SUM(N153:N159)</f>
        <v>0</v>
      </c>
      <c r="O160" s="677">
        <f t="shared" ref="O160:P160" si="52">SUM(O153:O159)</f>
        <v>44000</v>
      </c>
      <c r="P160" s="677">
        <f t="shared" si="52"/>
        <v>63214.6</v>
      </c>
      <c r="Q160" s="677">
        <f t="shared" ref="Q160" si="53">SUM(Q153:Q159)</f>
        <v>45000</v>
      </c>
      <c r="R160" s="679">
        <f t="shared" si="49"/>
        <v>152214.6</v>
      </c>
    </row>
    <row r="161" spans="3:18" s="52" customFormat="1" ht="15.75" customHeight="1" x14ac:dyDescent="0.35">
      <c r="C161" s="63"/>
      <c r="D161" s="64"/>
      <c r="E161" s="64"/>
      <c r="F161" s="64"/>
      <c r="G161" s="64"/>
      <c r="H161" s="64"/>
      <c r="I161" s="64"/>
      <c r="J161" s="65"/>
      <c r="K161" s="50"/>
      <c r="L161" s="64"/>
      <c r="M161" s="64"/>
      <c r="N161" s="64"/>
      <c r="O161" s="64"/>
      <c r="P161" s="64"/>
      <c r="Q161" s="622"/>
      <c r="R161" s="65"/>
    </row>
    <row r="162" spans="3:18" ht="15.75" customHeight="1" x14ac:dyDescent="0.35">
      <c r="C162" s="797" t="s">
        <v>486</v>
      </c>
      <c r="D162" s="798"/>
      <c r="E162" s="798"/>
      <c r="F162" s="798"/>
      <c r="G162" s="798"/>
      <c r="H162" s="798"/>
      <c r="I162" s="798"/>
      <c r="J162" s="799"/>
      <c r="L162" s="820"/>
      <c r="M162" s="820"/>
      <c r="N162" s="820"/>
      <c r="O162" s="820"/>
      <c r="P162" s="820"/>
      <c r="Q162" s="820"/>
      <c r="R162" s="821"/>
    </row>
    <row r="163" spans="3:18" ht="21" customHeight="1" thickBot="1" x14ac:dyDescent="0.4">
      <c r="C163" s="59" t="s">
        <v>566</v>
      </c>
      <c r="D163" s="60">
        <f>'1) Tableau budgétaire 1'!D160</f>
        <v>0</v>
      </c>
      <c r="E163" s="60">
        <f>'1) Tableau budgétaire 1'!E160</f>
        <v>0</v>
      </c>
      <c r="F163" s="60">
        <f>'1) Tableau budgétaire 1'!F160</f>
        <v>0</v>
      </c>
      <c r="G163" s="60">
        <f>'1) Tableau budgétaire 1'!G160</f>
        <v>0</v>
      </c>
      <c r="H163" s="60">
        <f>'1) Tableau budgétaire 1'!H160</f>
        <v>0</v>
      </c>
      <c r="I163" s="60">
        <f>'1) Tableau budgétaire 1'!I160</f>
        <v>0</v>
      </c>
      <c r="J163" s="61">
        <f>SUM(D163:I163)</f>
        <v>0</v>
      </c>
      <c r="L163" s="598">
        <f>'1) Tableau budgétaire 1'!L160</f>
        <v>0</v>
      </c>
      <c r="M163" s="598">
        <f>'1) Tableau budgétaire 1'!M160</f>
        <v>0</v>
      </c>
      <c r="N163" s="598">
        <f>'1) Tableau budgétaire 1'!N160</f>
        <v>0</v>
      </c>
      <c r="O163" s="598">
        <f>'1) Tableau budgétaire 1'!O160</f>
        <v>0</v>
      </c>
      <c r="P163" s="598">
        <f>'1) Tableau budgétaire 1'!P160</f>
        <v>0</v>
      </c>
      <c r="Q163" s="598">
        <v>0</v>
      </c>
      <c r="R163" s="599">
        <f t="shared" ref="R163:R171" si="54">SUM(M163:Q163)</f>
        <v>0</v>
      </c>
    </row>
    <row r="164" spans="3:18" ht="15.75" customHeight="1" thickBot="1" x14ac:dyDescent="0.4">
      <c r="C164" s="58" t="s">
        <v>540</v>
      </c>
      <c r="D164" s="90"/>
      <c r="E164" s="91"/>
      <c r="F164" s="91"/>
      <c r="G164" s="91"/>
      <c r="H164" s="91"/>
      <c r="I164" s="91"/>
      <c r="J164" s="61">
        <f t="shared" ref="J164:J171" si="55">SUM(D164:I164)</f>
        <v>0</v>
      </c>
      <c r="L164" s="90"/>
      <c r="M164" s="90"/>
      <c r="N164" s="91"/>
      <c r="O164" s="91"/>
      <c r="P164" s="91"/>
      <c r="Q164" s="91"/>
      <c r="R164" s="599">
        <f t="shared" si="54"/>
        <v>0</v>
      </c>
    </row>
    <row r="165" spans="3:18" ht="15.75" customHeight="1" thickBot="1" x14ac:dyDescent="0.4">
      <c r="C165" s="48" t="s">
        <v>541</v>
      </c>
      <c r="D165" s="92"/>
      <c r="E165" s="18"/>
      <c r="F165" s="18"/>
      <c r="G165" s="18"/>
      <c r="H165" s="18"/>
      <c r="I165" s="18"/>
      <c r="J165" s="61">
        <f t="shared" si="55"/>
        <v>0</v>
      </c>
      <c r="L165" s="92"/>
      <c r="M165" s="92"/>
      <c r="N165" s="18"/>
      <c r="O165" s="18"/>
      <c r="P165" s="18"/>
      <c r="Q165" s="18"/>
      <c r="R165" s="599">
        <f t="shared" si="54"/>
        <v>0</v>
      </c>
    </row>
    <row r="166" spans="3:18" ht="15.75" customHeight="1" thickBot="1" x14ac:dyDescent="0.4">
      <c r="C166" s="48" t="s">
        <v>542</v>
      </c>
      <c r="D166" s="92"/>
      <c r="E166" s="92"/>
      <c r="F166" s="92"/>
      <c r="G166" s="92"/>
      <c r="H166" s="92"/>
      <c r="I166" s="92"/>
      <c r="J166" s="61">
        <f t="shared" si="55"/>
        <v>0</v>
      </c>
      <c r="L166" s="92"/>
      <c r="M166" s="92"/>
      <c r="N166" s="92"/>
      <c r="O166" s="92"/>
      <c r="P166" s="92"/>
      <c r="Q166" s="92"/>
      <c r="R166" s="599">
        <f t="shared" si="54"/>
        <v>0</v>
      </c>
    </row>
    <row r="167" spans="3:18" ht="15.75" customHeight="1" thickBot="1" x14ac:dyDescent="0.4">
      <c r="C167" s="49" t="s">
        <v>543</v>
      </c>
      <c r="D167" s="92"/>
      <c r="E167" s="92"/>
      <c r="F167" s="92"/>
      <c r="G167" s="92"/>
      <c r="H167" s="92"/>
      <c r="I167" s="92"/>
      <c r="J167" s="61">
        <f t="shared" si="55"/>
        <v>0</v>
      </c>
      <c r="L167" s="92"/>
      <c r="M167" s="92"/>
      <c r="N167" s="92"/>
      <c r="O167" s="92"/>
      <c r="P167" s="92"/>
      <c r="Q167" s="92"/>
      <c r="R167" s="599">
        <f t="shared" si="54"/>
        <v>0</v>
      </c>
    </row>
    <row r="168" spans="3:18" ht="15.75" customHeight="1" thickBot="1" x14ac:dyDescent="0.4">
      <c r="C168" s="48" t="s">
        <v>544</v>
      </c>
      <c r="D168" s="92"/>
      <c r="E168" s="92"/>
      <c r="F168" s="92"/>
      <c r="G168" s="92"/>
      <c r="H168" s="92"/>
      <c r="I168" s="92"/>
      <c r="J168" s="61">
        <f t="shared" si="55"/>
        <v>0</v>
      </c>
      <c r="L168" s="92"/>
      <c r="M168" s="92"/>
      <c r="N168" s="92"/>
      <c r="O168" s="92"/>
      <c r="P168" s="92"/>
      <c r="Q168" s="92"/>
      <c r="R168" s="599">
        <f t="shared" si="54"/>
        <v>0</v>
      </c>
    </row>
    <row r="169" spans="3:18" ht="15.75" customHeight="1" thickBot="1" x14ac:dyDescent="0.4">
      <c r="C169" s="48" t="s">
        <v>545</v>
      </c>
      <c r="D169" s="92"/>
      <c r="E169" s="92"/>
      <c r="F169" s="92"/>
      <c r="G169" s="92"/>
      <c r="H169" s="92"/>
      <c r="I169" s="92"/>
      <c r="J169" s="61">
        <f t="shared" si="55"/>
        <v>0</v>
      </c>
      <c r="L169" s="92"/>
      <c r="M169" s="92"/>
      <c r="N169" s="92"/>
      <c r="O169" s="92"/>
      <c r="P169" s="92"/>
      <c r="Q169" s="92"/>
      <c r="R169" s="599">
        <f t="shared" si="54"/>
        <v>0</v>
      </c>
    </row>
    <row r="170" spans="3:18" ht="15.75" customHeight="1" thickBot="1" x14ac:dyDescent="0.4">
      <c r="C170" s="48" t="s">
        <v>546</v>
      </c>
      <c r="D170" s="92"/>
      <c r="E170" s="92"/>
      <c r="F170" s="92"/>
      <c r="G170" s="92"/>
      <c r="H170" s="92"/>
      <c r="I170" s="92"/>
      <c r="J170" s="61">
        <f t="shared" si="55"/>
        <v>0</v>
      </c>
      <c r="L170" s="92"/>
      <c r="M170" s="92"/>
      <c r="N170" s="92"/>
      <c r="O170" s="92"/>
      <c r="P170" s="92"/>
      <c r="Q170" s="92"/>
      <c r="R170" s="599">
        <f t="shared" si="54"/>
        <v>0</v>
      </c>
    </row>
    <row r="171" spans="3:18" ht="15.75" customHeight="1" thickBot="1" x14ac:dyDescent="0.4">
      <c r="C171" s="53" t="s">
        <v>21</v>
      </c>
      <c r="D171" s="62">
        <f>SUM(D164:D170)</f>
        <v>0</v>
      </c>
      <c r="E171" s="62">
        <f>SUM(E164:E170)</f>
        <v>0</v>
      </c>
      <c r="F171" s="62">
        <f>SUM(F164:F170)</f>
        <v>0</v>
      </c>
      <c r="G171" s="62">
        <f t="shared" ref="G171:I171" si="56">SUM(G164:G170)</f>
        <v>0</v>
      </c>
      <c r="H171" s="62">
        <f t="shared" si="56"/>
        <v>0</v>
      </c>
      <c r="I171" s="62">
        <f t="shared" si="56"/>
        <v>0</v>
      </c>
      <c r="J171" s="61">
        <f t="shared" si="55"/>
        <v>0</v>
      </c>
      <c r="L171" s="601">
        <f>SUM(L164:L170)</f>
        <v>0</v>
      </c>
      <c r="M171" s="601">
        <f>SUM(M164:M170)</f>
        <v>0</v>
      </c>
      <c r="N171" s="601">
        <f>SUM(N164:N170)</f>
        <v>0</v>
      </c>
      <c r="O171" s="601">
        <f>SUM(O164:O170)</f>
        <v>0</v>
      </c>
      <c r="P171" s="601">
        <f t="shared" ref="P171" si="57">SUM(P164:P170)</f>
        <v>0</v>
      </c>
      <c r="Q171" s="601">
        <f t="shared" ref="Q171" si="58">SUM(Q164:Q170)</f>
        <v>0</v>
      </c>
      <c r="R171" s="599">
        <f t="shared" si="54"/>
        <v>0</v>
      </c>
    </row>
    <row r="172" spans="3:18" s="52" customFormat="1" ht="15.75" customHeight="1" x14ac:dyDescent="0.35">
      <c r="C172" s="63"/>
      <c r="D172" s="64"/>
      <c r="E172" s="64"/>
      <c r="F172" s="64"/>
      <c r="G172" s="64"/>
      <c r="H172" s="64"/>
      <c r="I172" s="64"/>
      <c r="J172" s="65"/>
      <c r="K172" s="50"/>
      <c r="L172" s="64"/>
      <c r="M172" s="64"/>
      <c r="N172" s="64"/>
      <c r="O172" s="64"/>
      <c r="P172" s="64"/>
      <c r="Q172" s="622"/>
      <c r="R172" s="65"/>
    </row>
    <row r="173" spans="3:18" ht="15.75" customHeight="1" x14ac:dyDescent="0.35">
      <c r="C173" s="797" t="s">
        <v>495</v>
      </c>
      <c r="D173" s="798"/>
      <c r="E173" s="798"/>
      <c r="F173" s="798"/>
      <c r="G173" s="798"/>
      <c r="H173" s="798"/>
      <c r="I173" s="798"/>
      <c r="J173" s="799"/>
      <c r="L173" s="820"/>
      <c r="M173" s="820"/>
      <c r="N173" s="820"/>
      <c r="O173" s="820"/>
      <c r="P173" s="820"/>
      <c r="Q173" s="820"/>
      <c r="R173" s="821"/>
    </row>
    <row r="174" spans="3:18" ht="19.5" customHeight="1" thickBot="1" x14ac:dyDescent="0.4">
      <c r="C174" s="59" t="s">
        <v>567</v>
      </c>
      <c r="D174" s="60">
        <f>'1) Tableau budgétaire 1'!D170</f>
        <v>0</v>
      </c>
      <c r="E174" s="60">
        <f>'1) Tableau budgétaire 1'!E170</f>
        <v>0</v>
      </c>
      <c r="F174" s="60">
        <f>'1) Tableau budgétaire 1'!F170</f>
        <v>0</v>
      </c>
      <c r="G174" s="60">
        <f>'1) Tableau budgétaire 1'!G170</f>
        <v>0</v>
      </c>
      <c r="H174" s="60">
        <f>'1) Tableau budgétaire 1'!H170</f>
        <v>0</v>
      </c>
      <c r="I174" s="60">
        <f>'1) Tableau budgétaire 1'!I170</f>
        <v>0</v>
      </c>
      <c r="J174" s="61">
        <f>SUM(D174:I174)</f>
        <v>0</v>
      </c>
      <c r="L174" s="598">
        <f>'1) Tableau budgétaire 1'!L170</f>
        <v>0</v>
      </c>
      <c r="M174" s="598">
        <f>'1) Tableau budgétaire 1'!M170</f>
        <v>0</v>
      </c>
      <c r="N174" s="598">
        <f>'1) Tableau budgétaire 1'!N170</f>
        <v>0</v>
      </c>
      <c r="O174" s="598">
        <f>'1) Tableau budgétaire 1'!O170</f>
        <v>0</v>
      </c>
      <c r="P174" s="598">
        <f>'1) Tableau budgétaire 1'!P170</f>
        <v>0</v>
      </c>
      <c r="Q174" s="598">
        <v>0</v>
      </c>
      <c r="R174" s="599">
        <f t="shared" ref="R174:R182" si="59">SUM(M174:Q174)</f>
        <v>0</v>
      </c>
    </row>
    <row r="175" spans="3:18" ht="15.75" customHeight="1" thickBot="1" x14ac:dyDescent="0.4">
      <c r="C175" s="58" t="s">
        <v>540</v>
      </c>
      <c r="D175" s="90"/>
      <c r="E175" s="91"/>
      <c r="F175" s="91"/>
      <c r="G175" s="91"/>
      <c r="H175" s="91"/>
      <c r="I175" s="91"/>
      <c r="J175" s="61">
        <f t="shared" ref="J175:J182" si="60">SUM(D175:I175)</f>
        <v>0</v>
      </c>
      <c r="L175" s="90"/>
      <c r="M175" s="90"/>
      <c r="N175" s="91"/>
      <c r="O175" s="91"/>
      <c r="P175" s="91"/>
      <c r="Q175" s="91"/>
      <c r="R175" s="599">
        <f t="shared" si="59"/>
        <v>0</v>
      </c>
    </row>
    <row r="176" spans="3:18" ht="15.75" customHeight="1" thickBot="1" x14ac:dyDescent="0.4">
      <c r="C176" s="48" t="s">
        <v>541</v>
      </c>
      <c r="D176" s="92"/>
      <c r="E176" s="18"/>
      <c r="F176" s="18"/>
      <c r="G176" s="18"/>
      <c r="H176" s="18"/>
      <c r="I176" s="18"/>
      <c r="J176" s="61">
        <f t="shared" si="60"/>
        <v>0</v>
      </c>
      <c r="L176" s="92"/>
      <c r="M176" s="92"/>
      <c r="N176" s="18"/>
      <c r="O176" s="18"/>
      <c r="P176" s="18"/>
      <c r="Q176" s="18"/>
      <c r="R176" s="599">
        <f t="shared" si="59"/>
        <v>0</v>
      </c>
    </row>
    <row r="177" spans="3:18" ht="15.75" customHeight="1" thickBot="1" x14ac:dyDescent="0.4">
      <c r="C177" s="48" t="s">
        <v>542</v>
      </c>
      <c r="D177" s="92"/>
      <c r="E177" s="92"/>
      <c r="F177" s="92"/>
      <c r="G177" s="92"/>
      <c r="H177" s="92"/>
      <c r="I177" s="92"/>
      <c r="J177" s="61">
        <f t="shared" si="60"/>
        <v>0</v>
      </c>
      <c r="L177" s="92"/>
      <c r="M177" s="92"/>
      <c r="N177" s="92"/>
      <c r="O177" s="92"/>
      <c r="P177" s="92"/>
      <c r="Q177" s="92"/>
      <c r="R177" s="599">
        <f t="shared" si="59"/>
        <v>0</v>
      </c>
    </row>
    <row r="178" spans="3:18" ht="15.75" customHeight="1" thickBot="1" x14ac:dyDescent="0.4">
      <c r="C178" s="49" t="s">
        <v>543</v>
      </c>
      <c r="D178" s="92"/>
      <c r="E178" s="92"/>
      <c r="F178" s="92"/>
      <c r="G178" s="92"/>
      <c r="H178" s="92"/>
      <c r="I178" s="92"/>
      <c r="J178" s="61">
        <f t="shared" si="60"/>
        <v>0</v>
      </c>
      <c r="L178" s="92"/>
      <c r="M178" s="92"/>
      <c r="N178" s="92"/>
      <c r="O178" s="92"/>
      <c r="P178" s="92"/>
      <c r="Q178" s="92"/>
      <c r="R178" s="599">
        <f t="shared" si="59"/>
        <v>0</v>
      </c>
    </row>
    <row r="179" spans="3:18" ht="15.75" customHeight="1" thickBot="1" x14ac:dyDescent="0.4">
      <c r="C179" s="48" t="s">
        <v>544</v>
      </c>
      <c r="D179" s="92"/>
      <c r="E179" s="92"/>
      <c r="F179" s="92"/>
      <c r="G179" s="92"/>
      <c r="H179" s="92"/>
      <c r="I179" s="92"/>
      <c r="J179" s="61">
        <f t="shared" si="60"/>
        <v>0</v>
      </c>
      <c r="L179" s="92"/>
      <c r="M179" s="92"/>
      <c r="N179" s="92"/>
      <c r="O179" s="92"/>
      <c r="P179" s="92"/>
      <c r="Q179" s="92"/>
      <c r="R179" s="599">
        <f t="shared" si="59"/>
        <v>0</v>
      </c>
    </row>
    <row r="180" spans="3:18" ht="15.75" customHeight="1" thickBot="1" x14ac:dyDescent="0.4">
      <c r="C180" s="48" t="s">
        <v>545</v>
      </c>
      <c r="D180" s="92"/>
      <c r="E180" s="92"/>
      <c r="F180" s="92"/>
      <c r="G180" s="92"/>
      <c r="H180" s="92"/>
      <c r="I180" s="92"/>
      <c r="J180" s="61">
        <f t="shared" si="60"/>
        <v>0</v>
      </c>
      <c r="L180" s="92"/>
      <c r="M180" s="92"/>
      <c r="N180" s="92"/>
      <c r="O180" s="92"/>
      <c r="P180" s="92"/>
      <c r="Q180" s="92"/>
      <c r="R180" s="599">
        <f t="shared" si="59"/>
        <v>0</v>
      </c>
    </row>
    <row r="181" spans="3:18" ht="15.75" customHeight="1" thickBot="1" x14ac:dyDescent="0.4">
      <c r="C181" s="48" t="s">
        <v>546</v>
      </c>
      <c r="D181" s="92"/>
      <c r="E181" s="92"/>
      <c r="F181" s="92"/>
      <c r="G181" s="92"/>
      <c r="H181" s="92"/>
      <c r="I181" s="92"/>
      <c r="J181" s="61">
        <f t="shared" si="60"/>
        <v>0</v>
      </c>
      <c r="L181" s="92"/>
      <c r="M181" s="92"/>
      <c r="N181" s="92"/>
      <c r="O181" s="92"/>
      <c r="P181" s="92"/>
      <c r="Q181" s="92"/>
      <c r="R181" s="599">
        <f t="shared" si="59"/>
        <v>0</v>
      </c>
    </row>
    <row r="182" spans="3:18" ht="15.75" customHeight="1" thickBot="1" x14ac:dyDescent="0.4">
      <c r="C182" s="53" t="s">
        <v>21</v>
      </c>
      <c r="D182" s="62">
        <f>SUM(D175:D181)</f>
        <v>0</v>
      </c>
      <c r="E182" s="62">
        <f>SUM(E175:E181)</f>
        <v>0</v>
      </c>
      <c r="F182" s="62">
        <f>SUM(F175:F181)</f>
        <v>0</v>
      </c>
      <c r="G182" s="62">
        <f t="shared" ref="G182:I182" si="61">SUM(G175:G181)</f>
        <v>0</v>
      </c>
      <c r="H182" s="62">
        <f t="shared" si="61"/>
        <v>0</v>
      </c>
      <c r="I182" s="62">
        <f t="shared" si="61"/>
        <v>0</v>
      </c>
      <c r="J182" s="61">
        <f t="shared" si="60"/>
        <v>0</v>
      </c>
      <c r="L182" s="601">
        <f>SUM(L175:L181)</f>
        <v>0</v>
      </c>
      <c r="M182" s="601">
        <f>SUM(M175:M181)</f>
        <v>0</v>
      </c>
      <c r="N182" s="601">
        <f>SUM(N175:N181)</f>
        <v>0</v>
      </c>
      <c r="O182" s="601">
        <f>SUM(O175:O181)</f>
        <v>0</v>
      </c>
      <c r="P182" s="601">
        <f t="shared" ref="P182" si="62">SUM(P175:P181)</f>
        <v>0</v>
      </c>
      <c r="Q182" s="601">
        <f t="shared" ref="Q182" si="63">SUM(Q175:Q181)</f>
        <v>0</v>
      </c>
      <c r="R182" s="599">
        <f t="shared" si="59"/>
        <v>0</v>
      </c>
    </row>
    <row r="183" spans="3:18" s="52" customFormat="1" ht="15.75" customHeight="1" x14ac:dyDescent="0.35">
      <c r="C183" s="63"/>
      <c r="D183" s="64"/>
      <c r="E183" s="64"/>
      <c r="F183" s="64"/>
      <c r="G183" s="64"/>
      <c r="H183" s="64"/>
      <c r="I183" s="64"/>
      <c r="J183" s="65"/>
      <c r="K183" s="50"/>
      <c r="L183" s="64"/>
      <c r="M183" s="64"/>
      <c r="N183" s="64"/>
      <c r="O183" s="64"/>
      <c r="P183" s="64"/>
      <c r="Q183" s="622"/>
      <c r="R183" s="65"/>
    </row>
    <row r="184" spans="3:18" ht="15.75" customHeight="1" x14ac:dyDescent="0.35">
      <c r="C184" s="797" t="s">
        <v>504</v>
      </c>
      <c r="D184" s="798"/>
      <c r="E184" s="798"/>
      <c r="F184" s="798"/>
      <c r="G184" s="798"/>
      <c r="H184" s="798"/>
      <c r="I184" s="798"/>
      <c r="J184" s="799"/>
      <c r="L184" s="820"/>
      <c r="M184" s="820"/>
      <c r="N184" s="820"/>
      <c r="O184" s="820"/>
      <c r="P184" s="820"/>
      <c r="Q184" s="820"/>
      <c r="R184" s="821"/>
    </row>
    <row r="185" spans="3:18" ht="22.5" customHeight="1" thickBot="1" x14ac:dyDescent="0.4">
      <c r="C185" s="59" t="s">
        <v>568</v>
      </c>
      <c r="D185" s="60">
        <f>'1) Tableau budgétaire 1'!D180</f>
        <v>0</v>
      </c>
      <c r="E185" s="60">
        <f>'1) Tableau budgétaire 1'!E180</f>
        <v>0</v>
      </c>
      <c r="F185" s="60">
        <f>'1) Tableau budgétaire 1'!F180</f>
        <v>0</v>
      </c>
      <c r="G185" s="60">
        <f>'1) Tableau budgétaire 1'!G180</f>
        <v>0</v>
      </c>
      <c r="H185" s="60">
        <f>'1) Tableau budgétaire 1'!H180</f>
        <v>0</v>
      </c>
      <c r="I185" s="60">
        <f>'1) Tableau budgétaire 1'!I180</f>
        <v>0</v>
      </c>
      <c r="J185" s="61">
        <f>SUM(D185:I185)</f>
        <v>0</v>
      </c>
      <c r="L185" s="598">
        <f>'1) Tableau budgétaire 1'!L180</f>
        <v>0</v>
      </c>
      <c r="M185" s="598">
        <f>'1) Tableau budgétaire 1'!M180</f>
        <v>0</v>
      </c>
      <c r="N185" s="598">
        <f>'1) Tableau budgétaire 1'!N180</f>
        <v>0</v>
      </c>
      <c r="O185" s="598">
        <f>'1) Tableau budgétaire 1'!O180</f>
        <v>0</v>
      </c>
      <c r="P185" s="598">
        <f>'1) Tableau budgétaire 1'!P180</f>
        <v>0</v>
      </c>
      <c r="Q185" s="598">
        <v>0</v>
      </c>
      <c r="R185" s="599">
        <f t="shared" ref="R185:R193" si="64">SUM(M185:Q185)</f>
        <v>0</v>
      </c>
    </row>
    <row r="186" spans="3:18" ht="15.75" customHeight="1" thickBot="1" x14ac:dyDescent="0.4">
      <c r="C186" s="58" t="s">
        <v>540</v>
      </c>
      <c r="D186" s="90"/>
      <c r="E186" s="91"/>
      <c r="F186" s="91"/>
      <c r="G186" s="91"/>
      <c r="H186" s="91"/>
      <c r="I186" s="91"/>
      <c r="J186" s="61">
        <f t="shared" ref="J186:J193" si="65">SUM(D186:I186)</f>
        <v>0</v>
      </c>
      <c r="L186" s="90"/>
      <c r="M186" s="90"/>
      <c r="N186" s="91"/>
      <c r="O186" s="91"/>
      <c r="P186" s="91"/>
      <c r="Q186" s="91"/>
      <c r="R186" s="599">
        <f t="shared" si="64"/>
        <v>0</v>
      </c>
    </row>
    <row r="187" spans="3:18" ht="15.75" customHeight="1" thickBot="1" x14ac:dyDescent="0.4">
      <c r="C187" s="48" t="s">
        <v>541</v>
      </c>
      <c r="D187" s="92"/>
      <c r="E187" s="18"/>
      <c r="F187" s="18"/>
      <c r="G187" s="18"/>
      <c r="H187" s="18"/>
      <c r="I187" s="18"/>
      <c r="J187" s="61">
        <f t="shared" si="65"/>
        <v>0</v>
      </c>
      <c r="L187" s="92"/>
      <c r="M187" s="92"/>
      <c r="N187" s="18"/>
      <c r="O187" s="18"/>
      <c r="P187" s="18"/>
      <c r="Q187" s="18"/>
      <c r="R187" s="599">
        <f t="shared" si="64"/>
        <v>0</v>
      </c>
    </row>
    <row r="188" spans="3:18" ht="15.75" customHeight="1" thickBot="1" x14ac:dyDescent="0.4">
      <c r="C188" s="48" t="s">
        <v>542</v>
      </c>
      <c r="D188" s="92"/>
      <c r="E188" s="92"/>
      <c r="F188" s="92"/>
      <c r="G188" s="92"/>
      <c r="H188" s="92"/>
      <c r="I188" s="92"/>
      <c r="J188" s="61">
        <f t="shared" si="65"/>
        <v>0</v>
      </c>
      <c r="L188" s="92"/>
      <c r="M188" s="92"/>
      <c r="N188" s="92"/>
      <c r="O188" s="92"/>
      <c r="P188" s="92"/>
      <c r="Q188" s="92"/>
      <c r="R188" s="599">
        <f t="shared" si="64"/>
        <v>0</v>
      </c>
    </row>
    <row r="189" spans="3:18" ht="15.75" customHeight="1" thickBot="1" x14ac:dyDescent="0.4">
      <c r="C189" s="49" t="s">
        <v>543</v>
      </c>
      <c r="D189" s="92"/>
      <c r="E189" s="92"/>
      <c r="F189" s="92"/>
      <c r="G189" s="92"/>
      <c r="H189" s="92"/>
      <c r="I189" s="92"/>
      <c r="J189" s="61">
        <f t="shared" si="65"/>
        <v>0</v>
      </c>
      <c r="L189" s="92"/>
      <c r="M189" s="92"/>
      <c r="N189" s="92"/>
      <c r="O189" s="92"/>
      <c r="P189" s="92"/>
      <c r="Q189" s="92"/>
      <c r="R189" s="599">
        <f t="shared" si="64"/>
        <v>0</v>
      </c>
    </row>
    <row r="190" spans="3:18" ht="15.75" customHeight="1" thickBot="1" x14ac:dyDescent="0.4">
      <c r="C190" s="48" t="s">
        <v>544</v>
      </c>
      <c r="D190" s="92"/>
      <c r="E190" s="92"/>
      <c r="F190" s="92"/>
      <c r="G190" s="92"/>
      <c r="H190" s="92"/>
      <c r="I190" s="92"/>
      <c r="J190" s="61">
        <f t="shared" si="65"/>
        <v>0</v>
      </c>
      <c r="L190" s="92"/>
      <c r="M190" s="92"/>
      <c r="N190" s="92"/>
      <c r="O190" s="92"/>
      <c r="P190" s="92"/>
      <c r="Q190" s="92"/>
      <c r="R190" s="599">
        <f t="shared" si="64"/>
        <v>0</v>
      </c>
    </row>
    <row r="191" spans="3:18" ht="15.75" customHeight="1" thickBot="1" x14ac:dyDescent="0.4">
      <c r="C191" s="48" t="s">
        <v>545</v>
      </c>
      <c r="D191" s="92"/>
      <c r="E191" s="92"/>
      <c r="F191" s="92"/>
      <c r="G191" s="92"/>
      <c r="H191" s="92"/>
      <c r="I191" s="92"/>
      <c r="J191" s="61">
        <f t="shared" si="65"/>
        <v>0</v>
      </c>
      <c r="L191" s="92"/>
      <c r="M191" s="92"/>
      <c r="N191" s="92"/>
      <c r="O191" s="92"/>
      <c r="P191" s="92"/>
      <c r="Q191" s="92"/>
      <c r="R191" s="599">
        <f t="shared" si="64"/>
        <v>0</v>
      </c>
    </row>
    <row r="192" spans="3:18" ht="15.75" customHeight="1" thickBot="1" x14ac:dyDescent="0.4">
      <c r="C192" s="48" t="s">
        <v>546</v>
      </c>
      <c r="D192" s="92"/>
      <c r="E192" s="92"/>
      <c r="F192" s="92"/>
      <c r="G192" s="92"/>
      <c r="H192" s="92"/>
      <c r="I192" s="92"/>
      <c r="J192" s="61">
        <f t="shared" si="65"/>
        <v>0</v>
      </c>
      <c r="L192" s="92"/>
      <c r="M192" s="92"/>
      <c r="N192" s="92"/>
      <c r="O192" s="92"/>
      <c r="P192" s="92"/>
      <c r="Q192" s="92"/>
      <c r="R192" s="599">
        <f t="shared" si="64"/>
        <v>0</v>
      </c>
    </row>
    <row r="193" spans="3:18" ht="15.75" customHeight="1" thickBot="1" x14ac:dyDescent="0.4">
      <c r="C193" s="53" t="s">
        <v>21</v>
      </c>
      <c r="D193" s="62">
        <f>SUM(D186:D192)</f>
        <v>0</v>
      </c>
      <c r="E193" s="62">
        <f>SUM(E186:E192)</f>
        <v>0</v>
      </c>
      <c r="F193" s="62">
        <f>SUM(F186:F192)</f>
        <v>0</v>
      </c>
      <c r="G193" s="62">
        <f t="shared" ref="G193:I193" si="66">SUM(G186:G192)</f>
        <v>0</v>
      </c>
      <c r="H193" s="62">
        <f t="shared" si="66"/>
        <v>0</v>
      </c>
      <c r="I193" s="62">
        <f t="shared" si="66"/>
        <v>0</v>
      </c>
      <c r="J193" s="61">
        <f t="shared" si="65"/>
        <v>0</v>
      </c>
      <c r="L193" s="601">
        <f>SUM(L186:L192)</f>
        <v>0</v>
      </c>
      <c r="M193" s="601">
        <f>SUM(M186:M192)</f>
        <v>0</v>
      </c>
      <c r="N193" s="601">
        <f>SUM(N186:N192)</f>
        <v>0</v>
      </c>
      <c r="O193" s="601">
        <f>SUM(O186:O192)</f>
        <v>0</v>
      </c>
      <c r="P193" s="601">
        <f t="shared" ref="P193" si="67">SUM(P186:P192)</f>
        <v>0</v>
      </c>
      <c r="Q193" s="601">
        <f t="shared" ref="Q193" si="68">SUM(Q186:Q192)</f>
        <v>0</v>
      </c>
      <c r="R193" s="599">
        <f t="shared" si="64"/>
        <v>0</v>
      </c>
    </row>
    <row r="194" spans="3:18" ht="15.75" customHeight="1" x14ac:dyDescent="0.35">
      <c r="M194" s="52"/>
      <c r="N194" s="52"/>
      <c r="O194" s="52"/>
      <c r="P194" s="52"/>
      <c r="Q194" s="624"/>
    </row>
    <row r="195" spans="3:18" ht="15.75" customHeight="1" x14ac:dyDescent="0.35">
      <c r="C195" s="797" t="s">
        <v>569</v>
      </c>
      <c r="D195" s="798"/>
      <c r="E195" s="798"/>
      <c r="F195" s="798"/>
      <c r="G195" s="798"/>
      <c r="H195" s="798"/>
      <c r="I195" s="798"/>
      <c r="J195" s="799"/>
      <c r="L195" s="820"/>
      <c r="M195" s="820"/>
      <c r="N195" s="820"/>
      <c r="O195" s="820"/>
      <c r="P195" s="820"/>
      <c r="Q195" s="820"/>
      <c r="R195" s="821"/>
    </row>
    <row r="196" spans="3:18" ht="36" customHeight="1" thickBot="1" x14ac:dyDescent="0.4">
      <c r="C196" s="59" t="s">
        <v>570</v>
      </c>
      <c r="D196" s="60">
        <f>'1) Tableau budgétaire 1'!D189</f>
        <v>238177.66</v>
      </c>
      <c r="E196" s="60">
        <f>'1) Tableau budgétaire 1'!E189</f>
        <v>105760.28</v>
      </c>
      <c r="F196" s="60">
        <f>'1) Tableau budgétaire 1'!F189</f>
        <v>105760.28</v>
      </c>
      <c r="G196" s="60">
        <f>'1) Tableau budgétaire 1'!G189</f>
        <v>270333.76836158196</v>
      </c>
      <c r="H196" s="60">
        <f>'1) Tableau budgétaire 1'!H189</f>
        <v>114060.7476635514</v>
      </c>
      <c r="I196" s="60">
        <f>'1) Tableau budgétaire 1'!I189</f>
        <v>111607.40583333334</v>
      </c>
      <c r="J196" s="61">
        <f>SUM(D196:I196)</f>
        <v>945700.14185846667</v>
      </c>
      <c r="L196" s="598">
        <f>'1) Tableau budgétaire 1'!L189</f>
        <v>494275.70093457942</v>
      </c>
      <c r="M196" s="598">
        <f>'1) Tableau budgétaire 1'!M189</f>
        <v>215745</v>
      </c>
      <c r="N196" s="598">
        <f>'1) Tableau budgétaire 1'!N189</f>
        <v>215745</v>
      </c>
      <c r="O196" s="598">
        <f>'1) Tableau budgétaire 1'!O189</f>
        <v>635529.44636158226</v>
      </c>
      <c r="P196" s="598">
        <f>'1) Tableau budgétaire 1'!P189</f>
        <v>208862</v>
      </c>
      <c r="Q196" s="598">
        <f>'1) Tableau budgétaire 1'!Q189</f>
        <v>222168.15349688471</v>
      </c>
      <c r="R196" s="599">
        <f>SUM(L196:Q196)</f>
        <v>1992325.3007930464</v>
      </c>
    </row>
    <row r="197" spans="3:18" ht="15.75" customHeight="1" thickBot="1" x14ac:dyDescent="0.4">
      <c r="C197" s="58" t="s">
        <v>540</v>
      </c>
      <c r="D197" s="90">
        <f>'1) Tableau budgétaire 1'!D183</f>
        <v>180000</v>
      </c>
      <c r="E197" s="90">
        <f>'1) Tableau budgétaire 1'!E183</f>
        <v>50000</v>
      </c>
      <c r="F197" s="90">
        <f>'1) Tableau budgétaire 1'!F183</f>
        <v>50000</v>
      </c>
      <c r="G197" s="91">
        <f>'1) Tableau budgétaire 1'!G183</f>
        <v>188910.43502824858</v>
      </c>
      <c r="H197" s="91">
        <f>'1) Tableau budgétaire 1'!H183</f>
        <v>50000</v>
      </c>
      <c r="I197" s="91">
        <f>'1) Tableau budgétaire 1'!I183</f>
        <v>45715.072500000002</v>
      </c>
      <c r="J197" s="61">
        <f t="shared" ref="J197:J203" si="69">SUM(D197:I197)</f>
        <v>564625.50752824859</v>
      </c>
      <c r="L197" s="90">
        <f>'1) Tableau budgétaire 1'!L183</f>
        <v>336448.5981308411</v>
      </c>
      <c r="M197" s="90">
        <f>'1) Tableau budgétaire 1'!M183</f>
        <v>100000</v>
      </c>
      <c r="N197" s="90">
        <f>'1) Tableau budgétaire 1'!N183</f>
        <v>100000</v>
      </c>
      <c r="O197" s="680">
        <f>'1) Tableau budgétaire 1'!O183</f>
        <v>368080.43502824899</v>
      </c>
      <c r="P197" s="672">
        <f>'1) Tableau budgétaire 1'!P183</f>
        <v>109407</v>
      </c>
      <c r="Q197" s="672">
        <f>45715.0725+46191.93</f>
        <v>91907.002500000002</v>
      </c>
      <c r="R197" s="599">
        <f>SUM(L197:Q197)</f>
        <v>1105843.0356590899</v>
      </c>
    </row>
    <row r="198" spans="3:18" ht="15.75" customHeight="1" thickBot="1" x14ac:dyDescent="0.4">
      <c r="C198" s="48" t="s">
        <v>541</v>
      </c>
      <c r="D198" s="92"/>
      <c r="E198" s="18"/>
      <c r="F198" s="18"/>
      <c r="G198" s="18"/>
      <c r="H198" s="18"/>
      <c r="I198" s="18"/>
      <c r="J198" s="61">
        <f t="shared" si="69"/>
        <v>0</v>
      </c>
      <c r="L198" s="92"/>
      <c r="M198" s="92"/>
      <c r="N198" s="18"/>
      <c r="O198" s="18"/>
      <c r="P198" s="621"/>
      <c r="Q198" s="18"/>
      <c r="R198" s="599">
        <f t="shared" ref="R198:R203" si="70">SUM(M198:Q198)</f>
        <v>0</v>
      </c>
    </row>
    <row r="199" spans="3:18" ht="15.75" customHeight="1" thickBot="1" x14ac:dyDescent="0.4">
      <c r="C199" s="48" t="s">
        <v>542</v>
      </c>
      <c r="D199" s="92"/>
      <c r="E199" s="92"/>
      <c r="F199" s="92"/>
      <c r="G199" s="92"/>
      <c r="H199" s="92"/>
      <c r="I199" s="92">
        <f>'Niger FAO Format'!I38</f>
        <v>2044</v>
      </c>
      <c r="J199" s="61">
        <f t="shared" si="69"/>
        <v>2044</v>
      </c>
      <c r="L199" s="92"/>
      <c r="M199" s="92"/>
      <c r="N199" s="92"/>
      <c r="O199" s="619">
        <v>10044</v>
      </c>
      <c r="P199" s="619"/>
      <c r="Q199" s="619">
        <f>2044+5000</f>
        <v>7044</v>
      </c>
      <c r="R199" s="599">
        <f>SUM(L199:Q199)</f>
        <v>17088</v>
      </c>
    </row>
    <row r="200" spans="3:18" ht="15.75" customHeight="1" thickBot="1" x14ac:dyDescent="0.4">
      <c r="C200" s="49" t="s">
        <v>543</v>
      </c>
      <c r="D200" s="92"/>
      <c r="E200" s="92"/>
      <c r="F200" s="92"/>
      <c r="G200" s="92"/>
      <c r="H200" s="92"/>
      <c r="I200" s="92"/>
      <c r="J200" s="61">
        <f t="shared" si="69"/>
        <v>0</v>
      </c>
      <c r="L200" s="92"/>
      <c r="M200" s="92"/>
      <c r="N200" s="92"/>
      <c r="O200" s="92"/>
      <c r="P200" s="619"/>
      <c r="Q200" s="92"/>
      <c r="R200" s="599">
        <f t="shared" si="70"/>
        <v>0</v>
      </c>
    </row>
    <row r="201" spans="3:18" ht="15.75" customHeight="1" thickBot="1" x14ac:dyDescent="0.4">
      <c r="C201" s="48" t="s">
        <v>544</v>
      </c>
      <c r="D201" s="92">
        <f>SUM('1) Tableau budgétaire 1'!D185:D188)</f>
        <v>33388.660000000003</v>
      </c>
      <c r="E201" s="92">
        <f>SUM('1) Tableau budgétaire 1'!E185:E188)</f>
        <v>32305.279999999999</v>
      </c>
      <c r="F201" s="92">
        <f>SUM('1) Tableau budgétaire 1'!F185:F188)</f>
        <v>32305.279999999999</v>
      </c>
      <c r="G201" s="92">
        <f>'1) Tableau budgétaire 1'!G185</f>
        <v>40000</v>
      </c>
      <c r="H201" s="92">
        <f>'1) Tableau budgétaire 1'!H185</f>
        <v>21893.747663551403</v>
      </c>
      <c r="I201" s="92">
        <f>'1) Tableau budgétaire 1'!I185</f>
        <v>15000</v>
      </c>
      <c r="J201" s="61">
        <f t="shared" si="69"/>
        <v>174892.96766355139</v>
      </c>
      <c r="L201" s="92">
        <f>SUM('1) Tableau budgétaire 1'!L185:L188)</f>
        <v>85000</v>
      </c>
      <c r="M201" s="92">
        <f>SUM('1) Tableau budgétaire 1'!M185:M188)</f>
        <v>55500</v>
      </c>
      <c r="N201" s="92">
        <f>SUM('1) Tableau budgétaire 1'!N185:N188)</f>
        <v>55500</v>
      </c>
      <c r="O201" s="619">
        <f>'1) Tableau budgétaire 1'!O185</f>
        <v>80088</v>
      </c>
      <c r="P201" s="619">
        <f>'1) Tableau budgétaire 1'!P185</f>
        <v>28955</v>
      </c>
      <c r="Q201" s="619">
        <f>15000+15000</f>
        <v>30000</v>
      </c>
      <c r="R201" s="599">
        <f t="shared" si="70"/>
        <v>250043</v>
      </c>
    </row>
    <row r="202" spans="3:18" ht="15.75" customHeight="1" thickBot="1" x14ac:dyDescent="0.4">
      <c r="C202" s="48" t="s">
        <v>545</v>
      </c>
      <c r="D202" s="92"/>
      <c r="E202" s="92"/>
      <c r="F202" s="92"/>
      <c r="G202" s="92"/>
      <c r="H202" s="92"/>
      <c r="I202" s="92"/>
      <c r="J202" s="61">
        <f t="shared" si="69"/>
        <v>0</v>
      </c>
      <c r="L202" s="92"/>
      <c r="M202" s="92"/>
      <c r="N202" s="92"/>
      <c r="O202" s="92"/>
      <c r="P202" s="619"/>
      <c r="Q202" s="92"/>
      <c r="R202" s="599">
        <f t="shared" si="70"/>
        <v>0</v>
      </c>
    </row>
    <row r="203" spans="3:18" ht="15.75" customHeight="1" thickBot="1" x14ac:dyDescent="0.4">
      <c r="C203" s="48" t="s">
        <v>546</v>
      </c>
      <c r="D203" s="92">
        <f>'1) Tableau budgétaire 1'!D184</f>
        <v>24789</v>
      </c>
      <c r="E203" s="92">
        <f>'1) Tableau budgétaire 1'!E184</f>
        <v>23455</v>
      </c>
      <c r="F203" s="92">
        <f>'1) Tableau budgétaire 1'!F184</f>
        <v>23455</v>
      </c>
      <c r="G203" s="92">
        <f>'1) Tableau budgétaire 1'!G184+'1) Tableau budgétaire 1'!G188</f>
        <v>41423.333333333336</v>
      </c>
      <c r="H203" s="92">
        <f>'1) Tableau budgétaire 1'!H184+'1) Tableau budgétaire 1'!H188</f>
        <v>42167</v>
      </c>
      <c r="I203" s="92">
        <f>'1) Tableau budgétaire 1'!I184+'1) Tableau budgétaire 1'!I188-'Niger FAO Format'!I38</f>
        <v>48848.333333333336</v>
      </c>
      <c r="J203" s="61">
        <f t="shared" si="69"/>
        <v>204137.66666666669</v>
      </c>
      <c r="L203" s="92">
        <f>'1) Tableau budgétaire 1'!L184</f>
        <v>72827.102803738308</v>
      </c>
      <c r="M203" s="92">
        <f>'1) Tableau budgétaire 1'!M184</f>
        <v>60245</v>
      </c>
      <c r="N203" s="92">
        <f>'1) Tableau budgétaire 1'!N184</f>
        <v>60245</v>
      </c>
      <c r="O203" s="717">
        <v>177317.0113333333</v>
      </c>
      <c r="P203" s="619">
        <f>'1) Tableau budgétaire 1'!P184+'1) Tableau budgétaire 1'!P188</f>
        <v>70500</v>
      </c>
      <c r="Q203" s="619">
        <f>48848.3333333333+44368.8176635514</f>
        <v>93217.150996884709</v>
      </c>
      <c r="R203" s="599">
        <f t="shared" si="70"/>
        <v>461524.16233021801</v>
      </c>
    </row>
    <row r="204" spans="3:18" ht="15.75" customHeight="1" x14ac:dyDescent="0.35">
      <c r="C204" s="53" t="s">
        <v>21</v>
      </c>
      <c r="D204" s="62">
        <f>SUM(D197:D203)</f>
        <v>238177.66</v>
      </c>
      <c r="E204" s="62">
        <f>SUM(E197:E203)</f>
        <v>105760.28</v>
      </c>
      <c r="F204" s="62">
        <f>SUM(F197:F203)</f>
        <v>105760.28</v>
      </c>
      <c r="G204" s="62">
        <f t="shared" ref="G204:I204" si="71">SUM(G197:G203)</f>
        <v>270333.7683615819</v>
      </c>
      <c r="H204" s="62">
        <f t="shared" si="71"/>
        <v>114060.7476635514</v>
      </c>
      <c r="I204" s="62">
        <f t="shared" si="71"/>
        <v>111607.40583333334</v>
      </c>
      <c r="J204" s="57">
        <f>SUM(D204:I204)</f>
        <v>945700.14185846667</v>
      </c>
      <c r="L204" s="601">
        <f>SUM(L197:L203)</f>
        <v>494275.70093457942</v>
      </c>
      <c r="M204" s="601">
        <f>SUM(M197:M203)</f>
        <v>215745</v>
      </c>
      <c r="N204" s="601">
        <f>SUM(N197:N203)</f>
        <v>215745</v>
      </c>
      <c r="O204" s="601">
        <f>SUM(O197:O203)</f>
        <v>635529.44636158226</v>
      </c>
      <c r="P204" s="601">
        <f t="shared" ref="P204:Q204" si="72">SUM(P197:P203)</f>
        <v>208862</v>
      </c>
      <c r="Q204" s="601">
        <f t="shared" si="72"/>
        <v>222168.15349688471</v>
      </c>
      <c r="R204" s="602">
        <f>SUM(L204:Q204)</f>
        <v>1992325.3007930464</v>
      </c>
    </row>
    <row r="205" spans="3:18" ht="15.75" customHeight="1" thickBot="1" x14ac:dyDescent="0.4">
      <c r="M205" s="52"/>
      <c r="N205" s="52"/>
      <c r="O205" s="52"/>
      <c r="P205" s="52"/>
      <c r="Q205" s="624"/>
    </row>
    <row r="206" spans="3:18" ht="19.5" customHeight="1" thickBot="1" x14ac:dyDescent="0.4">
      <c r="C206" s="817" t="s">
        <v>536</v>
      </c>
      <c r="D206" s="818"/>
      <c r="E206" s="818"/>
      <c r="F206" s="818"/>
      <c r="G206" s="818"/>
      <c r="H206" s="818"/>
      <c r="I206" s="818"/>
      <c r="J206" s="819"/>
      <c r="L206" s="822"/>
      <c r="M206" s="822"/>
      <c r="N206" s="822"/>
      <c r="O206" s="822"/>
      <c r="P206" s="822"/>
      <c r="Q206" s="822"/>
      <c r="R206" s="823"/>
    </row>
    <row r="207" spans="3:18" ht="42.75" customHeight="1" x14ac:dyDescent="0.35">
      <c r="C207" s="69"/>
      <c r="D207" s="19" t="s">
        <v>525</v>
      </c>
      <c r="E207" s="19" t="s">
        <v>526</v>
      </c>
      <c r="F207" s="19" t="s">
        <v>527</v>
      </c>
      <c r="G207" s="19" t="s">
        <v>622</v>
      </c>
      <c r="H207" s="19" t="s">
        <v>623</v>
      </c>
      <c r="I207" s="19" t="s">
        <v>624</v>
      </c>
      <c r="J207" s="809" t="s">
        <v>536</v>
      </c>
      <c r="L207" s="588" t="s">
        <v>525</v>
      </c>
      <c r="M207" s="588" t="s">
        <v>525</v>
      </c>
      <c r="N207" s="588" t="s">
        <v>526</v>
      </c>
      <c r="O207" s="588" t="s">
        <v>527</v>
      </c>
      <c r="P207" s="588" t="s">
        <v>622</v>
      </c>
      <c r="Q207" s="588" t="s">
        <v>623</v>
      </c>
      <c r="R207" s="826" t="s">
        <v>536</v>
      </c>
    </row>
    <row r="208" spans="3:18" ht="27" customHeight="1" x14ac:dyDescent="0.35">
      <c r="C208" s="136"/>
      <c r="D208" s="714" t="str">
        <f>'1) Tableau budgétaire 1'!D14</f>
        <v>OIM BURKINA FASO</v>
      </c>
      <c r="E208" s="51" t="str">
        <f>'1) Tableau budgétaire 1'!E14</f>
        <v>OIM NIGER</v>
      </c>
      <c r="F208" s="51" t="str">
        <f>'1) Tableau budgétaire 1'!F14</f>
        <v>OIM MALI</v>
      </c>
      <c r="G208" s="51" t="str">
        <f>'1) Tableau budgétaire 1'!G14</f>
        <v>FAO BURKINA FASO</v>
      </c>
      <c r="H208" s="51" t="str">
        <f>'1) Tableau budgétaire 1'!H14</f>
        <v>FAO MALI</v>
      </c>
      <c r="I208" s="51" t="str">
        <f>'1) Tableau budgétaire 1'!I14</f>
        <v>FAO NIGER</v>
      </c>
      <c r="J208" s="810"/>
      <c r="L208" s="713" t="str">
        <f>'1) Tableau budgétaire 1'!L14</f>
        <v>OIM BURKINA FASO</v>
      </c>
      <c r="M208" s="605" t="str">
        <f>'1) Tableau budgétaire 1'!M14</f>
        <v>OIM NIGER</v>
      </c>
      <c r="N208" s="605" t="str">
        <f>'1) Tableau budgétaire 1'!N14</f>
        <v>OIM MALI</v>
      </c>
      <c r="O208" s="605" t="str">
        <f>'1) Tableau budgétaire 1'!O14</f>
        <v>FAO BURKINA FASO</v>
      </c>
      <c r="P208" s="605" t="str">
        <f>'1) Tableau budgétaire 1'!P14</f>
        <v>FAO MALI</v>
      </c>
      <c r="Q208" s="605" t="s">
        <v>660</v>
      </c>
      <c r="R208" s="827"/>
    </row>
    <row r="209" spans="3:18" ht="19.5" customHeight="1" x14ac:dyDescent="0.35">
      <c r="C209" s="133" t="s">
        <v>540</v>
      </c>
      <c r="D209" s="70">
        <f>SUM(D186,D175,D164,D153,D141,D130,D119,D108,D96,D85,D74,D63,D51,D40,D29,D18,D197)</f>
        <v>180000</v>
      </c>
      <c r="E209" s="70">
        <f t="shared" ref="D209:I215" si="73">SUM(E186,E175,E164,E153,E141,E130,E119,E108,E96,E85,E74,E63,E51,E40,E29,E18,E197)</f>
        <v>50000</v>
      </c>
      <c r="F209" s="70">
        <f t="shared" si="73"/>
        <v>50000</v>
      </c>
      <c r="G209" s="555">
        <f t="shared" si="73"/>
        <v>188910.43502824858</v>
      </c>
      <c r="H209" s="70">
        <f t="shared" si="73"/>
        <v>50000</v>
      </c>
      <c r="I209" s="70">
        <f t="shared" si="73"/>
        <v>45715.072500000002</v>
      </c>
      <c r="J209" s="68">
        <f>SUM(D209:I209)</f>
        <v>564625.50752824859</v>
      </c>
      <c r="L209" s="606">
        <f t="shared" ref="L209:Q215" si="74">SUM(L186,L175,L164,L153,L141,L130,L119,L108,L96,L85,L74,L63,L51,L40,L29,L18,L197)</f>
        <v>336448.5981308411</v>
      </c>
      <c r="M209" s="606">
        <f>SUM(M186,M175,M164,M153,M141,M130,M119,M108,M96,M85,M74,M63,M51,M40,M29,M18,M197)</f>
        <v>100000</v>
      </c>
      <c r="N209" s="606">
        <f t="shared" si="74"/>
        <v>100000</v>
      </c>
      <c r="O209" s="607">
        <f t="shared" si="74"/>
        <v>368080.43502824899</v>
      </c>
      <c r="P209" s="607">
        <f t="shared" si="74"/>
        <v>109407</v>
      </c>
      <c r="Q209" s="607">
        <f t="shared" si="74"/>
        <v>111907.0025</v>
      </c>
      <c r="R209" s="608">
        <f t="shared" ref="R209:R217" si="75">SUM(L209:Q209)</f>
        <v>1125843.0356590899</v>
      </c>
    </row>
    <row r="210" spans="3:18" ht="34.5" customHeight="1" x14ac:dyDescent="0.35">
      <c r="C210" s="134" t="s">
        <v>541</v>
      </c>
      <c r="D210" s="70">
        <f>SUM(D187,D176,D165,D154,D142,D131,D120,D109,D97,D86,D75,D64,D52,D41,D30,D19,D198)</f>
        <v>89380</v>
      </c>
      <c r="E210" s="70">
        <f t="shared" si="73"/>
        <v>136995</v>
      </c>
      <c r="F210" s="70">
        <f t="shared" si="73"/>
        <v>136995</v>
      </c>
      <c r="G210" s="555">
        <f t="shared" si="73"/>
        <v>84999.64</v>
      </c>
      <c r="H210" s="70">
        <f t="shared" si="73"/>
        <v>44000</v>
      </c>
      <c r="I210" s="70">
        <f t="shared" si="73"/>
        <v>102412.09450436561</v>
      </c>
      <c r="J210" s="68">
        <f t="shared" ref="J210:J216" si="76">SUM(D210:I210)</f>
        <v>594781.7345043656</v>
      </c>
      <c r="L210" s="665">
        <f t="shared" si="74"/>
        <v>0</v>
      </c>
      <c r="M210" s="665">
        <f t="shared" si="74"/>
        <v>0</v>
      </c>
      <c r="N210" s="665">
        <f t="shared" si="74"/>
        <v>0</v>
      </c>
      <c r="O210" s="666">
        <f t="shared" si="74"/>
        <v>109689.64</v>
      </c>
      <c r="P210" s="666">
        <f t="shared" si="74"/>
        <v>110865.60000000001</v>
      </c>
      <c r="Q210" s="666">
        <f t="shared" si="74"/>
        <v>152412.09450436558</v>
      </c>
      <c r="R210" s="608">
        <f t="shared" si="75"/>
        <v>372967.33450436557</v>
      </c>
    </row>
    <row r="211" spans="3:18" ht="48" customHeight="1" x14ac:dyDescent="0.35">
      <c r="C211" s="134" t="s">
        <v>542</v>
      </c>
      <c r="D211" s="70">
        <f t="shared" si="73"/>
        <v>0</v>
      </c>
      <c r="E211" s="70">
        <f t="shared" si="73"/>
        <v>0</v>
      </c>
      <c r="F211" s="70">
        <f t="shared" si="73"/>
        <v>0</v>
      </c>
      <c r="G211" s="70">
        <f t="shared" si="73"/>
        <v>0</v>
      </c>
      <c r="H211" s="70">
        <f t="shared" si="73"/>
        <v>0</v>
      </c>
      <c r="I211" s="70">
        <f t="shared" si="73"/>
        <v>2044</v>
      </c>
      <c r="J211" s="68">
        <f t="shared" si="76"/>
        <v>2044</v>
      </c>
      <c r="L211" s="665">
        <f t="shared" si="74"/>
        <v>0</v>
      </c>
      <c r="M211" s="665">
        <f t="shared" si="74"/>
        <v>0</v>
      </c>
      <c r="N211" s="665">
        <f t="shared" si="74"/>
        <v>0</v>
      </c>
      <c r="O211" s="665">
        <f t="shared" si="74"/>
        <v>10044</v>
      </c>
      <c r="P211" s="665">
        <f t="shared" si="74"/>
        <v>0</v>
      </c>
      <c r="Q211" s="665">
        <f t="shared" si="74"/>
        <v>17044</v>
      </c>
      <c r="R211" s="608">
        <f t="shared" si="75"/>
        <v>27088</v>
      </c>
    </row>
    <row r="212" spans="3:18" ht="33" customHeight="1" x14ac:dyDescent="0.35">
      <c r="C212" s="135" t="s">
        <v>543</v>
      </c>
      <c r="D212" s="70">
        <f t="shared" si="73"/>
        <v>26000</v>
      </c>
      <c r="E212" s="70">
        <f t="shared" si="73"/>
        <v>33661.5</v>
      </c>
      <c r="F212" s="70">
        <f t="shared" si="73"/>
        <v>33661.5</v>
      </c>
      <c r="G212" s="555">
        <f t="shared" si="73"/>
        <v>230295.26400000002</v>
      </c>
      <c r="H212" s="70">
        <f t="shared" si="73"/>
        <v>217000</v>
      </c>
      <c r="I212" s="70">
        <f t="shared" si="73"/>
        <v>60000</v>
      </c>
      <c r="J212" s="68">
        <f t="shared" si="76"/>
        <v>600618.26399999997</v>
      </c>
      <c r="L212" s="665">
        <f t="shared" si="74"/>
        <v>350600.5</v>
      </c>
      <c r="M212" s="665">
        <f>SUM(M189,M178,M167,M156,M144,M133,M122,M111,M99,M88,M77,M66,M54,M43,M32,M21,M200)</f>
        <v>297656.5</v>
      </c>
      <c r="N212" s="665">
        <f t="shared" si="74"/>
        <v>297656.5</v>
      </c>
      <c r="O212" s="666">
        <f t="shared" si="74"/>
        <v>315015.26400000002</v>
      </c>
      <c r="P212" s="666">
        <f t="shared" si="74"/>
        <v>217000</v>
      </c>
      <c r="Q212" s="666">
        <f t="shared" si="74"/>
        <v>85000</v>
      </c>
      <c r="R212" s="608">
        <f t="shared" si="75"/>
        <v>1562928.764</v>
      </c>
    </row>
    <row r="213" spans="3:18" ht="21" customHeight="1" x14ac:dyDescent="0.35">
      <c r="C213" s="134" t="s">
        <v>544</v>
      </c>
      <c r="D213" s="70">
        <f t="shared" si="73"/>
        <v>33388.660000000003</v>
      </c>
      <c r="E213" s="70">
        <f t="shared" si="73"/>
        <v>32305.279999999999</v>
      </c>
      <c r="F213" s="70">
        <f t="shared" si="73"/>
        <v>32305.279999999999</v>
      </c>
      <c r="G213" s="70">
        <f t="shared" si="73"/>
        <v>40000</v>
      </c>
      <c r="H213" s="70">
        <f t="shared" si="73"/>
        <v>21893.747663551403</v>
      </c>
      <c r="I213" s="70">
        <f t="shared" si="73"/>
        <v>15000</v>
      </c>
      <c r="J213" s="68">
        <f t="shared" si="76"/>
        <v>174892.96766355139</v>
      </c>
      <c r="L213" s="665">
        <f t="shared" si="74"/>
        <v>85000</v>
      </c>
      <c r="M213" s="665">
        <f>SUM(M190,M179,M168,M157,M145,M134,M123,M112,M100,M89,M78,M67,M55,M44,M33,M22,M201)</f>
        <v>55500</v>
      </c>
      <c r="N213" s="665">
        <f t="shared" si="74"/>
        <v>55500</v>
      </c>
      <c r="O213" s="665">
        <f t="shared" si="74"/>
        <v>80088</v>
      </c>
      <c r="P213" s="665">
        <f t="shared" si="74"/>
        <v>36377</v>
      </c>
      <c r="Q213" s="665">
        <f t="shared" si="74"/>
        <v>65000</v>
      </c>
      <c r="R213" s="608">
        <f t="shared" si="75"/>
        <v>377465</v>
      </c>
    </row>
    <row r="214" spans="3:18" ht="39.75" customHeight="1" x14ac:dyDescent="0.35">
      <c r="C214" s="134" t="s">
        <v>545</v>
      </c>
      <c r="D214" s="70">
        <f t="shared" si="73"/>
        <v>267190</v>
      </c>
      <c r="E214" s="70">
        <f t="shared" si="73"/>
        <v>67415</v>
      </c>
      <c r="F214" s="70">
        <f t="shared" si="73"/>
        <v>67415</v>
      </c>
      <c r="G214" s="70">
        <f t="shared" si="73"/>
        <v>40000</v>
      </c>
      <c r="H214" s="70">
        <f t="shared" si="73"/>
        <v>37500</v>
      </c>
      <c r="I214" s="70">
        <f t="shared" si="73"/>
        <v>116541.24293785311</v>
      </c>
      <c r="J214" s="68">
        <f t="shared" si="76"/>
        <v>596061.24293785309</v>
      </c>
      <c r="L214" s="665">
        <f t="shared" si="74"/>
        <v>396619.12616822426</v>
      </c>
      <c r="M214" s="665">
        <f t="shared" si="74"/>
        <v>174262.05140186919</v>
      </c>
      <c r="N214" s="665">
        <f t="shared" si="74"/>
        <v>174262.05140186919</v>
      </c>
      <c r="O214" s="665">
        <f t="shared" si="74"/>
        <v>171600</v>
      </c>
      <c r="P214" s="665">
        <f t="shared" si="74"/>
        <v>260100</v>
      </c>
      <c r="Q214" s="665">
        <f t="shared" si="74"/>
        <v>231541.24293785309</v>
      </c>
      <c r="R214" s="608">
        <f>SUM(L214:Q214)</f>
        <v>1408384.4719098157</v>
      </c>
    </row>
    <row r="215" spans="3:18" ht="39.75" customHeight="1" x14ac:dyDescent="0.35">
      <c r="C215" s="134" t="s">
        <v>546</v>
      </c>
      <c r="D215" s="119">
        <f t="shared" si="73"/>
        <v>24789</v>
      </c>
      <c r="E215" s="119">
        <f t="shared" si="73"/>
        <v>23455</v>
      </c>
      <c r="F215" s="119">
        <f t="shared" si="73"/>
        <v>23455</v>
      </c>
      <c r="G215" s="559">
        <f t="shared" si="73"/>
        <v>70000.211838006231</v>
      </c>
      <c r="H215" s="119">
        <f t="shared" si="73"/>
        <v>50167</v>
      </c>
      <c r="I215" s="119">
        <f t="shared" si="73"/>
        <v>78848.333333333343</v>
      </c>
      <c r="J215" s="68">
        <f t="shared" si="76"/>
        <v>270714.54517133953</v>
      </c>
      <c r="L215" s="667">
        <f t="shared" si="74"/>
        <v>72827.102803738308</v>
      </c>
      <c r="M215" s="667">
        <f>SUM(M192,M181,M170,M159,M147,M136,M125,M114,M102,M91,M80,M69,M57,M46,M35,M24,M203)</f>
        <v>60245</v>
      </c>
      <c r="N215" s="667">
        <f t="shared" si="74"/>
        <v>60245</v>
      </c>
      <c r="O215" s="668">
        <f t="shared" si="74"/>
        <v>253893.8898380062</v>
      </c>
      <c r="P215" s="668">
        <f t="shared" si="74"/>
        <v>107372</v>
      </c>
      <c r="Q215" s="668">
        <f t="shared" si="74"/>
        <v>178217.15099688471</v>
      </c>
      <c r="R215" s="608">
        <f>SUM(L215:Q215)</f>
        <v>732800.14363862923</v>
      </c>
    </row>
    <row r="216" spans="3:18" ht="22.5" customHeight="1" x14ac:dyDescent="0.35">
      <c r="C216" s="107" t="s">
        <v>523</v>
      </c>
      <c r="D216" s="120">
        <f>SUM(D209:D215)</f>
        <v>620747.66</v>
      </c>
      <c r="E216" s="120">
        <f>SUM(E209:E215)</f>
        <v>343831.78</v>
      </c>
      <c r="F216" s="120">
        <f>SUM(F209:F215)</f>
        <v>343831.78</v>
      </c>
      <c r="G216" s="556">
        <f>SUM(G209:G215)</f>
        <v>654205.55086625484</v>
      </c>
      <c r="H216" s="120">
        <f t="shared" ref="H216:I216" si="77">SUM(H209:H215)</f>
        <v>420560.74766355142</v>
      </c>
      <c r="I216" s="120">
        <f t="shared" si="77"/>
        <v>420560.74327555206</v>
      </c>
      <c r="J216" s="68">
        <f t="shared" si="76"/>
        <v>2803738.2618053583</v>
      </c>
      <c r="L216" s="609">
        <f>SUM(L209:L215)</f>
        <v>1241495.3271028036</v>
      </c>
      <c r="M216" s="609">
        <f>SUM(M209:M215)</f>
        <v>687663.55140186916</v>
      </c>
      <c r="N216" s="609">
        <f>SUM(N209:N215)</f>
        <v>687663.55140186916</v>
      </c>
      <c r="O216" s="610">
        <f>SUM(O209:O215)</f>
        <v>1308411.2288662551</v>
      </c>
      <c r="P216" s="610">
        <f t="shared" ref="P216:Q216" si="78">SUM(P209:P215)</f>
        <v>841121.6</v>
      </c>
      <c r="Q216" s="610">
        <f t="shared" si="78"/>
        <v>841121.49093910342</v>
      </c>
      <c r="R216" s="608">
        <f>SUM(L216:Q216)</f>
        <v>5607476.7497119</v>
      </c>
    </row>
    <row r="217" spans="3:18" ht="26.25" customHeight="1" thickBot="1" x14ac:dyDescent="0.4">
      <c r="C217" s="107" t="s">
        <v>524</v>
      </c>
      <c r="D217" s="72">
        <f>D216*0.07</f>
        <v>43452.336200000005</v>
      </c>
      <c r="E217" s="72">
        <f t="shared" ref="E217:I217" si="79">E216*0.07</f>
        <v>24068.224600000005</v>
      </c>
      <c r="F217" s="72">
        <f t="shared" si="79"/>
        <v>24068.224600000005</v>
      </c>
      <c r="G217" s="557">
        <f t="shared" si="79"/>
        <v>45794.388560637846</v>
      </c>
      <c r="H217" s="72">
        <f t="shared" si="79"/>
        <v>29439.252336448601</v>
      </c>
      <c r="I217" s="72">
        <f t="shared" si="79"/>
        <v>29439.252029288647</v>
      </c>
      <c r="J217" s="68">
        <f>SUM(D217:I217)</f>
        <v>196261.67832637511</v>
      </c>
      <c r="L217" s="611">
        <f>L216*0.07</f>
        <v>86904.672897196258</v>
      </c>
      <c r="M217" s="611">
        <f t="shared" ref="M217:Q217" si="80">M216*0.07</f>
        <v>48136.448598130846</v>
      </c>
      <c r="N217" s="611">
        <f t="shared" si="80"/>
        <v>48136.448598130846</v>
      </c>
      <c r="O217" s="612">
        <f t="shared" si="80"/>
        <v>91588.786020637868</v>
      </c>
      <c r="P217" s="612">
        <f t="shared" si="80"/>
        <v>58878.512000000002</v>
      </c>
      <c r="Q217" s="612">
        <f t="shared" si="80"/>
        <v>58878.504365737244</v>
      </c>
      <c r="R217" s="608">
        <f t="shared" si="75"/>
        <v>392523.37247983302</v>
      </c>
    </row>
    <row r="218" spans="3:18" ht="23.25" customHeight="1" thickBot="1" x14ac:dyDescent="0.4">
      <c r="C218" s="121" t="s">
        <v>371</v>
      </c>
      <c r="D218" s="122">
        <f>SUM(D216:D217)</f>
        <v>664199.99620000005</v>
      </c>
      <c r="E218" s="122">
        <f t="shared" ref="E218:I218" si="81">SUM(E216:E217)</f>
        <v>367900.00460000004</v>
      </c>
      <c r="F218" s="122">
        <f t="shared" si="81"/>
        <v>367900.00460000004</v>
      </c>
      <c r="G218" s="558">
        <f>SUM(G216:G217)</f>
        <v>699999.93942689267</v>
      </c>
      <c r="H218" s="122">
        <f t="shared" si="81"/>
        <v>450000</v>
      </c>
      <c r="I218" s="122">
        <f t="shared" si="81"/>
        <v>449999.99530484073</v>
      </c>
      <c r="J218" s="563">
        <f>SUM(J216:J217)</f>
        <v>2999999.9401317337</v>
      </c>
      <c r="L218" s="613">
        <f>SUM(L216:L217)</f>
        <v>1328400</v>
      </c>
      <c r="M218" s="613">
        <f>SUM(M216:M217)</f>
        <v>735800</v>
      </c>
      <c r="N218" s="613">
        <f t="shared" ref="N218:O218" si="82">SUM(N216:N217)</f>
        <v>735800</v>
      </c>
      <c r="O218" s="614">
        <f t="shared" si="82"/>
        <v>1400000.0148868931</v>
      </c>
      <c r="P218" s="614">
        <f>SUM(P216:P217)</f>
        <v>900000.11199999996</v>
      </c>
      <c r="Q218" s="614">
        <f t="shared" ref="Q218" si="83">SUM(Q216:Q217)</f>
        <v>899999.99530484062</v>
      </c>
      <c r="R218" s="614">
        <f>SUM(R216:R217)</f>
        <v>6000000.1221917327</v>
      </c>
    </row>
    <row r="219" spans="3:18" ht="15.75" customHeight="1" x14ac:dyDescent="0.35">
      <c r="O219" s="54"/>
    </row>
    <row r="220" spans="3:18" ht="15.75" customHeight="1" x14ac:dyDescent="0.35">
      <c r="M220" s="712">
        <f>M218-'1) Tableau budgétaire 1'!M202</f>
        <v>0</v>
      </c>
      <c r="N220" s="712">
        <f>N218-'1) Tableau budgétaire 1'!N202</f>
        <v>0</v>
      </c>
      <c r="O220" s="54"/>
    </row>
    <row r="221" spans="3:18" ht="15.75" customHeight="1" x14ac:dyDescent="0.35">
      <c r="M221" s="712">
        <f>M220/1.07</f>
        <v>0</v>
      </c>
    </row>
    <row r="222" spans="3:18" ht="40.5" customHeight="1" x14ac:dyDescent="0.35">
      <c r="O222" s="55"/>
    </row>
    <row r="223" spans="3:18" ht="24.75" customHeight="1" x14ac:dyDescent="0.35">
      <c r="O223" s="55"/>
    </row>
    <row r="224" spans="3:18" ht="41.25" customHeight="1" x14ac:dyDescent="0.35">
      <c r="O224" s="55"/>
    </row>
    <row r="225" spans="3:17" ht="51.75" customHeight="1" x14ac:dyDescent="0.35">
      <c r="O225" s="55"/>
    </row>
    <row r="226" spans="3:17" ht="42" customHeight="1" x14ac:dyDescent="0.35">
      <c r="O226" s="55"/>
    </row>
    <row r="227" spans="3:17" s="52" customFormat="1" ht="42" customHeight="1" x14ac:dyDescent="0.35">
      <c r="C227" s="50"/>
      <c r="J227" s="50"/>
      <c r="K227" s="50"/>
      <c r="M227" s="50"/>
      <c r="N227" s="50"/>
      <c r="O227" s="55"/>
      <c r="P227" s="50"/>
      <c r="Q227" s="624"/>
    </row>
    <row r="228" spans="3:17" s="52" customFormat="1" ht="42" customHeight="1" x14ac:dyDescent="0.35">
      <c r="C228" s="50"/>
      <c r="J228" s="50"/>
      <c r="K228" s="50"/>
      <c r="M228" s="50"/>
      <c r="N228" s="50"/>
      <c r="O228" s="50"/>
      <c r="P228" s="50"/>
      <c r="Q228" s="624"/>
    </row>
    <row r="229" spans="3:17" s="52" customFormat="1" ht="63.75" customHeight="1" x14ac:dyDescent="0.35">
      <c r="C229" s="50"/>
      <c r="J229" s="50"/>
      <c r="K229" s="50"/>
      <c r="M229" s="50"/>
      <c r="N229" s="50"/>
      <c r="O229" s="50"/>
      <c r="P229" s="50"/>
      <c r="Q229" s="624"/>
    </row>
    <row r="230" spans="3:17" s="52" customFormat="1" ht="42" customHeight="1" x14ac:dyDescent="0.35">
      <c r="C230" s="50"/>
      <c r="J230" s="50"/>
      <c r="K230" s="50"/>
      <c r="M230" s="50"/>
      <c r="N230" s="50"/>
      <c r="O230" s="50"/>
      <c r="P230" s="54"/>
      <c r="Q230" s="624"/>
    </row>
    <row r="231" spans="3:17" ht="23.25" customHeight="1" x14ac:dyDescent="0.35"/>
    <row r="232" spans="3:17" ht="27.75" customHeight="1" x14ac:dyDescent="0.35"/>
    <row r="233" spans="3:17" ht="55.5" customHeight="1" x14ac:dyDescent="0.35"/>
    <row r="234" spans="3:17" ht="57.75" customHeight="1" x14ac:dyDescent="0.35"/>
    <row r="235" spans="3:17" ht="21.75" customHeight="1" x14ac:dyDescent="0.35"/>
    <row r="236" spans="3:17" ht="49.5" customHeight="1" x14ac:dyDescent="0.35"/>
    <row r="237" spans="3:17" ht="28.5" customHeight="1" x14ac:dyDescent="0.35"/>
    <row r="238" spans="3:17" ht="28.5" customHeight="1" x14ac:dyDescent="0.35"/>
    <row r="239" spans="3:17" ht="28.5" customHeight="1" x14ac:dyDescent="0.35"/>
    <row r="240" spans="3:17" ht="23.25" customHeight="1" x14ac:dyDescent="0.35">
      <c r="Q240" s="625"/>
    </row>
    <row r="241" spans="17:17" ht="43.5" customHeight="1" x14ac:dyDescent="0.35">
      <c r="Q241" s="625"/>
    </row>
    <row r="242" spans="17:17" ht="55.5" customHeight="1" x14ac:dyDescent="0.35"/>
    <row r="243" spans="17:17" ht="42.75" customHeight="1" x14ac:dyDescent="0.35">
      <c r="Q243" s="625"/>
    </row>
    <row r="244" spans="17:17" ht="21.75" customHeight="1" x14ac:dyDescent="0.35">
      <c r="Q244" s="625"/>
    </row>
    <row r="245" spans="17:17" ht="21.75" customHeight="1" x14ac:dyDescent="0.35">
      <c r="Q245" s="625"/>
    </row>
    <row r="246" spans="17:17" ht="23.25" customHeight="1" x14ac:dyDescent="0.35"/>
    <row r="247" spans="17:17" ht="23.25" customHeight="1" x14ac:dyDescent="0.35"/>
    <row r="248" spans="17:17" ht="21.75" customHeight="1" x14ac:dyDescent="0.35"/>
    <row r="249" spans="17:17" ht="16.5" customHeight="1" x14ac:dyDescent="0.35"/>
    <row r="250" spans="17:17" ht="29.25" customHeight="1" x14ac:dyDescent="0.35"/>
    <row r="251" spans="17:17" ht="24.75" customHeight="1" x14ac:dyDescent="0.35"/>
    <row r="252" spans="17:17" ht="33" customHeight="1" x14ac:dyDescent="0.35"/>
    <row r="254" spans="17:17" ht="15" customHeight="1" x14ac:dyDescent="0.35"/>
    <row r="255" spans="17:17" ht="25.5" customHeight="1" x14ac:dyDescent="0.35"/>
  </sheetData>
  <sheetProtection insertColumns="0" insertRows="0" deleteRows="0"/>
  <mergeCells count="55">
    <mergeCell ref="R207:R208"/>
    <mergeCell ref="D12:J12"/>
    <mergeCell ref="L12:R12"/>
    <mergeCell ref="L139:R139"/>
    <mergeCell ref="L150:R150"/>
    <mergeCell ref="L151:R151"/>
    <mergeCell ref="L162:R162"/>
    <mergeCell ref="L173:R173"/>
    <mergeCell ref="L94:R94"/>
    <mergeCell ref="L105:R105"/>
    <mergeCell ref="L106:R106"/>
    <mergeCell ref="L117:R117"/>
    <mergeCell ref="L128:R128"/>
    <mergeCell ref="L72:R72"/>
    <mergeCell ref="L83:R83"/>
    <mergeCell ref="L184:R184"/>
    <mergeCell ref="L195:R195"/>
    <mergeCell ref="L206:R206"/>
    <mergeCell ref="L27:R27"/>
    <mergeCell ref="L38:R38"/>
    <mergeCell ref="L49:R49"/>
    <mergeCell ref="L60:R60"/>
    <mergeCell ref="L61:R61"/>
    <mergeCell ref="C195:J195"/>
    <mergeCell ref="J207:J208"/>
    <mergeCell ref="C173:J173"/>
    <mergeCell ref="C184:J184"/>
    <mergeCell ref="C6:J8"/>
    <mergeCell ref="C162:J162"/>
    <mergeCell ref="C61:J61"/>
    <mergeCell ref="C106:J106"/>
    <mergeCell ref="C117:J117"/>
    <mergeCell ref="C128:J128"/>
    <mergeCell ref="C206:J206"/>
    <mergeCell ref="C139:J139"/>
    <mergeCell ref="B150:J150"/>
    <mergeCell ref="C151:J151"/>
    <mergeCell ref="C72:J72"/>
    <mergeCell ref="C83:J83"/>
    <mergeCell ref="S13:S14"/>
    <mergeCell ref="C94:J94"/>
    <mergeCell ref="B105:J105"/>
    <mergeCell ref="C2:F2"/>
    <mergeCell ref="C10:F10"/>
    <mergeCell ref="B15:J15"/>
    <mergeCell ref="C16:J16"/>
    <mergeCell ref="B60:J60"/>
    <mergeCell ref="J13:J14"/>
    <mergeCell ref="C5:J5"/>
    <mergeCell ref="C27:J27"/>
    <mergeCell ref="C38:J38"/>
    <mergeCell ref="C49:J49"/>
    <mergeCell ref="R13:R14"/>
    <mergeCell ref="L15:R15"/>
    <mergeCell ref="L16:R16"/>
  </mergeCells>
  <conditionalFormatting sqref="J25">
    <cfRule type="cellIs" dxfId="28" priority="33" operator="notEqual">
      <formula>$J$17</formula>
    </cfRule>
  </conditionalFormatting>
  <conditionalFormatting sqref="J36">
    <cfRule type="cellIs" dxfId="27" priority="32" operator="notEqual">
      <formula>$J$28</formula>
    </cfRule>
  </conditionalFormatting>
  <conditionalFormatting sqref="J47">
    <cfRule type="cellIs" dxfId="26" priority="31" operator="notEqual">
      <formula>$J$39</formula>
    </cfRule>
  </conditionalFormatting>
  <conditionalFormatting sqref="J70">
    <cfRule type="cellIs" dxfId="25" priority="29" operator="notEqual">
      <formula>$J$62</formula>
    </cfRule>
  </conditionalFormatting>
  <conditionalFormatting sqref="J81">
    <cfRule type="cellIs" dxfId="24" priority="28" operator="notEqual">
      <formula>$J$73</formula>
    </cfRule>
  </conditionalFormatting>
  <conditionalFormatting sqref="J92">
    <cfRule type="cellIs" dxfId="23" priority="27" operator="notEqual">
      <formula>$J$84</formula>
    </cfRule>
  </conditionalFormatting>
  <conditionalFormatting sqref="J103">
    <cfRule type="cellIs" dxfId="22" priority="26" operator="notEqual">
      <formula>$J$95</formula>
    </cfRule>
  </conditionalFormatting>
  <conditionalFormatting sqref="J115">
    <cfRule type="cellIs" dxfId="21" priority="25" operator="notEqual">
      <formula>$J$107</formula>
    </cfRule>
  </conditionalFormatting>
  <conditionalFormatting sqref="J126">
    <cfRule type="cellIs" dxfId="20" priority="24" operator="notEqual">
      <formula>$J$118</formula>
    </cfRule>
  </conditionalFormatting>
  <conditionalFormatting sqref="J137">
    <cfRule type="cellIs" dxfId="19" priority="23" operator="notEqual">
      <formula>$J$129</formula>
    </cfRule>
  </conditionalFormatting>
  <conditionalFormatting sqref="J148">
    <cfRule type="cellIs" dxfId="18" priority="22" operator="notEqual">
      <formula>$J$140</formula>
    </cfRule>
  </conditionalFormatting>
  <conditionalFormatting sqref="J204">
    <cfRule type="cellIs" dxfId="17" priority="17" operator="notEqual">
      <formula>$J$196</formula>
    </cfRule>
  </conditionalFormatting>
  <conditionalFormatting sqref="R25">
    <cfRule type="cellIs" dxfId="16" priority="15" operator="notEqual">
      <formula>$R$17</formula>
    </cfRule>
  </conditionalFormatting>
  <conditionalFormatting sqref="R36">
    <cfRule type="cellIs" dxfId="15" priority="14" operator="notEqual">
      <formula>$R$28</formula>
    </cfRule>
  </conditionalFormatting>
  <conditionalFormatting sqref="R47">
    <cfRule type="cellIs" dxfId="14" priority="13" operator="notEqual">
      <formula>$J$39</formula>
    </cfRule>
  </conditionalFormatting>
  <conditionalFormatting sqref="R70">
    <cfRule type="cellIs" dxfId="13" priority="12" operator="notEqual">
      <formula>$R$62</formula>
    </cfRule>
  </conditionalFormatting>
  <conditionalFormatting sqref="R81">
    <cfRule type="cellIs" dxfId="12" priority="11" operator="notEqual">
      <formula>$R$73</formula>
    </cfRule>
  </conditionalFormatting>
  <conditionalFormatting sqref="R92">
    <cfRule type="cellIs" dxfId="11" priority="10" operator="notEqual">
      <formula>$R$84</formula>
    </cfRule>
  </conditionalFormatting>
  <conditionalFormatting sqref="R103">
    <cfRule type="cellIs" dxfId="10" priority="9" operator="notEqual">
      <formula>$R$95</formula>
    </cfRule>
  </conditionalFormatting>
  <conditionalFormatting sqref="R115">
    <cfRule type="cellIs" dxfId="9" priority="8" operator="notEqual">
      <formula>$R$107</formula>
    </cfRule>
  </conditionalFormatting>
  <conditionalFormatting sqref="R137">
    <cfRule type="cellIs" dxfId="8" priority="6" operator="notEqual">
      <formula>$R$129</formula>
    </cfRule>
  </conditionalFormatting>
  <conditionalFormatting sqref="R148">
    <cfRule type="cellIs" dxfId="7" priority="5" operator="notEqual">
      <formula>$R$140</formula>
    </cfRule>
  </conditionalFormatting>
  <conditionalFormatting sqref="R204">
    <cfRule type="cellIs" dxfId="6" priority="4" operator="notEqual">
      <formula>$R$196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dataValidation allowBlank="1" showInputMessage="1" showErrorMessage="1" prompt="Services contracted by an organization which follow the normal procurement processes." sqref="C189 C21 C32 C43 C54 C66 C77 C88 C99 C111 C122 C133 C144 C156 C167 C178 C200 C212"/>
    <dataValidation allowBlank="1" showInputMessage="1" showErrorMessage="1" prompt="Includes staff and non-staff travel paid for by the organization directly related to a project." sqref="C190 C22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dataValidation allowBlank="1" showInputMessage="1" showErrorMessage="1" prompt="Includes all related staff and temporary staff costs including base salary, post adjustment and all staff entitlements." sqref="C186 C18 C29 C40 C51 C63 C74 C85 C96 C108 C119 C130 C141 C153 C164 C175 C197 C209"/>
    <dataValidation allowBlank="1" showInputMessage="1" showErrorMessage="1" prompt="Output totals must match the original total from Table 1, and will show as red if not. " sqref="R25 J25"/>
  </dataValidations>
  <pageMargins left="0.7" right="0.7" top="0.75" bottom="0.75" header="0.3" footer="0.3"/>
  <pageSetup scale="74" orientation="landscape"/>
  <rowBreaks count="1" manualBreakCount="1">
    <brk id="71" max="16383" man="1"/>
  </rowBreaks>
  <extLst>
    <ext xmlns:x14="http://schemas.microsoft.com/office/spreadsheetml/2009/9/main" uri="{78C0D931-6437-407d-A8EE-F0AAD7539E65}">
      <x14:conditionalFormattings>
        <x14:conditionalFormatting xmlns:xm="http://schemas.microsoft.com/office/excel/2006/main">
          <x14:cfRule type="cellIs" priority="16" operator="notEqual" id="{9BB3355D-65E3-41AD-A658-41150B167F0C}">
            <xm:f>'1) Tableau budgétaire 1'!$J$202</xm:f>
            <x14:dxf>
              <font>
                <color rgb="FF9C0006"/>
              </font>
              <fill>
                <patternFill>
                  <bgColor rgb="FFFFC7CE"/>
                </patternFill>
              </fill>
            </x14:dxf>
          </x14:cfRule>
          <xm:sqref>J218</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4"/>
  <sheetViews>
    <sheetView showGridLines="0" topLeftCell="A7" workbookViewId="0">
      <selection activeCell="B3" sqref="B3"/>
    </sheetView>
  </sheetViews>
  <sheetFormatPr defaultColWidth="8.81640625" defaultRowHeight="14.5" x14ac:dyDescent="0.35"/>
  <cols>
    <col min="2" max="2" width="73.453125" customWidth="1"/>
  </cols>
  <sheetData>
    <row r="1" spans="2:2" ht="15" thickBot="1" x14ac:dyDescent="0.4"/>
    <row r="2" spans="2:2" ht="15" thickBot="1" x14ac:dyDescent="0.4">
      <c r="B2" s="140" t="s">
        <v>571</v>
      </c>
    </row>
    <row r="3" spans="2:2" ht="70.5" customHeight="1" x14ac:dyDescent="0.35">
      <c r="B3" s="141" t="s">
        <v>580</v>
      </c>
    </row>
    <row r="4" spans="2:2" ht="58" x14ac:dyDescent="0.35">
      <c r="B4" s="138" t="s">
        <v>572</v>
      </c>
    </row>
    <row r="5" spans="2:2" x14ac:dyDescent="0.35">
      <c r="B5" s="138"/>
    </row>
    <row r="6" spans="2:2" ht="58" x14ac:dyDescent="0.35">
      <c r="B6" s="137" t="s">
        <v>573</v>
      </c>
    </row>
    <row r="7" spans="2:2" x14ac:dyDescent="0.35">
      <c r="B7" s="138"/>
    </row>
    <row r="8" spans="2:2" ht="72.5" x14ac:dyDescent="0.35">
      <c r="B8" s="137" t="s">
        <v>581</v>
      </c>
    </row>
    <row r="9" spans="2:2" x14ac:dyDescent="0.35">
      <c r="B9" s="138"/>
    </row>
    <row r="10" spans="2:2" ht="29" x14ac:dyDescent="0.35">
      <c r="B10" s="138" t="s">
        <v>574</v>
      </c>
    </row>
    <row r="11" spans="2:2" x14ac:dyDescent="0.35">
      <c r="B11" s="138"/>
    </row>
    <row r="12" spans="2:2" ht="72.5" x14ac:dyDescent="0.35">
      <c r="B12" s="137" t="s">
        <v>582</v>
      </c>
    </row>
    <row r="13" spans="2:2" x14ac:dyDescent="0.35">
      <c r="B13" s="138"/>
    </row>
    <row r="14" spans="2:2" ht="58.5" thickBot="1" x14ac:dyDescent="0.4">
      <c r="B14" s="139" t="s">
        <v>575</v>
      </c>
    </row>
  </sheetData>
  <sheetProtection sheet="1" objects="1" scenarios="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zoomScalePageLayoutView="8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845" t="s">
        <v>372</v>
      </c>
      <c r="C2" s="846"/>
      <c r="D2" s="847"/>
    </row>
    <row r="3" spans="2:4" ht="15" thickBot="1" x14ac:dyDescent="0.4">
      <c r="B3" s="848"/>
      <c r="C3" s="849"/>
      <c r="D3" s="850"/>
    </row>
    <row r="4" spans="2:4" ht="15" thickBot="1" x14ac:dyDescent="0.4"/>
    <row r="5" spans="2:4" x14ac:dyDescent="0.35">
      <c r="B5" s="836" t="s">
        <v>22</v>
      </c>
      <c r="C5" s="837"/>
      <c r="D5" s="838"/>
    </row>
    <row r="6" spans="2:4" ht="15" thickBot="1" x14ac:dyDescent="0.4">
      <c r="B6" s="839"/>
      <c r="C6" s="840"/>
      <c r="D6" s="841"/>
    </row>
    <row r="7" spans="2:4" x14ac:dyDescent="0.35">
      <c r="B7" s="79" t="s">
        <v>23</v>
      </c>
      <c r="C7" s="834">
        <f>SUM('1) Tableau budgétaire 1'!D25:F25,'1) Tableau budgétaire 1'!D35:F35,'1) Tableau budgétaire 1'!D45:F45,'1) Tableau budgétaire 1'!D55:F55)</f>
        <v>563713</v>
      </c>
      <c r="D7" s="835"/>
    </row>
    <row r="8" spans="2:4" x14ac:dyDescent="0.35">
      <c r="B8" s="79" t="s">
        <v>370</v>
      </c>
      <c r="C8" s="832">
        <f>SUM(D10:D14)</f>
        <v>0</v>
      </c>
      <c r="D8" s="833"/>
    </row>
    <row r="9" spans="2:4" x14ac:dyDescent="0.35">
      <c r="B9" s="80" t="s">
        <v>364</v>
      </c>
      <c r="C9" s="81" t="s">
        <v>365</v>
      </c>
      <c r="D9" s="82" t="s">
        <v>366</v>
      </c>
    </row>
    <row r="10" spans="2:4" ht="35.25" customHeight="1" x14ac:dyDescent="0.35">
      <c r="B10" s="100"/>
      <c r="C10" s="84"/>
      <c r="D10" s="85">
        <f>$C$7*C10</f>
        <v>0</v>
      </c>
    </row>
    <row r="11" spans="2:4" ht="35.25" customHeight="1" x14ac:dyDescent="0.35">
      <c r="B11" s="100"/>
      <c r="C11" s="84"/>
      <c r="D11" s="85">
        <f>C7*C11</f>
        <v>0</v>
      </c>
    </row>
    <row r="12" spans="2:4" ht="35.25" customHeight="1" x14ac:dyDescent="0.35">
      <c r="B12" s="101"/>
      <c r="C12" s="84"/>
      <c r="D12" s="85">
        <f>C7*C12</f>
        <v>0</v>
      </c>
    </row>
    <row r="13" spans="2:4" ht="35.25" customHeight="1" x14ac:dyDescent="0.35">
      <c r="B13" s="101"/>
      <c r="C13" s="84"/>
      <c r="D13" s="85">
        <f>C7*C13</f>
        <v>0</v>
      </c>
    </row>
    <row r="14" spans="2:4" ht="35.25" customHeight="1" thickBot="1" x14ac:dyDescent="0.4">
      <c r="B14" s="102"/>
      <c r="C14" s="84"/>
      <c r="D14" s="89">
        <f>C7*C14</f>
        <v>0</v>
      </c>
    </row>
    <row r="15" spans="2:4" ht="15" thickBot="1" x14ac:dyDescent="0.4"/>
    <row r="16" spans="2:4" x14ac:dyDescent="0.35">
      <c r="B16" s="836" t="s">
        <v>367</v>
      </c>
      <c r="C16" s="837"/>
      <c r="D16" s="838"/>
    </row>
    <row r="17" spans="2:4" ht="15" thickBot="1" x14ac:dyDescent="0.4">
      <c r="B17" s="842"/>
      <c r="C17" s="843"/>
      <c r="D17" s="844"/>
    </row>
    <row r="18" spans="2:4" x14ac:dyDescent="0.35">
      <c r="B18" s="79" t="s">
        <v>23</v>
      </c>
      <c r="C18" s="834">
        <f>SUM('1) Tableau budgétaire 1'!D69:F69,'1) Tableau budgétaire 1'!D79:F79,'1) Tableau budgétaire 1'!D84:F84,'1) Tableau budgétaire 1'!D94:F94)</f>
        <v>295000</v>
      </c>
      <c r="D18" s="835"/>
    </row>
    <row r="19" spans="2:4" x14ac:dyDescent="0.35">
      <c r="B19" s="79" t="s">
        <v>370</v>
      </c>
      <c r="C19" s="832">
        <f>SUM(D21:D25)</f>
        <v>0</v>
      </c>
      <c r="D19" s="833"/>
    </row>
    <row r="20" spans="2:4" x14ac:dyDescent="0.35">
      <c r="B20" s="80" t="s">
        <v>364</v>
      </c>
      <c r="C20" s="81" t="s">
        <v>365</v>
      </c>
      <c r="D20" s="82" t="s">
        <v>366</v>
      </c>
    </row>
    <row r="21" spans="2:4" ht="35.25" customHeight="1" x14ac:dyDescent="0.35">
      <c r="B21" s="83"/>
      <c r="C21" s="84"/>
      <c r="D21" s="85">
        <f>$C$18*C21</f>
        <v>0</v>
      </c>
    </row>
    <row r="22" spans="2:4" ht="35.25" customHeight="1" x14ac:dyDescent="0.35">
      <c r="B22" s="86"/>
      <c r="C22" s="84"/>
      <c r="D22" s="85">
        <f>$C$18*C22</f>
        <v>0</v>
      </c>
    </row>
    <row r="23" spans="2:4" ht="35.25" customHeight="1" x14ac:dyDescent="0.35">
      <c r="B23" s="87"/>
      <c r="C23" s="84"/>
      <c r="D23" s="85">
        <f>$C$18*C23</f>
        <v>0</v>
      </c>
    </row>
    <row r="24" spans="2:4" ht="35.25" customHeight="1" x14ac:dyDescent="0.35">
      <c r="B24" s="87"/>
      <c r="C24" s="84"/>
      <c r="D24" s="85">
        <f>$C$18*C24</f>
        <v>0</v>
      </c>
    </row>
    <row r="25" spans="2:4" ht="35.25" customHeight="1" thickBot="1" x14ac:dyDescent="0.4">
      <c r="B25" s="88"/>
      <c r="C25" s="84"/>
      <c r="D25" s="85">
        <f>$C$18*C25</f>
        <v>0</v>
      </c>
    </row>
    <row r="26" spans="2:4" ht="15" thickBot="1" x14ac:dyDescent="0.4"/>
    <row r="27" spans="2:4" x14ac:dyDescent="0.35">
      <c r="B27" s="836" t="s">
        <v>368</v>
      </c>
      <c r="C27" s="837"/>
      <c r="D27" s="838"/>
    </row>
    <row r="28" spans="2:4" ht="15" thickBot="1" x14ac:dyDescent="0.4">
      <c r="B28" s="839"/>
      <c r="C28" s="840"/>
      <c r="D28" s="841"/>
    </row>
    <row r="29" spans="2:4" x14ac:dyDescent="0.35">
      <c r="B29" s="79" t="s">
        <v>23</v>
      </c>
      <c r="C29" s="834">
        <f>SUM('1) Tableau budgétaire 1'!D111:F111,'1) Tableau budgétaire 1'!D123:F123,'1) Tableau budgétaire 1'!D133:F133,'1) Tableau budgétaire 1'!D143:F143)</f>
        <v>0</v>
      </c>
      <c r="D29" s="835"/>
    </row>
    <row r="30" spans="2:4" x14ac:dyDescent="0.35">
      <c r="B30" s="79" t="s">
        <v>370</v>
      </c>
      <c r="C30" s="832">
        <f>SUM(D32:D36)</f>
        <v>0</v>
      </c>
      <c r="D30" s="833"/>
    </row>
    <row r="31" spans="2:4" x14ac:dyDescent="0.35">
      <c r="B31" s="80" t="s">
        <v>364</v>
      </c>
      <c r="C31" s="81" t="s">
        <v>365</v>
      </c>
      <c r="D31" s="82" t="s">
        <v>366</v>
      </c>
    </row>
    <row r="32" spans="2:4" ht="35.25" customHeight="1" x14ac:dyDescent="0.35">
      <c r="B32" s="83"/>
      <c r="C32" s="84"/>
      <c r="D32" s="85">
        <f>$C$29*C32</f>
        <v>0</v>
      </c>
    </row>
    <row r="33" spans="2:4" ht="35.25" customHeight="1" x14ac:dyDescent="0.35">
      <c r="B33" s="86"/>
      <c r="C33" s="84"/>
      <c r="D33" s="85">
        <f>$C$29*C33</f>
        <v>0</v>
      </c>
    </row>
    <row r="34" spans="2:4" ht="35.25" customHeight="1" x14ac:dyDescent="0.35">
      <c r="B34" s="87"/>
      <c r="C34" s="84"/>
      <c r="D34" s="85">
        <f>$C$29*C34</f>
        <v>0</v>
      </c>
    </row>
    <row r="35" spans="2:4" ht="35.25" customHeight="1" x14ac:dyDescent="0.35">
      <c r="B35" s="87"/>
      <c r="C35" s="84"/>
      <c r="D35" s="85">
        <f>$C$29*C35</f>
        <v>0</v>
      </c>
    </row>
    <row r="36" spans="2:4" ht="35.25" customHeight="1" thickBot="1" x14ac:dyDescent="0.4">
      <c r="B36" s="88"/>
      <c r="C36" s="84"/>
      <c r="D36" s="85">
        <f>$C$29*C36</f>
        <v>0</v>
      </c>
    </row>
    <row r="37" spans="2:4" ht="15" thickBot="1" x14ac:dyDescent="0.4"/>
    <row r="38" spans="2:4" x14ac:dyDescent="0.35">
      <c r="B38" s="836" t="s">
        <v>369</v>
      </c>
      <c r="C38" s="837"/>
      <c r="D38" s="838"/>
    </row>
    <row r="39" spans="2:4" ht="15" thickBot="1" x14ac:dyDescent="0.4">
      <c r="B39" s="839"/>
      <c r="C39" s="840"/>
      <c r="D39" s="841"/>
    </row>
    <row r="40" spans="2:4" x14ac:dyDescent="0.35">
      <c r="B40" s="79" t="s">
        <v>23</v>
      </c>
      <c r="C40" s="834">
        <f>SUM('1) Tableau budgétaire 1'!D150:F150,'1) Tableau budgétaire 1'!D160:F160,'1) Tableau budgétaire 1'!D170:F170,'1) Tableau budgétaire 1'!D180:F180)</f>
        <v>0</v>
      </c>
      <c r="D40" s="835"/>
    </row>
    <row r="41" spans="2:4" x14ac:dyDescent="0.35">
      <c r="B41" s="79" t="s">
        <v>370</v>
      </c>
      <c r="C41" s="832">
        <f>SUM(D43:D47)</f>
        <v>0</v>
      </c>
      <c r="D41" s="833"/>
    </row>
    <row r="42" spans="2:4" x14ac:dyDescent="0.35">
      <c r="B42" s="80" t="s">
        <v>364</v>
      </c>
      <c r="C42" s="81" t="s">
        <v>365</v>
      </c>
      <c r="D42" s="82" t="s">
        <v>366</v>
      </c>
    </row>
    <row r="43" spans="2:4" ht="35.25" customHeight="1" x14ac:dyDescent="0.35">
      <c r="B43" s="83"/>
      <c r="C43" s="84"/>
      <c r="D43" s="85">
        <f>$C$40*C43</f>
        <v>0</v>
      </c>
    </row>
    <row r="44" spans="2:4" ht="35.25" customHeight="1" x14ac:dyDescent="0.35">
      <c r="B44" s="86"/>
      <c r="C44" s="84"/>
      <c r="D44" s="85">
        <f>$C$40*C44</f>
        <v>0</v>
      </c>
    </row>
    <row r="45" spans="2:4" ht="35.25" customHeight="1" x14ac:dyDescent="0.35">
      <c r="B45" s="87"/>
      <c r="C45" s="84"/>
      <c r="D45" s="85">
        <f>$C$40*C45</f>
        <v>0</v>
      </c>
    </row>
    <row r="46" spans="2:4" ht="35.25" customHeight="1" x14ac:dyDescent="0.35">
      <c r="B46" s="87"/>
      <c r="C46" s="84"/>
      <c r="D46" s="85">
        <f>$C$40*C46</f>
        <v>0</v>
      </c>
    </row>
    <row r="47" spans="2:4" ht="35.25" customHeight="1" thickBot="1" x14ac:dyDescent="0.4">
      <c r="B47" s="88"/>
      <c r="C47" s="84"/>
      <c r="D47" s="8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V27"/>
  <sheetViews>
    <sheetView showGridLines="0" topLeftCell="B5" zoomScale="85" zoomScaleNormal="85" zoomScalePageLayoutView="85" workbookViewId="0">
      <pane xSplit="1" ySplit="3" topLeftCell="J8" activePane="bottomRight" state="frozen"/>
      <selection activeCell="B5" sqref="B5"/>
      <selection pane="topRight" activeCell="C5" sqref="C5"/>
      <selection pane="bottomLeft" activeCell="B8" sqref="B8"/>
      <selection pane="bottomRight" activeCell="A13" sqref="A13"/>
    </sheetView>
  </sheetViews>
  <sheetFormatPr defaultColWidth="8.81640625" defaultRowHeight="14.5" x14ac:dyDescent="0.35"/>
  <cols>
    <col min="1" max="1" width="12.453125" customWidth="1"/>
    <col min="2" max="2" width="22.81640625" customWidth="1"/>
    <col min="3" max="8" width="25.453125" customWidth="1"/>
    <col min="9" max="9" width="24.453125" customWidth="1"/>
    <col min="10" max="10" width="18.453125" customWidth="1"/>
    <col min="11" max="11" width="23.81640625" customWidth="1"/>
    <col min="12" max="18" width="25.453125" customWidth="1"/>
    <col min="22" max="22" width="13.54296875" customWidth="1"/>
  </cols>
  <sheetData>
    <row r="1" spans="2:22" ht="15" thickBot="1" x14ac:dyDescent="0.4"/>
    <row r="2" spans="2:22" s="73" customFormat="1" ht="15.5" x14ac:dyDescent="0.35">
      <c r="B2" s="858" t="s">
        <v>14</v>
      </c>
      <c r="C2" s="859"/>
      <c r="D2" s="859"/>
      <c r="E2" s="859"/>
      <c r="F2" s="859"/>
      <c r="G2" s="859"/>
      <c r="H2" s="859"/>
      <c r="I2" s="860"/>
      <c r="K2" s="864" t="s">
        <v>14</v>
      </c>
      <c r="L2" s="865"/>
      <c r="M2" s="865"/>
      <c r="N2" s="865"/>
      <c r="O2" s="865"/>
      <c r="P2" s="865"/>
      <c r="Q2" s="865"/>
      <c r="R2" s="866"/>
    </row>
    <row r="3" spans="2:22" s="73" customFormat="1" ht="16" thickBot="1" x14ac:dyDescent="0.4">
      <c r="B3" s="861"/>
      <c r="C3" s="862"/>
      <c r="D3" s="862"/>
      <c r="E3" s="862"/>
      <c r="F3" s="862"/>
      <c r="G3" s="862"/>
      <c r="H3" s="862"/>
      <c r="I3" s="863"/>
      <c r="K3" s="867"/>
      <c r="L3" s="868"/>
      <c r="M3" s="868"/>
      <c r="N3" s="868"/>
      <c r="O3" s="868"/>
      <c r="P3" s="868"/>
      <c r="Q3" s="868"/>
      <c r="R3" s="869"/>
    </row>
    <row r="4" spans="2:22" s="73" customFormat="1" ht="16" thickBot="1" x14ac:dyDescent="0.4"/>
    <row r="5" spans="2:22" s="73" customFormat="1" ht="25" thickBot="1" x14ac:dyDescent="0.75">
      <c r="B5" s="855" t="s">
        <v>952</v>
      </c>
      <c r="C5" s="856"/>
      <c r="D5" s="856"/>
      <c r="E5" s="856"/>
      <c r="F5" s="856"/>
      <c r="G5" s="856"/>
      <c r="H5" s="856"/>
      <c r="I5" s="857"/>
      <c r="K5" s="870" t="s">
        <v>888</v>
      </c>
      <c r="L5" s="871"/>
      <c r="M5" s="871"/>
      <c r="N5" s="871"/>
      <c r="O5" s="871"/>
      <c r="P5" s="871"/>
      <c r="Q5" s="871"/>
      <c r="R5" s="872"/>
    </row>
    <row r="6" spans="2:22" s="73" customFormat="1" ht="15.5" x14ac:dyDescent="0.35">
      <c r="B6" s="69"/>
      <c r="C6" s="56" t="s">
        <v>12</v>
      </c>
      <c r="D6" s="56" t="s">
        <v>15</v>
      </c>
      <c r="E6" s="56" t="s">
        <v>16</v>
      </c>
      <c r="F6" s="56" t="s">
        <v>625</v>
      </c>
      <c r="G6" s="56" t="s">
        <v>626</v>
      </c>
      <c r="H6" s="56" t="s">
        <v>627</v>
      </c>
      <c r="I6" s="809" t="s">
        <v>7</v>
      </c>
      <c r="K6" s="629"/>
      <c r="L6" s="630" t="s">
        <v>12</v>
      </c>
      <c r="M6" s="630" t="s">
        <v>15</v>
      </c>
      <c r="N6" s="630" t="s">
        <v>16</v>
      </c>
      <c r="O6" s="630" t="s">
        <v>625</v>
      </c>
      <c r="P6" s="630" t="s">
        <v>626</v>
      </c>
      <c r="Q6" s="630" t="s">
        <v>627</v>
      </c>
      <c r="R6" s="826" t="s">
        <v>7</v>
      </c>
    </row>
    <row r="7" spans="2:22" s="73" customFormat="1" ht="15.5" x14ac:dyDescent="0.35">
      <c r="B7" s="69"/>
      <c r="C7" s="51" t="str">
        <f>'1) Tableau budgétaire 1'!D14</f>
        <v>OIM BURKINA FASO</v>
      </c>
      <c r="D7" s="51" t="str">
        <f>'1) Tableau budgétaire 1'!E14</f>
        <v>OIM NIGER</v>
      </c>
      <c r="E7" s="51" t="str">
        <f>'1) Tableau budgétaire 1'!F14</f>
        <v>OIM MALI</v>
      </c>
      <c r="F7" s="51" t="str">
        <f>'1) Tableau budgétaire 1'!G14</f>
        <v>FAO BURKINA FASO</v>
      </c>
      <c r="G7" s="51" t="str">
        <f>'1) Tableau budgétaire 1'!H14</f>
        <v>FAO MALI</v>
      </c>
      <c r="H7" s="51" t="str">
        <f>'1) Tableau budgétaire 1'!I14</f>
        <v>FAO NIGER</v>
      </c>
      <c r="I7" s="810"/>
      <c r="K7" s="629"/>
      <c r="L7" s="605" t="s">
        <v>650</v>
      </c>
      <c r="M7" s="605" t="s">
        <v>651</v>
      </c>
      <c r="N7" s="605" t="s">
        <v>652</v>
      </c>
      <c r="O7" s="605" t="s">
        <v>658</v>
      </c>
      <c r="P7" s="605" t="s">
        <v>659</v>
      </c>
      <c r="Q7" s="605" t="s">
        <v>660</v>
      </c>
      <c r="R7" s="827"/>
    </row>
    <row r="8" spans="2:22" s="73" customFormat="1" ht="31" x14ac:dyDescent="0.35">
      <c r="B8" s="20" t="s">
        <v>0</v>
      </c>
      <c r="C8" s="70">
        <f>'2) Tableau budgétaire 2'!D209</f>
        <v>180000</v>
      </c>
      <c r="D8" s="70">
        <f>'2) Tableau budgétaire 2'!E209</f>
        <v>50000</v>
      </c>
      <c r="E8" s="70">
        <f>'2) Tableau budgétaire 2'!F209</f>
        <v>50000</v>
      </c>
      <c r="F8" s="555">
        <f>'2) Tableau budgétaire 2'!G209</f>
        <v>188910.43502824858</v>
      </c>
      <c r="G8" s="70">
        <f>'2) Tableau budgétaire 2'!H209</f>
        <v>50000</v>
      </c>
      <c r="H8" s="70">
        <f>'2) Tableau budgétaire 2'!I209</f>
        <v>45715.072500000002</v>
      </c>
      <c r="I8" s="564">
        <f>SUM(C8:H8)</f>
        <v>564625.50752824859</v>
      </c>
      <c r="K8" s="631" t="s">
        <v>0</v>
      </c>
      <c r="L8" s="607">
        <f>+'2) Tableau budgétaire 2'!L209</f>
        <v>336448.5981308411</v>
      </c>
      <c r="M8" s="607">
        <f>+'2) Tableau budgétaire 2'!M209</f>
        <v>100000</v>
      </c>
      <c r="N8" s="607">
        <f>+'2) Tableau budgétaire 2'!N209</f>
        <v>100000</v>
      </c>
      <c r="O8" s="607">
        <f>+'2) Tableau budgétaire 2'!O209</f>
        <v>368080.43502824899</v>
      </c>
      <c r="P8" s="607">
        <f>+'2) Tableau budgétaire 2'!P209</f>
        <v>109407</v>
      </c>
      <c r="Q8" s="607">
        <f>+'2) Tableau budgétaire 2'!Q209</f>
        <v>111907.0025</v>
      </c>
      <c r="R8" s="632">
        <f>SUM(L8:Q8)</f>
        <v>1125843.0356590899</v>
      </c>
      <c r="V8" s="711"/>
    </row>
    <row r="9" spans="2:22" s="73" customFormat="1" ht="46.5" x14ac:dyDescent="0.35">
      <c r="B9" s="20" t="s">
        <v>1</v>
      </c>
      <c r="C9" s="70">
        <f>'2) Tableau budgétaire 2'!D210</f>
        <v>89380</v>
      </c>
      <c r="D9" s="70">
        <f>'2) Tableau budgétaire 2'!E210</f>
        <v>136995</v>
      </c>
      <c r="E9" s="70">
        <f>'2) Tableau budgétaire 2'!F210</f>
        <v>136995</v>
      </c>
      <c r="F9" s="555">
        <f>'2) Tableau budgétaire 2'!G210</f>
        <v>84999.64</v>
      </c>
      <c r="G9" s="70">
        <f>'2) Tableau budgétaire 2'!H210</f>
        <v>44000</v>
      </c>
      <c r="H9" s="70">
        <f>'2) Tableau budgétaire 2'!I210</f>
        <v>102412.09450436561</v>
      </c>
      <c r="I9" s="564">
        <f t="shared" ref="I9:I15" si="0">SUM(C9:H9)</f>
        <v>594781.7345043656</v>
      </c>
      <c r="K9" s="631" t="s">
        <v>1</v>
      </c>
      <c r="L9" s="607">
        <f>+'2) Tableau budgétaire 2'!L210</f>
        <v>0</v>
      </c>
      <c r="M9" s="607">
        <f>+'2) Tableau budgétaire 2'!M210</f>
        <v>0</v>
      </c>
      <c r="N9" s="607">
        <f>+'2) Tableau budgétaire 2'!N210</f>
        <v>0</v>
      </c>
      <c r="O9" s="607">
        <f>+'2) Tableau budgétaire 2'!O210</f>
        <v>109689.64</v>
      </c>
      <c r="P9" s="607">
        <f>+'2) Tableau budgétaire 2'!P210</f>
        <v>110865.60000000001</v>
      </c>
      <c r="Q9" s="607">
        <f>+'2) Tableau budgétaire 2'!Q210</f>
        <v>152412.09450436558</v>
      </c>
      <c r="R9" s="632">
        <f t="shared" ref="R9:R17" si="1">SUM(L9:Q9)</f>
        <v>372967.33450436557</v>
      </c>
    </row>
    <row r="10" spans="2:22" s="73" customFormat="1" ht="46.5" x14ac:dyDescent="0.35">
      <c r="B10" s="20" t="s">
        <v>2</v>
      </c>
      <c r="C10" s="70">
        <f>'2) Tableau budgétaire 2'!D211</f>
        <v>0</v>
      </c>
      <c r="D10" s="70">
        <f>'2) Tableau budgétaire 2'!E211</f>
        <v>0</v>
      </c>
      <c r="E10" s="70">
        <f>'2) Tableau budgétaire 2'!F211</f>
        <v>0</v>
      </c>
      <c r="F10" s="70">
        <f>'2) Tableau budgétaire 2'!G211</f>
        <v>0</v>
      </c>
      <c r="G10" s="70">
        <f>'2) Tableau budgétaire 2'!H211</f>
        <v>0</v>
      </c>
      <c r="H10" s="70">
        <f>'2) Tableau budgétaire 2'!I211</f>
        <v>2044</v>
      </c>
      <c r="I10" s="564">
        <f t="shared" si="0"/>
        <v>2044</v>
      </c>
      <c r="K10" s="631" t="s">
        <v>2</v>
      </c>
      <c r="L10" s="607">
        <f>+'2) Tableau budgétaire 2'!L211</f>
        <v>0</v>
      </c>
      <c r="M10" s="607">
        <f>+'2) Tableau budgétaire 2'!M211</f>
        <v>0</v>
      </c>
      <c r="N10" s="607">
        <f>+'2) Tableau budgétaire 2'!N211</f>
        <v>0</v>
      </c>
      <c r="O10" s="607">
        <f>+'2) Tableau budgétaire 2'!O211</f>
        <v>10044</v>
      </c>
      <c r="P10" s="607">
        <f>+'2) Tableau budgétaire 2'!P211</f>
        <v>0</v>
      </c>
      <c r="Q10" s="607">
        <f>+'2) Tableau budgétaire 2'!Q211</f>
        <v>17044</v>
      </c>
      <c r="R10" s="632">
        <f t="shared" si="1"/>
        <v>27088</v>
      </c>
      <c r="V10" s="711"/>
    </row>
    <row r="11" spans="2:22" s="73" customFormat="1" ht="15.5" x14ac:dyDescent="0.35">
      <c r="B11" s="33" t="s">
        <v>3</v>
      </c>
      <c r="C11" s="70">
        <f>'2) Tableau budgétaire 2'!D212</f>
        <v>26000</v>
      </c>
      <c r="D11" s="70">
        <f>'2) Tableau budgétaire 2'!E212</f>
        <v>33661.5</v>
      </c>
      <c r="E11" s="70">
        <f>'2) Tableau budgétaire 2'!F212</f>
        <v>33661.5</v>
      </c>
      <c r="F11" s="555">
        <f>'2) Tableau budgétaire 2'!G212</f>
        <v>230295.26400000002</v>
      </c>
      <c r="G11" s="70">
        <f>'2) Tableau budgétaire 2'!H212</f>
        <v>217000</v>
      </c>
      <c r="H11" s="70">
        <f>'2) Tableau budgétaire 2'!I212</f>
        <v>60000</v>
      </c>
      <c r="I11" s="564">
        <f t="shared" si="0"/>
        <v>600618.26399999997</v>
      </c>
      <c r="K11" s="633" t="s">
        <v>3</v>
      </c>
      <c r="L11" s="607">
        <f>+'2) Tableau budgétaire 2'!L212</f>
        <v>350600.5</v>
      </c>
      <c r="M11" s="607">
        <f>+'2) Tableau budgétaire 2'!M212</f>
        <v>297656.5</v>
      </c>
      <c r="N11" s="607">
        <f>+'2) Tableau budgétaire 2'!N212</f>
        <v>297656.5</v>
      </c>
      <c r="O11" s="607">
        <f>+'2) Tableau budgétaire 2'!O212</f>
        <v>315015.26400000002</v>
      </c>
      <c r="P11" s="607">
        <f>+'2) Tableau budgétaire 2'!P212</f>
        <v>217000</v>
      </c>
      <c r="Q11" s="607">
        <f>+'2) Tableau budgétaire 2'!Q212</f>
        <v>85000</v>
      </c>
      <c r="R11" s="632">
        <f t="shared" si="1"/>
        <v>1562928.764</v>
      </c>
    </row>
    <row r="12" spans="2:22" s="73" customFormat="1" ht="15.5" x14ac:dyDescent="0.35">
      <c r="B12" s="20" t="s">
        <v>6</v>
      </c>
      <c r="C12" s="70">
        <f>'2) Tableau budgétaire 2'!D213</f>
        <v>33388.660000000003</v>
      </c>
      <c r="D12" s="70">
        <f>'2) Tableau budgétaire 2'!E213</f>
        <v>32305.279999999999</v>
      </c>
      <c r="E12" s="70">
        <f>'2) Tableau budgétaire 2'!F213</f>
        <v>32305.279999999999</v>
      </c>
      <c r="F12" s="70">
        <f>'2) Tableau budgétaire 2'!G213</f>
        <v>40000</v>
      </c>
      <c r="G12" s="70">
        <f>'2) Tableau budgétaire 2'!H213</f>
        <v>21893.747663551403</v>
      </c>
      <c r="H12" s="70">
        <f>'2) Tableau budgétaire 2'!I213</f>
        <v>15000</v>
      </c>
      <c r="I12" s="564">
        <f t="shared" si="0"/>
        <v>174892.96766355139</v>
      </c>
      <c r="K12" s="631" t="s">
        <v>6</v>
      </c>
      <c r="L12" s="607">
        <f>+'2) Tableau budgétaire 2'!L213</f>
        <v>85000</v>
      </c>
      <c r="M12" s="607">
        <f>+'2) Tableau budgétaire 2'!M213</f>
        <v>55500</v>
      </c>
      <c r="N12" s="607">
        <f>+'2) Tableau budgétaire 2'!N213</f>
        <v>55500</v>
      </c>
      <c r="O12" s="607">
        <f>+'2) Tableau budgétaire 2'!O213</f>
        <v>80088</v>
      </c>
      <c r="P12" s="607">
        <f>+'2) Tableau budgétaire 2'!P213</f>
        <v>36377</v>
      </c>
      <c r="Q12" s="607">
        <f>+'2) Tableau budgétaire 2'!Q213</f>
        <v>65000</v>
      </c>
      <c r="R12" s="632">
        <f t="shared" si="1"/>
        <v>377465</v>
      </c>
    </row>
    <row r="13" spans="2:22" s="73" customFormat="1" ht="31" x14ac:dyDescent="0.35">
      <c r="B13" s="20" t="s">
        <v>4</v>
      </c>
      <c r="C13" s="70">
        <f>'2) Tableau budgétaire 2'!D214</f>
        <v>267190</v>
      </c>
      <c r="D13" s="70">
        <f>'2) Tableau budgétaire 2'!E214</f>
        <v>67415</v>
      </c>
      <c r="E13" s="70">
        <f>'2) Tableau budgétaire 2'!F214</f>
        <v>67415</v>
      </c>
      <c r="F13" s="70">
        <f>'2) Tableau budgétaire 2'!G214</f>
        <v>40000</v>
      </c>
      <c r="G13" s="70">
        <f>'2) Tableau budgétaire 2'!H214</f>
        <v>37500</v>
      </c>
      <c r="H13" s="70">
        <f>'2) Tableau budgétaire 2'!I214</f>
        <v>116541.24293785311</v>
      </c>
      <c r="I13" s="564">
        <f t="shared" si="0"/>
        <v>596061.24293785309</v>
      </c>
      <c r="K13" s="631" t="s">
        <v>4</v>
      </c>
      <c r="L13" s="607">
        <f>+'2) Tableau budgétaire 2'!L214</f>
        <v>396619.12616822426</v>
      </c>
      <c r="M13" s="607">
        <f>+'2) Tableau budgétaire 2'!M214</f>
        <v>174262.05140186919</v>
      </c>
      <c r="N13" s="607">
        <f>+'2) Tableau budgétaire 2'!N214</f>
        <v>174262.05140186919</v>
      </c>
      <c r="O13" s="607">
        <f>+'2) Tableau budgétaire 2'!O214</f>
        <v>171600</v>
      </c>
      <c r="P13" s="607">
        <f>+'2) Tableau budgétaire 2'!P214</f>
        <v>260100</v>
      </c>
      <c r="Q13" s="607">
        <f>+'2) Tableau budgétaire 2'!Q214</f>
        <v>231541.24293785309</v>
      </c>
      <c r="R13" s="632">
        <f t="shared" si="1"/>
        <v>1408384.4719098157</v>
      </c>
    </row>
    <row r="14" spans="2:22" s="73" customFormat="1" ht="31.5" thickBot="1" x14ac:dyDescent="0.4">
      <c r="B14" s="32" t="s">
        <v>20</v>
      </c>
      <c r="C14" s="72">
        <f>'2) Tableau budgétaire 2'!D215</f>
        <v>24789</v>
      </c>
      <c r="D14" s="72">
        <f>'2) Tableau budgétaire 2'!E215</f>
        <v>23455</v>
      </c>
      <c r="E14" s="72">
        <f>'2) Tableau budgétaire 2'!F215</f>
        <v>23455</v>
      </c>
      <c r="F14" s="72">
        <f>'2) Tableau budgétaire 2'!G215</f>
        <v>70000.211838006231</v>
      </c>
      <c r="G14" s="72">
        <f>'2) Tableau budgétaire 2'!H215</f>
        <v>50167</v>
      </c>
      <c r="H14" s="72">
        <f>'2) Tableau budgétaire 2'!I215</f>
        <v>78848.333333333343</v>
      </c>
      <c r="I14" s="564">
        <f t="shared" si="0"/>
        <v>270714.54517133953</v>
      </c>
      <c r="K14" s="634" t="s">
        <v>20</v>
      </c>
      <c r="L14" s="607">
        <f>+'2) Tableau budgétaire 2'!L215</f>
        <v>72827.102803738308</v>
      </c>
      <c r="M14" s="607">
        <f>+'2) Tableau budgétaire 2'!M215</f>
        <v>60245</v>
      </c>
      <c r="N14" s="607">
        <f>+'2) Tableau budgétaire 2'!N215</f>
        <v>60245</v>
      </c>
      <c r="O14" s="607">
        <f>+'2) Tableau budgétaire 2'!O215</f>
        <v>253893.8898380062</v>
      </c>
      <c r="P14" s="607">
        <f>+'2) Tableau budgétaire 2'!P215</f>
        <v>107372</v>
      </c>
      <c r="Q14" s="607">
        <f>+'2) Tableau budgétaire 2'!Q215</f>
        <v>178217.15099688471</v>
      </c>
      <c r="R14" s="632">
        <f t="shared" si="1"/>
        <v>732800.14363862923</v>
      </c>
      <c r="V14" s="711"/>
    </row>
    <row r="15" spans="2:22" s="73" customFormat="1" ht="30" customHeight="1" thickBot="1" x14ac:dyDescent="0.4">
      <c r="B15" s="148" t="s">
        <v>662</v>
      </c>
      <c r="C15" s="71">
        <f>SUM(C8:C14)</f>
        <v>620747.66</v>
      </c>
      <c r="D15" s="71">
        <f t="shared" ref="D15:H15" si="2">SUM(D8:D14)</f>
        <v>343831.78</v>
      </c>
      <c r="E15" s="71">
        <f t="shared" si="2"/>
        <v>343831.78</v>
      </c>
      <c r="F15" s="551">
        <f>SUM(F8:F14)</f>
        <v>654205.55086625484</v>
      </c>
      <c r="G15" s="71">
        <f>SUM(G8:G14)</f>
        <v>420560.74766355142</v>
      </c>
      <c r="H15" s="71">
        <f t="shared" si="2"/>
        <v>420560.74327555206</v>
      </c>
      <c r="I15" s="564">
        <f t="shared" si="0"/>
        <v>2803738.2618053583</v>
      </c>
      <c r="K15" s="635" t="s">
        <v>662</v>
      </c>
      <c r="L15" s="636">
        <f>SUM(L8:L14)</f>
        <v>1241495.3271028036</v>
      </c>
      <c r="M15" s="636">
        <f t="shared" ref="M15:N15" si="3">SUM(M8:M14)</f>
        <v>687663.55140186916</v>
      </c>
      <c r="N15" s="636">
        <f t="shared" si="3"/>
        <v>687663.55140186916</v>
      </c>
      <c r="O15" s="636">
        <f>SUM(O8:O14)</f>
        <v>1308411.2288662551</v>
      </c>
      <c r="P15" s="636">
        <f>SUM(P8:P14)</f>
        <v>841121.6</v>
      </c>
      <c r="Q15" s="636">
        <f t="shared" ref="Q15" si="4">SUM(Q8:Q14)</f>
        <v>841121.49093910342</v>
      </c>
      <c r="R15" s="632">
        <f t="shared" si="1"/>
        <v>5607476.7497119</v>
      </c>
    </row>
    <row r="16" spans="2:22" s="73" customFormat="1" ht="30" customHeight="1" thickBot="1" x14ac:dyDescent="0.4">
      <c r="B16" s="149" t="s">
        <v>663</v>
      </c>
      <c r="C16" s="150">
        <f>C15*7%</f>
        <v>43452.336200000005</v>
      </c>
      <c r="D16" s="150">
        <f t="shared" ref="D16:H16" si="5">D15*7%</f>
        <v>24068.224600000005</v>
      </c>
      <c r="E16" s="150">
        <f t="shared" si="5"/>
        <v>24068.224600000005</v>
      </c>
      <c r="F16" s="552">
        <f t="shared" si="5"/>
        <v>45794.388560637846</v>
      </c>
      <c r="G16" s="150">
        <f t="shared" si="5"/>
        <v>29439.252336448601</v>
      </c>
      <c r="H16" s="150">
        <f t="shared" si="5"/>
        <v>29439.252029288647</v>
      </c>
      <c r="I16" s="565">
        <f t="shared" ref="I16:I17" si="6">SUM(C16:H16)</f>
        <v>196261.67832637511</v>
      </c>
      <c r="K16" s="637" t="s">
        <v>663</v>
      </c>
      <c r="L16" s="638">
        <f>L15*7%</f>
        <v>86904.672897196258</v>
      </c>
      <c r="M16" s="638">
        <f t="shared" ref="M16:Q16" si="7">M15*7%</f>
        <v>48136.448598130846</v>
      </c>
      <c r="N16" s="638">
        <f t="shared" si="7"/>
        <v>48136.448598130846</v>
      </c>
      <c r="O16" s="638">
        <f t="shared" si="7"/>
        <v>91588.786020637868</v>
      </c>
      <c r="P16" s="638">
        <f t="shared" si="7"/>
        <v>58878.512000000002</v>
      </c>
      <c r="Q16" s="638">
        <f t="shared" si="7"/>
        <v>58878.504365737244</v>
      </c>
      <c r="R16" s="639">
        <f t="shared" si="1"/>
        <v>392523.37247983302</v>
      </c>
    </row>
    <row r="17" spans="2:18" s="73" customFormat="1" ht="30" customHeight="1" thickBot="1" x14ac:dyDescent="0.4">
      <c r="B17" s="148" t="s">
        <v>13</v>
      </c>
      <c r="C17" s="71">
        <f>SUM(C15:C16)</f>
        <v>664199.99620000005</v>
      </c>
      <c r="D17" s="71">
        <f t="shared" ref="D17:G17" si="8">SUM(D15:D16)</f>
        <v>367900.00460000004</v>
      </c>
      <c r="E17" s="71">
        <f t="shared" si="8"/>
        <v>367900.00460000004</v>
      </c>
      <c r="F17" s="551">
        <f t="shared" si="8"/>
        <v>699999.93942689267</v>
      </c>
      <c r="G17" s="71">
        <f t="shared" si="8"/>
        <v>450000</v>
      </c>
      <c r="H17" s="71">
        <f>SUM(H15:H16)</f>
        <v>449999.99530484073</v>
      </c>
      <c r="I17" s="564">
        <f t="shared" si="6"/>
        <v>2999999.9401317332</v>
      </c>
      <c r="K17" s="635" t="s">
        <v>13</v>
      </c>
      <c r="L17" s="636">
        <f>SUM(L15:L16)</f>
        <v>1328400</v>
      </c>
      <c r="M17" s="636">
        <f t="shared" ref="M17:P17" si="9">SUM(M15:M16)</f>
        <v>735800</v>
      </c>
      <c r="N17" s="636">
        <f t="shared" si="9"/>
        <v>735800</v>
      </c>
      <c r="O17" s="636">
        <f t="shared" si="9"/>
        <v>1400000.0148868931</v>
      </c>
      <c r="P17" s="636">
        <f t="shared" si="9"/>
        <v>900000.11199999996</v>
      </c>
      <c r="Q17" s="636">
        <f>SUM(Q15:Q16)</f>
        <v>899999.99530484062</v>
      </c>
      <c r="R17" s="632">
        <f t="shared" si="1"/>
        <v>6000000.1221917337</v>
      </c>
    </row>
    <row r="18" spans="2:18" s="73" customFormat="1" ht="75" customHeight="1" thickBot="1" x14ac:dyDescent="0.4">
      <c r="L18" s="711">
        <f>L17-'1) Tableau budgétaire 1'!L202</f>
        <v>0</v>
      </c>
      <c r="M18" s="711">
        <f>M17-'1) Tableau budgétaire 1'!M202</f>
        <v>0</v>
      </c>
      <c r="N18" s="711">
        <f>M18/1.07</f>
        <v>0</v>
      </c>
    </row>
    <row r="19" spans="2:18" s="73" customFormat="1" ht="15.5" x14ac:dyDescent="0.35">
      <c r="B19" s="851" t="s">
        <v>8</v>
      </c>
      <c r="C19" s="852"/>
      <c r="D19" s="853"/>
      <c r="E19" s="853"/>
      <c r="F19" s="853"/>
      <c r="G19" s="853"/>
      <c r="H19" s="853"/>
      <c r="I19" s="854"/>
      <c r="K19" s="873" t="s">
        <v>8</v>
      </c>
      <c r="L19" s="874"/>
      <c r="M19" s="875"/>
      <c r="N19" s="875"/>
      <c r="O19" s="875"/>
      <c r="P19" s="875"/>
      <c r="Q19" s="875"/>
      <c r="R19" s="876"/>
    </row>
    <row r="20" spans="2:18" ht="15.5" x14ac:dyDescent="0.35">
      <c r="B20" s="28"/>
      <c r="C20" s="26" t="s">
        <v>17</v>
      </c>
      <c r="D20" s="36" t="s">
        <v>18</v>
      </c>
      <c r="E20" s="36" t="s">
        <v>19</v>
      </c>
      <c r="F20" s="36" t="s">
        <v>628</v>
      </c>
      <c r="G20" s="36" t="s">
        <v>629</v>
      </c>
      <c r="H20" s="36" t="s">
        <v>630</v>
      </c>
      <c r="I20" s="29" t="s">
        <v>10</v>
      </c>
      <c r="K20" s="640"/>
      <c r="L20" s="626" t="s">
        <v>17</v>
      </c>
      <c r="M20" s="641" t="s">
        <v>18</v>
      </c>
      <c r="N20" s="641" t="s">
        <v>19</v>
      </c>
      <c r="O20" s="641" t="s">
        <v>628</v>
      </c>
      <c r="P20" s="641" t="s">
        <v>629</v>
      </c>
      <c r="Q20" s="641" t="s">
        <v>630</v>
      </c>
      <c r="R20" s="642" t="s">
        <v>10</v>
      </c>
    </row>
    <row r="21" spans="2:18" ht="15.5" x14ac:dyDescent="0.35">
      <c r="B21" s="28"/>
      <c r="C21" s="26" t="str">
        <f>'1) Tableau budgétaire 1'!D14</f>
        <v>OIM BURKINA FASO</v>
      </c>
      <c r="D21" s="26" t="str">
        <f>'1) Tableau budgétaire 1'!E14</f>
        <v>OIM NIGER</v>
      </c>
      <c r="E21" s="26" t="str">
        <f>'1) Tableau budgétaire 1'!F14</f>
        <v>OIM MALI</v>
      </c>
      <c r="F21" s="26" t="str">
        <f>'1) Tableau budgétaire 1'!G14</f>
        <v>FAO BURKINA FASO</v>
      </c>
      <c r="G21" s="26" t="str">
        <f>'1) Tableau budgétaire 1'!H14</f>
        <v>FAO MALI</v>
      </c>
      <c r="H21" s="26" t="str">
        <f>'1) Tableau budgétaire 1'!I14</f>
        <v>FAO NIGER</v>
      </c>
      <c r="I21" s="29"/>
      <c r="K21" s="640"/>
      <c r="L21" s="626" t="s">
        <v>650</v>
      </c>
      <c r="M21" s="626" t="s">
        <v>651</v>
      </c>
      <c r="N21" s="626" t="s">
        <v>652</v>
      </c>
      <c r="O21" s="626" t="s">
        <v>658</v>
      </c>
      <c r="P21" s="626" t="s">
        <v>659</v>
      </c>
      <c r="Q21" s="626" t="s">
        <v>660</v>
      </c>
      <c r="R21" s="642"/>
    </row>
    <row r="22" spans="2:18" ht="23.25" customHeight="1" x14ac:dyDescent="0.35">
      <c r="B22" s="27" t="s">
        <v>9</v>
      </c>
      <c r="C22" s="25">
        <f>'1) Tableau budgétaire 1'!D208</f>
        <v>232469.99867</v>
      </c>
      <c r="D22" s="25">
        <f>'1) Tableau budgétaire 1'!E208</f>
        <v>128765.00161000001</v>
      </c>
      <c r="E22" s="25">
        <f>'1) Tableau budgétaire 1'!F208</f>
        <v>128765.00161000001</v>
      </c>
      <c r="F22" s="553">
        <f>'1) Tableau budgétaire 1'!G208</f>
        <v>244999.97879941246</v>
      </c>
      <c r="G22" s="25">
        <f>'1) Tableau budgétaire 1'!H208</f>
        <v>157500</v>
      </c>
      <c r="H22" s="25">
        <f>'1) Tableau budgétaire 1'!I208</f>
        <v>157499.99835669424</v>
      </c>
      <c r="I22" s="8">
        <v>0.35</v>
      </c>
      <c r="K22" s="643" t="s">
        <v>9</v>
      </c>
      <c r="L22" s="709">
        <f>+'1) Tableau budgétaire 1'!M208</f>
        <v>232469.99867</v>
      </c>
      <c r="M22" s="709">
        <f>+'1) Tableau budgétaire 1'!N208</f>
        <v>128765.00161000001</v>
      </c>
      <c r="N22" s="709">
        <f>+'1) Tableau budgétaire 1'!O208</f>
        <v>128765.00161000001</v>
      </c>
      <c r="O22" s="709">
        <f>+'1) Tableau budgétaire 1'!P208</f>
        <v>244999.97879941246</v>
      </c>
      <c r="P22" s="709">
        <f>+'1) Tableau budgétaire 1'!Q208</f>
        <v>157500</v>
      </c>
      <c r="Q22" s="644">
        <f>+'1) Tableau budgétaire 1'!R208</f>
        <v>157499.99835669424</v>
      </c>
      <c r="R22" s="645">
        <v>0.35</v>
      </c>
    </row>
    <row r="23" spans="2:18" ht="24.75" customHeight="1" thickBot="1" x14ac:dyDescent="0.4">
      <c r="B23" s="9" t="s">
        <v>11</v>
      </c>
      <c r="C23" s="30">
        <f>'1) Tableau budgétaire 1'!D209</f>
        <v>232469.99867</v>
      </c>
      <c r="D23" s="30">
        <f>'1) Tableau budgétaire 1'!E209</f>
        <v>128765.00161000001</v>
      </c>
      <c r="E23" s="30">
        <f>'1) Tableau budgétaire 1'!F209</f>
        <v>128765.00161000001</v>
      </c>
      <c r="F23" s="554">
        <f>'1) Tableau budgétaire 1'!G209</f>
        <v>244999.97879941246</v>
      </c>
      <c r="G23" s="30">
        <f>'1) Tableau budgétaire 1'!H209</f>
        <v>157500</v>
      </c>
      <c r="H23" s="30">
        <f>'1) Tableau budgétaire 1'!I209</f>
        <v>157499.99835669424</v>
      </c>
      <c r="I23" s="10">
        <v>0.35</v>
      </c>
      <c r="K23" s="704" t="s">
        <v>11</v>
      </c>
      <c r="L23" s="709">
        <f>+'1) Tableau budgétaire 1'!M209</f>
        <v>232469.99867</v>
      </c>
      <c r="M23" s="710">
        <f>+'1) Tableau budgétaire 1'!N209</f>
        <v>128765.00161000001</v>
      </c>
      <c r="N23" s="710">
        <f>+'1) Tableau budgétaire 1'!O209</f>
        <v>128765.00161000001</v>
      </c>
      <c r="O23" s="710">
        <f>+'1) Tableau budgétaire 1'!P209</f>
        <v>244999.97879941246</v>
      </c>
      <c r="P23" s="710">
        <f>+'1) Tableau budgétaire 1'!Q209</f>
        <v>157500</v>
      </c>
      <c r="Q23" s="705">
        <f>+'1) Tableau budgétaire 1'!R209</f>
        <v>157499.99835669424</v>
      </c>
      <c r="R23" s="706">
        <v>0.35</v>
      </c>
    </row>
    <row r="24" spans="2:18" ht="24.75" customHeight="1" thickBot="1" x14ac:dyDescent="0.4">
      <c r="B24" s="9" t="s">
        <v>884</v>
      </c>
      <c r="C24" s="30">
        <f>'1) Tableau budgétaire 1'!D210</f>
        <v>199259.99886000002</v>
      </c>
      <c r="D24" s="30">
        <f>'1) Tableau budgétaire 1'!E210</f>
        <v>110370.00138000002</v>
      </c>
      <c r="E24" s="30">
        <f>'1) Tableau budgétaire 1'!F210</f>
        <v>110370.00138000002</v>
      </c>
      <c r="F24" s="554">
        <f>'1) Tableau budgétaire 1'!G210</f>
        <v>209999.98182806783</v>
      </c>
      <c r="G24" s="30">
        <f>'1) Tableau budgétaire 1'!H210</f>
        <v>135000</v>
      </c>
      <c r="H24" s="30">
        <f>'1) Tableau budgétaire 1'!I210</f>
        <v>134999.99859145223</v>
      </c>
      <c r="I24" s="10">
        <v>0.3</v>
      </c>
      <c r="K24" s="707" t="s">
        <v>884</v>
      </c>
      <c r="L24" s="709">
        <f>+'1) Tableau budgétaire 1'!M210</f>
        <v>199259.99886000002</v>
      </c>
      <c r="M24" s="709">
        <f>+'1) Tableau budgétaire 1'!N212</f>
        <v>110369.99861999998</v>
      </c>
      <c r="N24" s="709">
        <f>+'1) Tableau budgétaire 1'!O212</f>
        <v>110369.99861999998</v>
      </c>
      <c r="O24" s="709">
        <f>+'1) Tableau budgétaire 1'!P212</f>
        <v>210000.02263800017</v>
      </c>
      <c r="P24" s="709">
        <f>+'1) Tableau budgétaire 1'!Q212</f>
        <v>135000.0336</v>
      </c>
      <c r="Q24" s="644">
        <f>+'1) Tableau budgétaire 1'!R212</f>
        <v>134999.99999999997</v>
      </c>
      <c r="R24" s="708">
        <v>0.3</v>
      </c>
    </row>
    <row r="25" spans="2:18" ht="15.5" x14ac:dyDescent="0.35">
      <c r="K25" s="707" t="s">
        <v>936</v>
      </c>
      <c r="L25" s="709">
        <f>+'1) Tableau budgétaire 1'!M211</f>
        <v>464940.00265999994</v>
      </c>
      <c r="M25" s="709">
        <f>+'1) Tableau budgétaire 1'!N211</f>
        <v>257529.99677999996</v>
      </c>
      <c r="N25" s="709">
        <f>+'1) Tableau budgétaire 1'!O211</f>
        <v>257529.99677999996</v>
      </c>
      <c r="O25" s="709">
        <f>+'1) Tableau budgétaire 1'!P211</f>
        <v>490000.05282200035</v>
      </c>
      <c r="P25" s="709">
        <f>+'1) Tableau budgétaire 1'!Q211</f>
        <v>315000.07839999994</v>
      </c>
      <c r="Q25" s="644">
        <f>+'1) Tableau budgétaire 1'!R211</f>
        <v>314999.99999999988</v>
      </c>
      <c r="R25" s="708">
        <v>0.7</v>
      </c>
    </row>
    <row r="26" spans="2:18" ht="15.5" x14ac:dyDescent="0.35">
      <c r="K26" s="707" t="s">
        <v>937</v>
      </c>
      <c r="L26" s="709">
        <f>+'1) Tableau budgétaire 1'!M212</f>
        <v>199260.00113999998</v>
      </c>
      <c r="M26" s="709">
        <f>+'1) Tableau budgétaire 1'!N212</f>
        <v>110369.99861999998</v>
      </c>
      <c r="N26" s="709">
        <f>+'1) Tableau budgétaire 1'!O212</f>
        <v>110369.99861999998</v>
      </c>
      <c r="O26" s="709">
        <f>+'1) Tableau budgétaire 1'!P212</f>
        <v>210000.02263800017</v>
      </c>
      <c r="P26" s="709">
        <f>+'1) Tableau budgétaire 1'!Q212</f>
        <v>135000.0336</v>
      </c>
      <c r="Q26" s="644">
        <f>+'1) Tableau budgétaire 1'!R212</f>
        <v>134999.99999999997</v>
      </c>
      <c r="R26" s="708">
        <v>0.3</v>
      </c>
    </row>
    <row r="27" spans="2:18" ht="15.5" x14ac:dyDescent="0.35">
      <c r="K27" s="707" t="s">
        <v>371</v>
      </c>
      <c r="L27" s="709">
        <f>+'1) Tableau budgétaire 1'!M213</f>
        <v>1328400</v>
      </c>
      <c r="M27" s="709">
        <f>+'1) Tableau budgétaire 1'!N213</f>
        <v>735800</v>
      </c>
      <c r="N27" s="709">
        <f>+'1) Tableau budgétaire 1'!O213</f>
        <v>735800</v>
      </c>
      <c r="O27" s="709">
        <f>+'1) Tableau budgétaire 1'!P213</f>
        <v>1400000.0148868933</v>
      </c>
      <c r="P27" s="709">
        <f>+'1) Tableau budgétaire 1'!Q213</f>
        <v>900000.11199999996</v>
      </c>
      <c r="Q27" s="644">
        <f>+'1) Tableau budgétaire 1'!R213</f>
        <v>899999.99530484062</v>
      </c>
      <c r="R27" s="708">
        <v>1</v>
      </c>
    </row>
  </sheetData>
  <mergeCells count="8">
    <mergeCell ref="B19:I19"/>
    <mergeCell ref="B5:I5"/>
    <mergeCell ref="I6:I7"/>
    <mergeCell ref="B2:I3"/>
    <mergeCell ref="K2:R3"/>
    <mergeCell ref="K5:R5"/>
    <mergeCell ref="R6:R7"/>
    <mergeCell ref="K19:R19"/>
  </mergeCells>
  <dataValidations count="7">
    <dataValidation allowBlank="1" showInputMessage="1" showErrorMessage="1" prompt="Includes all related staff and temporary staff costs including base salary, post adjustment and all staff entitlements." sqref="B8 K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K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K10"/>
    <dataValidation allowBlank="1" showInputMessage="1" showErrorMessage="1" prompt="Includes staff and non-staff travel paid for by the organization directly related to a project." sqref="B12 K12"/>
    <dataValidation allowBlank="1" showInputMessage="1" showErrorMessage="1" prompt="Services contracted by an organization which follow the normal procurement processes." sqref="B11 K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K13"/>
    <dataValidation allowBlank="1" showInputMessage="1" showErrorMessage="1" prompt=" Includes all general operating costs for running an office. Examples include telecommunication, rents, finance charges and other costs which cannot be mapped to other expense categories." sqref="B14 K14"/>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23">
        <v>0</v>
      </c>
    </row>
    <row r="2" spans="1:1" x14ac:dyDescent="0.35">
      <c r="A2" s="123">
        <v>0.2</v>
      </c>
    </row>
    <row r="3" spans="1:1" x14ac:dyDescent="0.35">
      <c r="A3" s="123">
        <v>0.4</v>
      </c>
    </row>
    <row r="4" spans="1:1" x14ac:dyDescent="0.35">
      <c r="A4" s="123">
        <v>0.6</v>
      </c>
    </row>
    <row r="5" spans="1:1" x14ac:dyDescent="0.35">
      <c r="A5" s="123">
        <v>0.8</v>
      </c>
    </row>
    <row r="6" spans="1:1" x14ac:dyDescent="0.35">
      <c r="A6" s="123">
        <v>1</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MPTF_00006_00722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887F29C-E4D9-440B-84C0-8054991C20AE}"/>
</file>

<file path=customXml/itemProps2.xml><?xml version="1.0" encoding="utf-8"?>
<ds:datastoreItem xmlns:ds="http://schemas.openxmlformats.org/officeDocument/2006/customXml" ds:itemID="{B7DF6BE5-07C4-47D6-BFA7-AB276CA8CFE7}"/>
</file>

<file path=customXml/itemProps3.xml><?xml version="1.0" encoding="utf-8"?>
<ds:datastoreItem xmlns:ds="http://schemas.openxmlformats.org/officeDocument/2006/customXml" ds:itemID="{C5BC56BC-5B7E-4F3B-A0F5-99DD10E82B3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Niger FAO Format</vt:lpstr>
      <vt:lpstr>Mali FAO Format</vt:lpstr>
      <vt:lpstr>BKF FAO Format</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CB_Mali_BFaso_Niger_00120162_4_5_Finance Report_nov22.xlsx</dc:title>
  <dc:creator>Jelena Zelenovic</dc:creator>
  <cp:lastModifiedBy>Memel, Elise (FAOBF)</cp:lastModifiedBy>
  <cp:lastPrinted>2019-12-19T15:00:36Z</cp:lastPrinted>
  <dcterms:created xsi:type="dcterms:W3CDTF">2017-11-15T21:17:43Z</dcterms:created>
  <dcterms:modified xsi:type="dcterms:W3CDTF">2022-11-15T13:08:22Z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2022-08-17T09:13:38Z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e195daec-4d68-4158-bd0b-2eb23eee0e1e</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ies>
</file>