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jose_f_junior_undp_org/Documents/Desktop/ALGB/Academia videos/"/>
    </mc:Choice>
  </mc:AlternateContent>
  <xr:revisionPtr revIDLastSave="0" documentId="8_{E7DBACDD-247E-439F-9EEF-D892A3AFE4B3}" xr6:coauthVersionLast="47" xr6:coauthVersionMax="47" xr10:uidLastSave="{00000000-0000-0000-0000-000000000000}"/>
  <bookViews>
    <workbookView xWindow="-110" yWindow="-110" windowWidth="19420" windowHeight="105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H16" i="1"/>
  <c r="H19" i="1"/>
  <c r="H27" i="1"/>
  <c r="H31" i="1"/>
  <c r="H35" i="1"/>
  <c r="H42" i="1"/>
  <c r="J40" i="1"/>
  <c r="I67" i="1"/>
  <c r="D24" i="5" l="1"/>
  <c r="D70" i="5"/>
  <c r="D69" i="5"/>
  <c r="D81" i="5"/>
  <c r="D75" i="5"/>
  <c r="I39" i="1"/>
  <c r="I38" i="1"/>
  <c r="I26" i="1"/>
  <c r="I25" i="1"/>
  <c r="I22" i="1"/>
  <c r="I14" i="1"/>
  <c r="I34" i="1"/>
  <c r="I33" i="1"/>
  <c r="I15" i="1"/>
  <c r="I29" i="1" l="1"/>
  <c r="I31" i="1" s="1"/>
  <c r="D58" i="5"/>
  <c r="J10" i="1"/>
  <c r="J19" i="1"/>
  <c r="J41" i="1"/>
  <c r="J38" i="1"/>
  <c r="J42" i="1" s="1"/>
  <c r="J34" i="1"/>
  <c r="J33" i="1"/>
  <c r="J30" i="1"/>
  <c r="J26" i="1"/>
  <c r="J25" i="1"/>
  <c r="J24" i="1"/>
  <c r="J23" i="1"/>
  <c r="J22" i="1"/>
  <c r="J18" i="1"/>
  <c r="J15" i="1"/>
  <c r="J14" i="1"/>
  <c r="J13" i="1"/>
  <c r="J12" i="1"/>
  <c r="J9" i="1"/>
  <c r="J8" i="1"/>
  <c r="J7" i="1"/>
  <c r="D70" i="1"/>
  <c r="D69" i="1"/>
  <c r="G75" i="5"/>
  <c r="J35" i="1" l="1"/>
  <c r="J27" i="1"/>
  <c r="J16" i="1"/>
  <c r="J29" i="1"/>
  <c r="J31" i="1" s="1"/>
  <c r="D91" i="5"/>
  <c r="D88" i="5"/>
  <c r="D90" i="5"/>
  <c r="F93" i="5"/>
  <c r="E93" i="5"/>
  <c r="F92" i="5"/>
  <c r="E92" i="5"/>
  <c r="F91" i="5"/>
  <c r="E91" i="5"/>
  <c r="F90" i="5"/>
  <c r="E90" i="5"/>
  <c r="F89" i="5"/>
  <c r="E89" i="5"/>
  <c r="F88" i="5"/>
  <c r="E88" i="5"/>
  <c r="F87" i="5"/>
  <c r="E87" i="5"/>
  <c r="D93" i="5"/>
  <c r="D92" i="5"/>
  <c r="D89" i="5"/>
  <c r="D87" i="5"/>
  <c r="D71" i="5"/>
  <c r="F94" i="5" l="1"/>
  <c r="F95" i="5" s="1"/>
  <c r="F96" i="5" s="1"/>
  <c r="E94" i="5"/>
  <c r="E95" i="5" s="1"/>
  <c r="E96" i="5" s="1"/>
  <c r="D94" i="5"/>
  <c r="D95" i="5" l="1"/>
  <c r="D96" i="5" s="1"/>
  <c r="E74" i="5" l="1"/>
  <c r="F74" i="5"/>
  <c r="D74" i="5"/>
  <c r="E63" i="5"/>
  <c r="F63" i="5"/>
  <c r="D63" i="5"/>
  <c r="E52" i="5"/>
  <c r="F52" i="5"/>
  <c r="D52" i="5"/>
  <c r="E41" i="5"/>
  <c r="F41" i="5"/>
  <c r="D41" i="5"/>
  <c r="F29" i="5"/>
  <c r="E29" i="5"/>
  <c r="D29" i="5"/>
  <c r="F37" i="5"/>
  <c r="E37" i="5"/>
  <c r="D37" i="5"/>
  <c r="G36" i="5"/>
  <c r="G35" i="5"/>
  <c r="G34" i="5"/>
  <c r="G33" i="5"/>
  <c r="G32" i="5"/>
  <c r="G31" i="5"/>
  <c r="G30" i="5"/>
  <c r="F49" i="5"/>
  <c r="E49" i="5"/>
  <c r="D49" i="5"/>
  <c r="G48" i="5"/>
  <c r="G47" i="5"/>
  <c r="G46" i="5"/>
  <c r="G45" i="5"/>
  <c r="G44" i="5"/>
  <c r="G43" i="5"/>
  <c r="G42" i="5"/>
  <c r="I42" i="1"/>
  <c r="I35" i="1"/>
  <c r="I27" i="1"/>
  <c r="I16" i="1"/>
  <c r="I10" i="1"/>
  <c r="G54" i="1"/>
  <c r="F54" i="1"/>
  <c r="E54" i="1"/>
  <c r="D54" i="1"/>
  <c r="F53" i="1"/>
  <c r="E53" i="1"/>
  <c r="D53" i="1"/>
  <c r="F27" i="1"/>
  <c r="E27" i="1"/>
  <c r="D27" i="1"/>
  <c r="G26" i="1"/>
  <c r="G25" i="1"/>
  <c r="G24" i="1"/>
  <c r="G23" i="1"/>
  <c r="G22" i="1"/>
  <c r="F31" i="1"/>
  <c r="E31" i="1"/>
  <c r="D31" i="1"/>
  <c r="G30" i="1"/>
  <c r="G29" i="1"/>
  <c r="G37" i="5" l="1"/>
  <c r="G29" i="5"/>
  <c r="G49" i="5"/>
  <c r="G41" i="5"/>
  <c r="G31" i="1"/>
  <c r="G27" i="1"/>
  <c r="E35" i="1" l="1"/>
  <c r="D35" i="1"/>
  <c r="F10" i="1"/>
  <c r="E10" i="1"/>
  <c r="D10" i="1"/>
  <c r="F71" i="5"/>
  <c r="E71" i="5"/>
  <c r="G70" i="5"/>
  <c r="G69" i="5"/>
  <c r="G68" i="5"/>
  <c r="G67" i="5"/>
  <c r="G66" i="5"/>
  <c r="G65" i="5"/>
  <c r="G64" i="5"/>
  <c r="G71" i="5" l="1"/>
  <c r="G63" i="5"/>
  <c r="D19" i="1"/>
  <c r="D16" i="1"/>
  <c r="F35" i="1" l="1"/>
  <c r="G34" i="1"/>
  <c r="G33" i="1"/>
  <c r="G35" i="1" l="1"/>
  <c r="F15" i="5"/>
  <c r="E15" i="5"/>
  <c r="D15" i="5"/>
  <c r="F82" i="5"/>
  <c r="E82" i="5"/>
  <c r="D82" i="5"/>
  <c r="I19" i="1" l="1"/>
  <c r="E19" i="1"/>
  <c r="F19" i="1"/>
  <c r="D20" i="4" l="1"/>
  <c r="E20" i="4"/>
  <c r="C20" i="4"/>
  <c r="D6" i="4"/>
  <c r="E6" i="4"/>
  <c r="C6" i="4"/>
  <c r="E85" i="5"/>
  <c r="F85" i="5"/>
  <c r="D85" i="5"/>
  <c r="E4" i="5"/>
  <c r="F4" i="5"/>
  <c r="D4" i="5"/>
  <c r="F59" i="1"/>
  <c r="E59" i="1"/>
  <c r="D59" i="1"/>
  <c r="D51" i="1"/>
  <c r="F51" i="1"/>
  <c r="E51" i="1"/>
  <c r="G24" i="4"/>
  <c r="G23" i="4"/>
  <c r="G22" i="4"/>
  <c r="G38" i="1"/>
  <c r="H64" i="1"/>
  <c r="D14" i="4"/>
  <c r="E14" i="4"/>
  <c r="D12" i="4"/>
  <c r="E12" i="4"/>
  <c r="D10" i="4"/>
  <c r="E10" i="4"/>
  <c r="D9" i="4"/>
  <c r="E9" i="4"/>
  <c r="C10" i="4"/>
  <c r="C11" i="4"/>
  <c r="G92" i="5"/>
  <c r="G88" i="5"/>
  <c r="D8" i="4"/>
  <c r="E8" i="4"/>
  <c r="G39" i="1"/>
  <c r="G40" i="1"/>
  <c r="G41" i="1"/>
  <c r="G18" i="1"/>
  <c r="G13" i="1"/>
  <c r="G14" i="1"/>
  <c r="G15" i="1"/>
  <c r="G12" i="1"/>
  <c r="G80" i="5"/>
  <c r="G79" i="5"/>
  <c r="G78" i="5"/>
  <c r="G77" i="5"/>
  <c r="G76" i="5"/>
  <c r="E42" i="1"/>
  <c r="F42" i="1"/>
  <c r="D42" i="1"/>
  <c r="E13" i="4"/>
  <c r="E11" i="4"/>
  <c r="C12" i="4"/>
  <c r="C13" i="4"/>
  <c r="C8" i="4"/>
  <c r="G19" i="5"/>
  <c r="G20" i="5"/>
  <c r="G21" i="5"/>
  <c r="G22" i="5"/>
  <c r="G23" i="5"/>
  <c r="G24" i="5"/>
  <c r="G25" i="5"/>
  <c r="D26" i="5"/>
  <c r="E26" i="5"/>
  <c r="F26" i="5"/>
  <c r="G53" i="5"/>
  <c r="G54" i="5"/>
  <c r="G55" i="5"/>
  <c r="G56" i="5"/>
  <c r="G57" i="5"/>
  <c r="G58" i="5"/>
  <c r="G59" i="5"/>
  <c r="D60" i="5"/>
  <c r="E60" i="5"/>
  <c r="F60" i="5"/>
  <c r="G8" i="5"/>
  <c r="G9" i="5"/>
  <c r="G10" i="5"/>
  <c r="G12" i="5"/>
  <c r="G13" i="5"/>
  <c r="G87" i="5"/>
  <c r="D13" i="4"/>
  <c r="G91" i="5"/>
  <c r="E16" i="1"/>
  <c r="E18" i="5" s="1"/>
  <c r="F16" i="1"/>
  <c r="F18" i="5" s="1"/>
  <c r="D18" i="5"/>
  <c r="G19" i="1" l="1"/>
  <c r="F13" i="4"/>
  <c r="G60" i="5"/>
  <c r="F12" i="4"/>
  <c r="E7" i="5"/>
  <c r="E55" i="1"/>
  <c r="E63" i="1" s="1"/>
  <c r="D24" i="4" s="1"/>
  <c r="D7" i="5"/>
  <c r="F7" i="5"/>
  <c r="F55" i="1"/>
  <c r="G26" i="5"/>
  <c r="E15" i="4"/>
  <c r="E16" i="4" s="1"/>
  <c r="E17" i="4" s="1"/>
  <c r="F10" i="4"/>
  <c r="F8" i="4"/>
  <c r="G89" i="5"/>
  <c r="C9" i="4"/>
  <c r="F9" i="4" s="1"/>
  <c r="C29" i="6"/>
  <c r="D34" i="6" s="1"/>
  <c r="C18" i="6"/>
  <c r="D22" i="6" s="1"/>
  <c r="C40" i="6"/>
  <c r="D47" i="6" s="1"/>
  <c r="G16" i="1"/>
  <c r="G74" i="5"/>
  <c r="G52" i="5"/>
  <c r="C7" i="6"/>
  <c r="D12" i="6" s="1"/>
  <c r="G18" i="5"/>
  <c r="G10" i="1"/>
  <c r="G42" i="1"/>
  <c r="D44" i="6" l="1"/>
  <c r="D25" i="6"/>
  <c r="G7" i="5"/>
  <c r="D36" i="6"/>
  <c r="D23" i="6"/>
  <c r="D32" i="6"/>
  <c r="C30" i="6" s="1"/>
  <c r="D43" i="6"/>
  <c r="C41" i="6" s="1"/>
  <c r="D33" i="6"/>
  <c r="D24" i="6"/>
  <c r="D21" i="6"/>
  <c r="C19" i="6" s="1"/>
  <c r="D35" i="6"/>
  <c r="D45" i="6"/>
  <c r="D46" i="6"/>
  <c r="D11" i="6"/>
  <c r="D13" i="6"/>
  <c r="D14" i="6"/>
  <c r="D10" i="6"/>
  <c r="E62" i="1"/>
  <c r="D23" i="4" s="1"/>
  <c r="E61" i="1"/>
  <c r="D22" i="4" s="1"/>
  <c r="D55" i="1"/>
  <c r="G53" i="1"/>
  <c r="F63" i="1"/>
  <c r="E24" i="4" s="1"/>
  <c r="F62" i="1"/>
  <c r="E23" i="4" s="1"/>
  <c r="F61" i="1"/>
  <c r="C8" i="6" l="1"/>
  <c r="E64" i="1"/>
  <c r="D25" i="4" s="1"/>
  <c r="D62" i="1"/>
  <c r="C23" i="4" s="1"/>
  <c r="D61" i="1"/>
  <c r="G61" i="1" s="1"/>
  <c r="D63" i="1"/>
  <c r="C24" i="4" s="1"/>
  <c r="G55" i="1"/>
  <c r="F64" i="1"/>
  <c r="E25" i="4" s="1"/>
  <c r="E22" i="4"/>
  <c r="G63" i="1" l="1"/>
  <c r="F24" i="4" s="1"/>
  <c r="G62" i="1"/>
  <c r="F23" i="4" s="1"/>
  <c r="C22" i="4"/>
  <c r="D64" i="1"/>
  <c r="C25" i="4" s="1"/>
  <c r="F22" i="4"/>
  <c r="G64" i="1" l="1"/>
  <c r="F25" i="4" s="1"/>
  <c r="G14" i="5"/>
  <c r="G81" i="5" l="1"/>
  <c r="G82" i="5"/>
  <c r="C14" i="4" l="1"/>
  <c r="C15" i="4" s="1"/>
  <c r="G93" i="5"/>
  <c r="F14" i="4" l="1"/>
  <c r="C16" i="4"/>
  <c r="C17" i="4" s="1"/>
  <c r="G11" i="5"/>
  <c r="G15" i="5"/>
  <c r="D11" i="4" l="1"/>
  <c r="F11" i="4" s="1"/>
  <c r="G94" i="5"/>
  <c r="G90" i="5"/>
  <c r="D15" i="4" l="1"/>
  <c r="D16" i="4" s="1"/>
  <c r="D17" i="4" s="1"/>
  <c r="G95" i="5"/>
  <c r="I54" i="1" l="1"/>
  <c r="G96" i="5"/>
  <c r="F15" i="4"/>
  <c r="F16" i="4" s="1"/>
  <c r="F17" i="4" s="1"/>
  <c r="I66" i="1" l="1"/>
  <c r="H39" i="1"/>
  <c r="D66" i="1" s="1"/>
  <c r="D67" i="1" s="1"/>
</calcChain>
</file>

<file path=xl/sharedStrings.xml><?xml version="1.0" encoding="utf-8"?>
<sst xmlns="http://schemas.openxmlformats.org/spreadsheetml/2006/main" count="576" uniqueCount="469">
  <si>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</si>
  <si>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</si>
  <si>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</si>
  <si>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</si>
  <si>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</si>
  <si>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</si>
  <si>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</si>
  <si>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</si>
  <si>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</si>
  <si>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</si>
  <si>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</si>
  <si>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</si>
  <si>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</si>
  <si>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</si>
  <si>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</si>
  <si>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</si>
  <si>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</si>
  <si>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</si>
  <si>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</si>
  <si>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</si>
  <si>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</si>
  <si>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</si>
  <si>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</si>
  <si>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</si>
  <si>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</si>
  <si>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</si>
  <si>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</si>
  <si>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</si>
  <si>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</si>
  <si>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1.2.3</t>
  </si>
  <si>
    <t>Activity 1.2.4</t>
  </si>
  <si>
    <t>Activity 1.2.1</t>
  </si>
  <si>
    <t>Activity 1.2.2</t>
  </si>
  <si>
    <t>Activity 1.3.1</t>
  </si>
  <si>
    <t>Sub-Total Project Budget</t>
  </si>
  <si>
    <t>Total</t>
  </si>
  <si>
    <t>For MPTFO Use</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</si>
  <si>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</si>
  <si>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</si>
  <si>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</si>
  <si>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</si>
  <si>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</si>
  <si>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</si>
  <si>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</si>
  <si>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</si>
  <si>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</si>
  <si>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</si>
  <si>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</si>
  <si>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</si>
  <si>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</si>
  <si>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</si>
  <si>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</si>
  <si>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</si>
  <si>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</si>
  <si>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</si>
  <si>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</si>
  <si>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</si>
  <si>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</si>
  <si>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</si>
  <si>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</si>
  <si>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</si>
  <si>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</si>
  <si>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</si>
  <si>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</si>
  <si>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</si>
  <si>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</si>
  <si>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</si>
  <si>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</si>
  <si>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</si>
  <si>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</si>
  <si>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</si>
  <si>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</si>
  <si>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</si>
  <si>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</si>
  <si>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</si>
  <si>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</si>
  <si>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</si>
  <si>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</si>
  <si>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</si>
  <si>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</si>
  <si>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</si>
  <si>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</si>
  <si>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</si>
  <si>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</si>
  <si>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</si>
  <si>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</si>
  <si>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</si>
  <si>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</si>
  <si>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</si>
  <si>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</si>
  <si>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</si>
  <si>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</si>
  <si>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</si>
  <si>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</si>
  <si>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</si>
  <si>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</si>
  <si>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</si>
  <si>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</si>
  <si>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</si>
  <si>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</si>
  <si>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</si>
  <si>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</si>
  <si>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</si>
  <si>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</si>
  <si>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</si>
  <si>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</si>
  <si>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</si>
  <si>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</si>
  <si>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</si>
  <si>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</si>
  <si>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</si>
  <si>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</si>
  <si>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</si>
  <si>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</si>
  <si>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</si>
  <si>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</si>
  <si>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</si>
  <si>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</si>
  <si>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</si>
  <si>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</si>
  <si>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</si>
  <si>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</si>
  <si>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</si>
  <si>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</si>
  <si>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</si>
  <si>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</si>
  <si>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</si>
  <si>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</si>
  <si>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</si>
  <si>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</si>
  <si>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</si>
  <si>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</si>
  <si>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</si>
  <si>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</si>
  <si>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</si>
  <si>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</si>
  <si>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</si>
  <si>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</si>
  <si>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</si>
  <si>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</si>
  <si>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</si>
  <si>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</si>
  <si>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</si>
  <si>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</si>
  <si>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</si>
  <si>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</si>
  <si>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</si>
  <si>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</si>
  <si>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</si>
  <si>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</si>
  <si>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</si>
  <si>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</si>
  <si>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</si>
  <si>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</si>
  <si>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</si>
  <si>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</si>
  <si>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</si>
  <si>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</si>
  <si>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</si>
  <si>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</si>
  <si>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</si>
  <si>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</si>
  <si>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</si>
  <si>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</si>
  <si>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</si>
  <si>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</si>
  <si>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</si>
  <si>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</si>
  <si>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</si>
  <si>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</si>
  <si>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</si>
  <si>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</si>
  <si>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</si>
  <si>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</si>
  <si>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</si>
  <si>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</si>
  <si>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</si>
  <si>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</si>
  <si>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</si>
  <si>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</si>
  <si>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</si>
  <si>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</si>
  <si>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</si>
  <si>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</si>
  <si>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</si>
  <si>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</si>
  <si>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</si>
  <si>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</si>
  <si>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</si>
  <si>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</si>
  <si>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</si>
  <si>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</si>
  <si>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</si>
  <si>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</si>
  <si>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</si>
  <si>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</si>
  <si>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</si>
  <si>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</si>
  <si>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</si>
  <si>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</si>
  <si>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</si>
  <si>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</si>
  <si>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</si>
  <si>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</si>
  <si>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</si>
  <si>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</si>
  <si>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</si>
  <si>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</si>
  <si>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</si>
  <si>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</si>
  <si>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</si>
  <si>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</si>
  <si>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</si>
  <si>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</si>
  <si>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</si>
  <si>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</si>
  <si>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</si>
  <si>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</si>
  <si>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</si>
  <si>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</si>
  <si>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</si>
  <si>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</si>
  <si>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</si>
  <si>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</si>
  <si>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</si>
  <si>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</si>
  <si>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</si>
  <si>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</si>
  <si>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</si>
  <si>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</si>
  <si>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</si>
  <si>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</si>
  <si>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</si>
  <si>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</si>
  <si>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</si>
  <si>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</si>
  <si>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</si>
  <si>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</si>
  <si>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</si>
  <si>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</si>
  <si>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</si>
  <si>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</si>
  <si>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</si>
  <si>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</si>
  <si>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</si>
  <si>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</si>
  <si>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</si>
  <si>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</si>
  <si>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</si>
  <si>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</si>
  <si>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</si>
  <si>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</si>
  <si>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</si>
  <si>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</si>
  <si>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</si>
  <si>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</si>
  <si>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</si>
  <si>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</si>
  <si>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</si>
  <si>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</si>
  <si>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</si>
  <si>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</si>
  <si>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</si>
  <si>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</si>
  <si>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</si>
  <si>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</si>
  <si>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</si>
  <si>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</si>
  <si>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</si>
  <si>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</si>
  <si>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</si>
  <si>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</si>
  <si>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</si>
  <si>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</si>
  <si>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</si>
  <si>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</si>
  <si>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</si>
  <si>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</si>
  <si>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</si>
  <si>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</si>
  <si>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</si>
  <si>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</si>
  <si>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</si>
  <si>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</si>
  <si>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</si>
  <si>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</si>
  <si>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</si>
  <si>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</si>
  <si>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</si>
  <si>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</si>
  <si>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</si>
  <si>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</si>
  <si>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</si>
  <si>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</si>
  <si>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</si>
  <si>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</si>
  <si>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</si>
  <si>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</si>
  <si>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</si>
  <si>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</si>
  <si>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</si>
  <si>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</si>
  <si>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</si>
  <si>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</si>
  <si>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</si>
  <si>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</si>
  <si>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</si>
  <si>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</si>
  <si>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</si>
  <si>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</si>
  <si>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</si>
  <si>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</si>
  <si>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</si>
  <si>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</si>
  <si>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</si>
  <si>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</si>
  <si>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</si>
  <si>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</si>
  <si>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</si>
  <si>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</si>
  <si>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</si>
  <si>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</si>
  <si>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</si>
  <si>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</si>
  <si>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</si>
  <si>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</si>
  <si>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</si>
  <si>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</si>
  <si>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</si>
  <si>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</si>
  <si>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</si>
  <si>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</si>
  <si>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</si>
  <si>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</si>
  <si>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</si>
  <si>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</si>
  <si>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</si>
  <si>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</si>
  <si>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</si>
  <si>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</si>
  <si>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</si>
  <si>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</si>
  <si>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</si>
  <si>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</si>
  <si>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</si>
  <si>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</si>
  <si>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</si>
  <si>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</si>
  <si>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</si>
  <si>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</si>
  <si>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</si>
  <si>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</si>
  <si>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</si>
  <si>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</si>
  <si>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</si>
  <si>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</si>
  <si>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</si>
  <si>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</si>
  <si>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</si>
  <si>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</si>
  <si>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</si>
  <si>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</si>
  <si>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</si>
  <si>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</si>
  <si>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</si>
  <si>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</si>
  <si>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</si>
  <si>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</si>
  <si>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</si>
  <si>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</si>
  <si>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</si>
  <si>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</si>
  <si>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</si>
  <si>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</si>
  <si>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</si>
  <si>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</si>
  <si>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</si>
  <si>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</si>
  <si>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</si>
  <si>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</si>
  <si>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</si>
  <si>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</si>
  <si>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</si>
  <si>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</si>
  <si>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</si>
  <si>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</si>
  <si>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</si>
  <si>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</si>
  <si>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</si>
  <si>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</si>
  <si>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</si>
  <si>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</si>
  <si>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</si>
  <si>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</si>
  <si>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</si>
  <si>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</si>
  <si>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</si>
  <si>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</si>
  <si>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</si>
  <si>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</si>
  <si>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</si>
  <si>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</si>
  <si>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</si>
  <si>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</si>
  <si>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</si>
  <si>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</si>
  <si>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</si>
  <si>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</si>
  <si>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</si>
  <si>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</si>
  <si>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</si>
  <si>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</si>
  <si>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</si>
  <si>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</si>
  <si>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</si>
  <si>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</si>
  <si>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</si>
  <si>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</si>
  <si>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</si>
  <si>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</si>
  <si>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</si>
  <si>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</si>
  <si>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Connectivity, Office Supplies, Printing, Fuel</t>
  </si>
  <si>
    <t xml:space="preserve">Monitoring &amp; Communications </t>
  </si>
  <si>
    <t>Delivery Rate Total Budget(not include PSC):</t>
  </si>
  <si>
    <t>Final Evaluation</t>
  </si>
  <si>
    <t>Effective and Coordination in-country confidence building measures, dialogue and mediation interventions from ECOWAS, UN, Civil Society and other key international actors strengthen political stabilization in Guinea-Bissau</t>
  </si>
  <si>
    <t xml:space="preserve">Support ECOWAS and national-led intervention efforts to foster effective inter-party and political leaders dialogue, involving women and youth </t>
  </si>
  <si>
    <t>Support national-led initiaties, namely the ANP Good Offices Group, involving also other (women and youth) peacebuilders, on dialogue and negotiation efforts between political actors</t>
  </si>
  <si>
    <t>Design and facilitate a youth political parties forum</t>
  </si>
  <si>
    <t>Facilitate the creation of a Political Parties Platform/Forum and support capacity building of high-level national actors in conflict resolution skills and techniques</t>
  </si>
  <si>
    <t>Civil Society contributes effectively to political Stabilization</t>
  </si>
  <si>
    <t>Support the CSO Concertation Space to create and operationalize the "Common Agenda for Peace and Development" to promote peace and stabilization in the country</t>
  </si>
  <si>
    <t xml:space="preserve"> Enable capacity building in conflict resolution skills and method</t>
  </si>
  <si>
    <t>Support CSO activities contributing to inclusive political dialogue</t>
  </si>
  <si>
    <t>Map traditional, non-formal and faith-based leaders power dynamics and how they impact political dialogue and elaborate a strategy to engage them to ensure inclusive dialogue</t>
  </si>
  <si>
    <t xml:space="preserve">Support RC and UNOWAS Good Office role </t>
  </si>
  <si>
    <t>Support RC and UNOWAS in their Good Offices role</t>
  </si>
  <si>
    <t xml:space="preserve">OUTCOME 2: </t>
  </si>
  <si>
    <t>Outcome 2.1</t>
  </si>
  <si>
    <t>Systemic reforms advanced through inclusive processes (as stipulated in the ECOWAS roadmpa and Conakry Agreement)</t>
  </si>
  <si>
    <t xml:space="preserve">Systemic reforms advanced through an inclusive process via support to the drafting of relevant legislation and ensuring inclusive consultations and dissemination </t>
  </si>
  <si>
    <t>Activity 2.1.1</t>
  </si>
  <si>
    <t xml:space="preserve">Support the ANP (specialized commissions, ad-hoc commissions and techincal secretariat) advancing systemic reforms </t>
  </si>
  <si>
    <t>Activity 2.1.2</t>
  </si>
  <si>
    <t>Support the organization and facilitation of stakeholder consultations on the political party law, electoral law and Constitution and other relavant laws that contribute to the systemic reforms organized by academia, think thanks and CSO through a bottom-up approach, including work at local level</t>
  </si>
  <si>
    <t>Activity 2.1.3</t>
  </si>
  <si>
    <t>Activity 2.1.4</t>
  </si>
  <si>
    <t>Enable media and communication efforts and public sensitization initiatives on systemic reforms</t>
  </si>
  <si>
    <t>Activity 2.1.5</t>
  </si>
  <si>
    <t>Support CSOs monitoring implementation/ ongoing processes related to the systemic reforms</t>
  </si>
  <si>
    <t>Output 2.2</t>
  </si>
  <si>
    <t>CSO stakeholders, government officials and political party members and public servants´ capacities built to enable effective engagement on reforms and political processes to  create agents of change</t>
  </si>
  <si>
    <t>Activity 2.2.1</t>
  </si>
  <si>
    <t>The design and launch of a Leadership academy</t>
  </si>
  <si>
    <t>Activity 2.2.2</t>
  </si>
  <si>
    <t>Support the regional polos of the leadership academy to increase awereness and advocacy on systemic reforms engaging local stakeholders</t>
  </si>
  <si>
    <t>Output 2.3</t>
  </si>
  <si>
    <t xml:space="preserve">Increase awareness on reconciliation by addressing unsolved past grievances and promote a common understanding of the past </t>
  </si>
  <si>
    <t>Activity 2.3.1</t>
  </si>
  <si>
    <t>Support the National Public Library preserving national memory for sustaining peace</t>
  </si>
  <si>
    <t>Activity 2.3.2</t>
  </si>
  <si>
    <t xml:space="preserve">Support awareness of the History of Guinea-Bissau </t>
  </si>
  <si>
    <t>Recipient Organization 1
UNDP</t>
  </si>
  <si>
    <t>Recipient Organization 2
UNFPA</t>
  </si>
  <si>
    <t>Recipient Organization 3
WFP</t>
  </si>
  <si>
    <t>OUTCOME 2</t>
  </si>
  <si>
    <t>Output 2.1</t>
  </si>
  <si>
    <t>Total Expenditure 1st , 2nd  and 3rd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</si>
</sst>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 #,##0_-;_-* &quot;-&quot;_-;_-@_-"/>
    <numFmt numFmtId="165" formatCode="_-* #,##0.00\ _C_F_A_-;\-* #,##0.00\ _C_F_A_-;_-* &quot;-&quot;??\ _C_F_A_-;_-@_-"/>
    <numFmt numFmtId="166" formatCode="_-* #,##0.00_-;\-* #,##0.00_-;_-*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79998168889431442"/>
        <bgColor rgb="FF000000"/>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cellStyleXfs>
  <cellXfs count="340">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49" xfId="1" applyFont="1" applyFill="1" applyBorder="1" applyAlignment="1" applyProtection="1">
      <alignment wrapText="1"/>
    </xf>
    <xf numFmtId="44" fontId="3" fillId="2" borderId="50"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1"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5" fillId="8" borderId="0" xfId="1" applyFont="1" applyFill="1" applyBorder="1" applyAlignment="1">
      <alignment wrapText="1"/>
    </xf>
    <xf numFmtId="44" fontId="13" fillId="8" borderId="0" xfId="1" applyFont="1" applyFill="1" applyBorder="1" applyAlignment="1">
      <alignment horizontal="left" wrapText="1"/>
    </xf>
    <xf numFmtId="0" fontId="2" fillId="8" borderId="3" xfId="0" applyFont="1" applyFill="1" applyBorder="1" applyAlignment="1" applyProtection="1">
      <alignment horizontal="center" vertical="center" wrapText="1"/>
    </xf>
    <xf numFmtId="44" fontId="6" fillId="8" borderId="3" xfId="1" applyFont="1" applyFill="1" applyBorder="1" applyAlignment="1" applyProtection="1">
      <alignment horizontal="center" vertical="center" wrapText="1"/>
      <protection locked="0"/>
    </xf>
    <xf numFmtId="44" fontId="3" fillId="8"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6" fillId="8" borderId="0" xfId="1" applyFont="1" applyFill="1" applyBorder="1" applyAlignment="1" applyProtection="1">
      <alignment vertical="center" wrapText="1"/>
      <protection locked="0"/>
    </xf>
    <xf numFmtId="44" fontId="6" fillId="8" borderId="3" xfId="1" applyFont="1" applyFill="1" applyBorder="1" applyAlignment="1" applyProtection="1">
      <alignment vertical="center" wrapText="1"/>
      <protection locked="0"/>
    </xf>
    <xf numFmtId="44" fontId="0" fillId="8" borderId="0" xfId="1" applyFont="1" applyFill="1" applyBorder="1" applyAlignment="1">
      <alignment wrapText="1"/>
    </xf>
    <xf numFmtId="44" fontId="3" fillId="8" borderId="0" xfId="1" applyFont="1" applyFill="1" applyBorder="1" applyAlignment="1">
      <alignment vertical="center" wrapText="1"/>
    </xf>
    <xf numFmtId="44" fontId="3" fillId="8" borderId="0" xfId="1" applyFont="1" applyFill="1" applyBorder="1" applyAlignment="1" applyProtection="1">
      <alignment horizontal="center" vertical="center" wrapText="1"/>
    </xf>
    <xf numFmtId="44" fontId="3" fillId="8" borderId="0" xfId="1" applyFont="1" applyFill="1" applyBorder="1" applyAlignment="1" applyProtection="1">
      <alignment vertical="center" wrapText="1"/>
      <protection locked="0"/>
    </xf>
    <xf numFmtId="44" fontId="3" fillId="8" borderId="0" xfId="1" applyFont="1" applyFill="1" applyBorder="1" applyAlignment="1" applyProtection="1">
      <alignment horizontal="right" vertical="center" wrapText="1"/>
      <protection locked="0"/>
    </xf>
    <xf numFmtId="44" fontId="3" fillId="8" borderId="0" xfId="1" applyFont="1" applyFill="1" applyBorder="1" applyAlignment="1" applyProtection="1">
      <alignment vertical="center" wrapText="1"/>
    </xf>
    <xf numFmtId="44" fontId="0" fillId="8" borderId="16" xfId="1" applyFont="1" applyFill="1" applyBorder="1" applyAlignment="1">
      <alignment vertical="center" wrapText="1"/>
    </xf>
    <xf numFmtId="44" fontId="24" fillId="0" borderId="3" xfId="1" applyFont="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24" fillId="0" borderId="3" xfId="0" applyNumberFormat="1" applyFont="1" applyBorder="1" applyAlignment="1" applyProtection="1">
      <alignment wrapText="1"/>
      <protection locked="0"/>
    </xf>
    <xf numFmtId="9" fontId="0" fillId="0" borderId="0" xfId="2" applyNumberFormat="1" applyFont="1" applyFill="1" applyBorder="1" applyAlignment="1">
      <alignment wrapText="1"/>
    </xf>
    <xf numFmtId="44" fontId="0" fillId="0" borderId="0" xfId="0" applyNumberFormat="1" applyFont="1" applyBorder="1" applyAlignment="1">
      <alignment wrapText="1"/>
    </xf>
    <xf numFmtId="10" fontId="0" fillId="0" borderId="0" xfId="2" applyNumberFormat="1" applyFont="1" applyBorder="1" applyAlignment="1">
      <alignment wrapText="1"/>
    </xf>
    <xf numFmtId="43" fontId="0" fillId="0" borderId="0" xfId="3" applyFont="1" applyFill="1" applyBorder="1" applyAlignment="1">
      <alignment wrapText="1"/>
    </xf>
    <xf numFmtId="44" fontId="6" fillId="0" borderId="0" xfId="0" applyNumberFormat="1" applyFont="1" applyBorder="1" applyAlignment="1">
      <alignment wrapText="1"/>
    </xf>
    <xf numFmtId="44" fontId="6" fillId="0" borderId="0" xfId="0" applyNumberFormat="1" applyFont="1" applyFill="1" applyBorder="1" applyAlignment="1">
      <alignment wrapText="1"/>
    </xf>
    <xf numFmtId="43" fontId="6" fillId="0" borderId="0" xfId="3" applyFont="1" applyBorder="1" applyAlignment="1">
      <alignment wrapText="1"/>
    </xf>
    <xf numFmtId="44" fontId="3" fillId="0" borderId="0" xfId="0" applyNumberFormat="1" applyFont="1" applyFill="1" applyBorder="1" applyAlignment="1">
      <alignment horizontal="center" vertical="center" wrapText="1"/>
    </xf>
    <xf numFmtId="44" fontId="24" fillId="8" borderId="3" xfId="1" applyFont="1" applyFill="1" applyBorder="1" applyAlignment="1" applyProtection="1">
      <alignment horizontal="center" vertical="center" wrapText="1"/>
      <protection locked="0"/>
    </xf>
    <xf numFmtId="44" fontId="24" fillId="0" borderId="39"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3" fontId="6" fillId="3" borderId="0" xfId="3" applyFont="1" applyFill="1" applyBorder="1" applyAlignment="1">
      <alignment wrapText="1"/>
    </xf>
    <xf numFmtId="43" fontId="6" fillId="0" borderId="0" xfId="0" applyNumberFormat="1" applyFont="1" applyBorder="1" applyAlignment="1">
      <alignment wrapText="1"/>
    </xf>
    <xf numFmtId="44" fontId="6" fillId="3" borderId="0" xfId="0" applyNumberFormat="1" applyFont="1" applyFill="1" applyBorder="1" applyAlignment="1">
      <alignment wrapText="1"/>
    </xf>
    <xf numFmtId="0" fontId="24" fillId="2" borderId="3" xfId="0" applyFont="1" applyFill="1" applyBorder="1" applyAlignment="1" applyProtection="1">
      <alignment vertical="center" wrapText="1"/>
    </xf>
    <xf numFmtId="43" fontId="6" fillId="3" borderId="0" xfId="0" applyNumberFormat="1" applyFont="1" applyFill="1" applyBorder="1" applyAlignment="1">
      <alignment wrapText="1"/>
    </xf>
    <xf numFmtId="43" fontId="1" fillId="3" borderId="0" xfId="3" applyFont="1" applyFill="1" applyBorder="1" applyAlignment="1">
      <alignment wrapText="1"/>
    </xf>
    <xf numFmtId="44" fontId="1" fillId="3" borderId="0" xfId="0" applyNumberFormat="1" applyFont="1" applyFill="1" applyAlignment="1">
      <alignment wrapText="1"/>
    </xf>
    <xf numFmtId="44" fontId="24" fillId="3" borderId="39" xfId="1" applyFont="1" applyFill="1" applyBorder="1" applyAlignment="1" applyProtection="1">
      <alignment horizontal="center" vertical="center" wrapText="1"/>
      <protection locked="0"/>
    </xf>
    <xf numFmtId="0" fontId="24" fillId="0" borderId="3" xfId="0" applyFont="1" applyFill="1" applyBorder="1" applyAlignment="1" applyProtection="1">
      <alignment horizontal="left" vertical="top" wrapText="1"/>
      <protection locked="0"/>
    </xf>
    <xf numFmtId="43" fontId="15" fillId="0" borderId="0" xfId="3" applyFont="1" applyBorder="1" applyAlignment="1">
      <alignment wrapText="1"/>
    </xf>
    <xf numFmtId="43" fontId="6" fillId="0" borderId="0" xfId="3" applyFont="1" applyFill="1" applyBorder="1" applyAlignment="1">
      <alignment wrapText="1"/>
    </xf>
    <xf numFmtId="43" fontId="6" fillId="3" borderId="0" xfId="3" applyFont="1" applyFill="1" applyBorder="1" applyAlignment="1" applyProtection="1">
      <alignment vertical="center" wrapText="1"/>
      <protection locked="0"/>
    </xf>
    <xf numFmtId="43" fontId="3" fillId="3" borderId="0" xfId="3" applyFont="1" applyFill="1" applyBorder="1" applyAlignment="1">
      <alignment vertical="center" wrapText="1"/>
    </xf>
    <xf numFmtId="43" fontId="3" fillId="0" borderId="0" xfId="3" applyFont="1" applyFill="1" applyBorder="1" applyAlignment="1">
      <alignment horizontal="center" vertical="center" wrapText="1"/>
    </xf>
    <xf numFmtId="43" fontId="3" fillId="0" borderId="0" xfId="3" applyFont="1" applyFill="1" applyBorder="1" applyAlignment="1">
      <alignment wrapText="1"/>
    </xf>
    <xf numFmtId="9" fontId="6" fillId="0" borderId="3" xfId="2" applyNumberFormat="1" applyFont="1" applyBorder="1" applyAlignment="1" applyProtection="1">
      <alignment horizontal="center" vertical="center" wrapText="1"/>
      <protection locked="0"/>
    </xf>
    <xf numFmtId="0" fontId="17" fillId="0" borderId="0" xfId="0" applyFont="1" applyBorder="1" applyAlignment="1">
      <alignment wrapText="1"/>
    </xf>
    <xf numFmtId="44" fontId="24" fillId="2" borderId="3" xfId="1" applyNumberFormat="1" applyFont="1" applyFill="1" applyBorder="1" applyAlignment="1" applyProtection="1">
      <alignment horizontal="center" vertical="center" wrapText="1"/>
    </xf>
    <xf numFmtId="9" fontId="24" fillId="0" borderId="3" xfId="2" applyFont="1" applyBorder="1" applyAlignment="1" applyProtection="1">
      <alignment horizontal="center" vertical="center" wrapText="1"/>
      <protection locked="0"/>
    </xf>
    <xf numFmtId="49" fontId="24" fillId="0" borderId="3" xfId="1" applyNumberFormat="1" applyFont="1" applyBorder="1" applyAlignment="1" applyProtection="1">
      <alignment horizontal="left" wrapText="1"/>
      <protection locked="0"/>
    </xf>
    <xf numFmtId="44" fontId="24" fillId="0" borderId="0" xfId="1" applyNumberFormat="1" applyFont="1" applyFill="1" applyBorder="1" applyAlignment="1" applyProtection="1">
      <alignment horizontal="center" vertical="center" wrapText="1"/>
    </xf>
    <xf numFmtId="9" fontId="24" fillId="3" borderId="3" xfId="2" applyFont="1" applyFill="1" applyBorder="1" applyAlignment="1" applyProtection="1">
      <alignment horizontal="center" vertical="center" wrapText="1"/>
      <protection locked="0"/>
    </xf>
    <xf numFmtId="49" fontId="24" fillId="3" borderId="3" xfId="1" applyNumberFormat="1" applyFont="1" applyFill="1" applyBorder="1" applyAlignment="1" applyProtection="1">
      <alignment horizontal="left" wrapText="1"/>
      <protection locked="0"/>
    </xf>
    <xf numFmtId="0" fontId="24" fillId="2" borderId="3" xfId="0" applyFont="1" applyFill="1" applyBorder="1" applyAlignment="1">
      <alignment vertical="center" wrapText="1"/>
    </xf>
    <xf numFmtId="0" fontId="24" fillId="0" borderId="3" xfId="0" applyFont="1" applyBorder="1" applyAlignment="1" applyProtection="1">
      <alignment horizontal="left" vertical="top" wrapText="1"/>
      <protection locked="0"/>
    </xf>
    <xf numFmtId="44" fontId="24" fillId="0" borderId="3" xfId="1" applyFont="1" applyFill="1" applyBorder="1" applyAlignment="1" applyProtection="1">
      <alignment horizontal="center" vertical="center" wrapText="1"/>
      <protection locked="0"/>
    </xf>
    <xf numFmtId="165" fontId="6" fillId="3" borderId="0" xfId="0" applyNumberFormat="1" applyFont="1" applyFill="1" applyBorder="1" applyAlignment="1">
      <alignment wrapText="1"/>
    </xf>
    <xf numFmtId="165" fontId="6" fillId="0" borderId="0" xfId="0" applyNumberFormat="1" applyFont="1" applyFill="1" applyBorder="1" applyAlignment="1">
      <alignment wrapText="1"/>
    </xf>
    <xf numFmtId="166" fontId="6" fillId="3" borderId="0" xfId="4" applyNumberFormat="1" applyFont="1" applyFill="1" applyBorder="1" applyAlignment="1">
      <alignment wrapText="1"/>
    </xf>
    <xf numFmtId="43" fontId="11" fillId="0" borderId="0" xfId="3" applyFont="1" applyBorder="1" applyAlignment="1">
      <alignment wrapText="1"/>
    </xf>
    <xf numFmtId="44" fontId="24" fillId="8" borderId="3" xfId="1" applyFont="1" applyFill="1" applyBorder="1" applyAlignment="1" applyProtection="1">
      <alignment vertical="center" wrapText="1"/>
      <protection locked="0"/>
    </xf>
    <xf numFmtId="9" fontId="3" fillId="3" borderId="0" xfId="2" applyFont="1" applyFill="1" applyBorder="1" applyAlignment="1">
      <alignment vertical="center" wrapText="1"/>
    </xf>
    <xf numFmtId="164" fontId="3" fillId="3" borderId="0" xfId="4" applyFont="1" applyFill="1" applyBorder="1" applyAlignment="1">
      <alignment wrapText="1"/>
    </xf>
    <xf numFmtId="165" fontId="17" fillId="0" borderId="0" xfId="0" applyNumberFormat="1" applyFont="1" applyBorder="1" applyAlignment="1">
      <alignment wrapText="1"/>
    </xf>
    <xf numFmtId="44" fontId="18" fillId="0" borderId="3" xfId="0" applyNumberFormat="1" applyFont="1" applyFill="1" applyBorder="1" applyAlignment="1">
      <alignment horizontal="center" vertical="center" wrapText="1"/>
    </xf>
    <xf numFmtId="44" fontId="3" fillId="0" borderId="3" xfId="1" applyFont="1" applyFill="1" applyBorder="1" applyAlignment="1" applyProtection="1">
      <alignment horizontal="center" vertical="center" wrapText="1"/>
    </xf>
    <xf numFmtId="166" fontId="6" fillId="3" borderId="0" xfId="4" applyNumberFormat="1" applyFont="1" applyFill="1" applyBorder="1" applyAlignment="1" applyProtection="1">
      <alignment vertical="center" wrapText="1"/>
      <protection locked="0"/>
    </xf>
    <xf numFmtId="165" fontId="0" fillId="3" borderId="0" xfId="0" applyNumberFormat="1" applyFont="1" applyFill="1" applyBorder="1" applyAlignment="1">
      <alignment horizontal="center" vertical="center" wrapText="1"/>
    </xf>
    <xf numFmtId="10" fontId="0" fillId="8" borderId="14" xfId="2" applyNumberFormat="1" applyFont="1" applyFill="1" applyBorder="1" applyAlignment="1">
      <alignment wrapText="1"/>
    </xf>
    <xf numFmtId="0" fontId="21"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25" fillId="0" borderId="4"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protection locked="0"/>
    </xf>
    <xf numFmtId="49" fontId="25" fillId="0" borderId="4" xfId="0" applyNumberFormat="1" applyFont="1" applyFill="1" applyBorder="1" applyAlignment="1" applyProtection="1">
      <alignment horizontal="left" vertical="top" wrapText="1"/>
      <protection locked="0"/>
    </xf>
    <xf numFmtId="49" fontId="25" fillId="0" borderId="1" xfId="0" applyNumberFormat="1" applyFont="1" applyFill="1" applyBorder="1" applyAlignment="1" applyProtection="1">
      <alignment horizontal="left" vertical="top" wrapText="1"/>
      <protection locked="0"/>
    </xf>
    <xf numFmtId="49" fontId="25" fillId="0" borderId="2" xfId="0" applyNumberFormat="1"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19" fillId="0" borderId="53" xfId="0" applyFont="1" applyFill="1" applyBorder="1" applyAlignment="1">
      <alignment horizontal="left" wrapText="1"/>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2"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4" xfId="0" applyNumberFormat="1" applyFont="1" applyFill="1" applyBorder="1" applyAlignment="1">
      <alignment horizontal="center"/>
    </xf>
    <xf numFmtId="44" fontId="4"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4" fillId="2" borderId="41" xfId="0" applyFont="1" applyFill="1" applyBorder="1" applyAlignment="1">
      <alignment horizontal="left"/>
    </xf>
    <xf numFmtId="0" fontId="4" fillId="2" borderId="42" xfId="0" applyFont="1" applyFill="1" applyBorder="1" applyAlignment="1">
      <alignment horizontal="left"/>
    </xf>
    <xf numFmtId="0" fontId="4" fillId="2" borderId="43"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2"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5">
    <cellStyle name="Comma" xfId="3" builtinId="3"/>
    <cellStyle name="Comma [0]" xfId="4" builtinId="6"/>
    <cellStyle name="Currency" xfId="1" builtinId="4"/>
    <cellStyle name="Normal" xfId="0" builtinId="0"/>
    <cellStyle name="Percent"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7" zoomScale="80" zoomScaleNormal="80" workbookViewId="0">
      <selection activeCell="L10" sqref="L10"/>
    </sheetView>
  </sheetViews>
  <sheetFormatPr defaultColWidth="8.7109375" defaultRowHeight="15" x14ac:dyDescent="0.25"/>
  <cols>
    <col min="2" max="2" width="127.28515625" customWidth="1"/>
  </cols>
  <sheetData>
    <row r="2" spans="2:5" ht="36.75" customHeight="1" thickBot="1" x14ac:dyDescent="0.3">
      <c r="B2" s="258" t="s">
        <v>396</v>
      </c>
      <c r="C2" s="258"/>
      <c r="D2" s="258"/>
      <c r="E2" s="258"/>
    </row>
    <row r="3" spans="2:5" ht="295.5" customHeight="1" thickBot="1" x14ac:dyDescent="0.3">
      <c r="B3" s="180" t="s">
        <v>421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85"/>
  <sheetViews>
    <sheetView showGridLines="0" showZeros="0" tabSelected="1" zoomScale="60" zoomScaleNormal="60" workbookViewId="0">
      <pane ySplit="4" topLeftCell="A72" activePane="bottomLeft" state="frozen"/>
      <selection pane="bottomLeft" activeCell="C9" sqref="C9"/>
    </sheetView>
  </sheetViews>
  <sheetFormatPr defaultColWidth="9.28515625" defaultRowHeight="15" x14ac:dyDescent="0.25"/>
  <cols>
    <col min="1" max="1" width="9.28515625" style="33"/>
    <col min="2" max="2" width="30.7109375" style="33" customWidth="1"/>
    <col min="3" max="3" width="32.42578125" style="33" customWidth="1"/>
    <col min="4" max="4" width="25.28515625" style="33" customWidth="1"/>
    <col min="5" max="6" width="25.7109375" style="33" customWidth="1"/>
    <col min="7" max="7" width="23.28515625" style="33" customWidth="1"/>
    <col min="8" max="8" width="24.28515625" style="33" customWidth="1"/>
    <col min="9" max="9" width="22.42578125" style="194" customWidth="1"/>
    <col min="10" max="10" width="25.7109375" style="173" customWidth="1"/>
    <col min="11" max="11" width="30.28515625" style="33" customWidth="1"/>
    <col min="12" max="12" width="18.7109375" style="33" customWidth="1"/>
    <col min="13" max="13" width="11.42578125" style="33" bestFit="1" customWidth="1"/>
    <col min="14" max="14" width="17.7109375" style="33" customWidth="1"/>
    <col min="15" max="15" width="26.42578125" style="33" customWidth="1"/>
    <col min="16" max="16" width="22.42578125" style="33" customWidth="1"/>
    <col min="17" max="17" width="29.7109375" style="33" customWidth="1"/>
    <col min="18" max="18" width="23.42578125" style="33" customWidth="1"/>
    <col min="19" max="19" width="18.42578125" style="33" customWidth="1"/>
    <col min="20" max="20" width="17.42578125" style="33" customWidth="1"/>
    <col min="21" max="21" width="25.28515625" style="33" customWidth="1"/>
    <col min="22" max="16384" width="9.28515625" style="33"/>
  </cols>
  <sheetData>
    <row r="1" spans="1:13" ht="30.75" customHeight="1" x14ac:dyDescent="0.7">
      <c r="B1" s="258" t="s">
        <v>396</v>
      </c>
      <c r="C1" s="258"/>
      <c r="D1" s="258"/>
      <c r="E1" s="258"/>
      <c r="F1" s="31"/>
      <c r="G1" s="31"/>
      <c r="H1" s="32"/>
      <c r="I1" s="186"/>
      <c r="J1" s="172"/>
      <c r="K1" s="32"/>
    </row>
    <row r="2" spans="1:13" ht="16.5" customHeight="1" x14ac:dyDescent="0.4">
      <c r="B2" s="291" t="s">
        <v>38</v>
      </c>
      <c r="C2" s="291"/>
      <c r="D2" s="291"/>
      <c r="E2" s="291"/>
      <c r="F2" s="181"/>
      <c r="G2" s="181"/>
      <c r="H2" s="181"/>
      <c r="I2" s="187"/>
      <c r="J2" s="161"/>
    </row>
    <row r="4" spans="1:13" ht="119.25" customHeight="1" x14ac:dyDescent="0.25">
      <c r="B4" s="178" t="s">
        <v>408</v>
      </c>
      <c r="C4" s="41" t="s">
        <v>409</v>
      </c>
      <c r="D4" s="65" t="s">
        <v>463</v>
      </c>
      <c r="E4" s="65" t="s">
        <v>464</v>
      </c>
      <c r="F4" s="65" t="s">
        <v>465</v>
      </c>
      <c r="G4" s="93" t="s">
        <v>35</v>
      </c>
      <c r="H4" s="41" t="s">
        <v>410</v>
      </c>
      <c r="I4" s="188" t="s">
        <v>414</v>
      </c>
      <c r="J4" s="177" t="s">
        <v>418</v>
      </c>
      <c r="K4" s="178" t="s">
        <v>420</v>
      </c>
      <c r="L4" s="40"/>
    </row>
    <row r="5" spans="1:13" ht="51" customHeight="1" x14ac:dyDescent="0.25">
      <c r="B5" s="90" t="s">
        <v>0</v>
      </c>
      <c r="C5" s="285" t="s">
        <v>426</v>
      </c>
      <c r="D5" s="286"/>
      <c r="E5" s="286"/>
      <c r="F5" s="286"/>
      <c r="G5" s="286"/>
      <c r="H5" s="286"/>
      <c r="I5" s="286"/>
      <c r="J5" s="286"/>
      <c r="K5" s="287"/>
      <c r="L5" s="16"/>
    </row>
    <row r="6" spans="1:13" ht="51" customHeight="1" x14ac:dyDescent="0.25">
      <c r="B6" s="90" t="s">
        <v>1</v>
      </c>
      <c r="C6" s="285" t="s">
        <v>427</v>
      </c>
      <c r="D6" s="286"/>
      <c r="E6" s="286"/>
      <c r="F6" s="286"/>
      <c r="G6" s="286"/>
      <c r="H6" s="286"/>
      <c r="I6" s="286"/>
      <c r="J6" s="286"/>
      <c r="K6" s="287"/>
      <c r="L6" s="43"/>
    </row>
    <row r="7" spans="1:13" s="235" customFormat="1" ht="110.25" x14ac:dyDescent="0.25">
      <c r="B7" s="222" t="s">
        <v>2</v>
      </c>
      <c r="C7" s="227" t="s">
        <v>428</v>
      </c>
      <c r="D7" s="201">
        <v>130000</v>
      </c>
      <c r="E7" s="201"/>
      <c r="F7" s="201"/>
      <c r="G7" s="236">
        <v>130000</v>
      </c>
      <c r="H7" s="237">
        <v>0.3</v>
      </c>
      <c r="I7" s="216">
        <v>105870.37000000001</v>
      </c>
      <c r="J7" s="202">
        <f>+H7*I7</f>
        <v>31761.111000000001</v>
      </c>
      <c r="K7" s="238"/>
      <c r="L7" s="239"/>
      <c r="M7" s="252"/>
    </row>
    <row r="8" spans="1:13" s="235" customFormat="1" ht="31.5" x14ac:dyDescent="0.25">
      <c r="B8" s="222" t="s">
        <v>3</v>
      </c>
      <c r="C8" s="227" t="s">
        <v>429</v>
      </c>
      <c r="D8" s="201"/>
      <c r="E8" s="201">
        <v>30000</v>
      </c>
      <c r="F8" s="201"/>
      <c r="G8" s="236">
        <v>30000</v>
      </c>
      <c r="H8" s="237">
        <v>0.3</v>
      </c>
      <c r="I8" s="216">
        <v>21065</v>
      </c>
      <c r="J8" s="202">
        <f>+H8*I8</f>
        <v>6319.5</v>
      </c>
      <c r="K8" s="238"/>
      <c r="L8" s="239"/>
    </row>
    <row r="9" spans="1:13" s="235" customFormat="1" ht="94.5" x14ac:dyDescent="0.25">
      <c r="B9" s="222" t="s">
        <v>4</v>
      </c>
      <c r="C9" s="227" t="s">
        <v>430</v>
      </c>
      <c r="D9" s="201"/>
      <c r="E9" s="201"/>
      <c r="F9" s="201"/>
      <c r="G9" s="236">
        <v>0</v>
      </c>
      <c r="H9" s="240">
        <v>0.3</v>
      </c>
      <c r="I9" s="216"/>
      <c r="J9" s="202">
        <f>+H9*I9</f>
        <v>0</v>
      </c>
      <c r="K9" s="241"/>
      <c r="L9" s="239"/>
    </row>
    <row r="10" spans="1:13" ht="15.75" x14ac:dyDescent="0.25">
      <c r="A10" s="34"/>
      <c r="C10" s="90" t="s">
        <v>37</v>
      </c>
      <c r="D10" s="17">
        <f>SUM(D7:D9)</f>
        <v>130000</v>
      </c>
      <c r="E10" s="17">
        <f>SUM(E7:E9)</f>
        <v>30000</v>
      </c>
      <c r="F10" s="17">
        <f>SUM(F7:F9)</f>
        <v>0</v>
      </c>
      <c r="G10" s="17">
        <f>SUM(G7:G9)</f>
        <v>160000</v>
      </c>
      <c r="H10" s="107">
        <f>(H7*G7)+(H8*G8)+(G9*H9)</f>
        <v>48000</v>
      </c>
      <c r="I10" s="190">
        <f>SUM(I7:I9)</f>
        <v>126935.37000000001</v>
      </c>
      <c r="J10" s="254">
        <f>SUM(J7:J9)</f>
        <v>38080.611000000004</v>
      </c>
      <c r="K10" s="106"/>
      <c r="L10" s="45"/>
    </row>
    <row r="11" spans="1:13" ht="51" customHeight="1" x14ac:dyDescent="0.25">
      <c r="A11" s="34"/>
      <c r="B11" s="90" t="s">
        <v>5</v>
      </c>
      <c r="C11" s="282" t="s">
        <v>431</v>
      </c>
      <c r="D11" s="283"/>
      <c r="E11" s="283"/>
      <c r="F11" s="283"/>
      <c r="G11" s="283"/>
      <c r="H11" s="283"/>
      <c r="I11" s="283"/>
      <c r="J11" s="283"/>
      <c r="K11" s="284"/>
      <c r="L11" s="43"/>
    </row>
    <row r="12" spans="1:13" ht="94.5" x14ac:dyDescent="0.25">
      <c r="A12" s="34"/>
      <c r="B12" s="242" t="s">
        <v>31</v>
      </c>
      <c r="C12" s="243" t="s">
        <v>432</v>
      </c>
      <c r="D12" s="201">
        <v>60000</v>
      </c>
      <c r="E12" s="201"/>
      <c r="F12" s="201"/>
      <c r="G12" s="119">
        <f>SUM(D12:F12)</f>
        <v>60000</v>
      </c>
      <c r="H12" s="117">
        <v>0.3</v>
      </c>
      <c r="I12" s="216">
        <v>53211.85</v>
      </c>
      <c r="J12" s="202">
        <f>+H12*I12</f>
        <v>15963.554999999998</v>
      </c>
      <c r="K12" s="105"/>
      <c r="L12" s="44"/>
    </row>
    <row r="13" spans="1:13" ht="47.25" x14ac:dyDescent="0.25">
      <c r="A13" s="34"/>
      <c r="B13" s="242" t="s">
        <v>32</v>
      </c>
      <c r="C13" s="243" t="s">
        <v>433</v>
      </c>
      <c r="D13" s="201"/>
      <c r="E13" s="201"/>
      <c r="F13" s="201"/>
      <c r="G13" s="119">
        <f t="shared" ref="G13:G14" si="0">SUM(D13:F13)</f>
        <v>0</v>
      </c>
      <c r="H13" s="117">
        <v>0</v>
      </c>
      <c r="I13" s="216"/>
      <c r="J13" s="202">
        <f>+H13*I13</f>
        <v>0</v>
      </c>
      <c r="K13" s="105"/>
      <c r="L13" s="44"/>
    </row>
    <row r="14" spans="1:13" ht="47.25" x14ac:dyDescent="0.25">
      <c r="A14" s="34"/>
      <c r="B14" s="242" t="s">
        <v>29</v>
      </c>
      <c r="C14" s="243" t="s">
        <v>434</v>
      </c>
      <c r="D14" s="201">
        <v>68500</v>
      </c>
      <c r="E14" s="201"/>
      <c r="F14" s="201"/>
      <c r="G14" s="119">
        <f t="shared" si="0"/>
        <v>68500</v>
      </c>
      <c r="H14" s="117">
        <v>0.3</v>
      </c>
      <c r="I14" s="216">
        <f>63707.27</f>
        <v>63707.27</v>
      </c>
      <c r="J14" s="202">
        <f>+H14*I14</f>
        <v>19112.180999999997</v>
      </c>
      <c r="K14" s="105"/>
      <c r="L14" s="44"/>
    </row>
    <row r="15" spans="1:13" ht="94.5" x14ac:dyDescent="0.25">
      <c r="A15" s="34"/>
      <c r="B15" s="242" t="s">
        <v>30</v>
      </c>
      <c r="C15" s="243" t="s">
        <v>435</v>
      </c>
      <c r="D15" s="201">
        <v>20000</v>
      </c>
      <c r="E15" s="201">
        <v>10000</v>
      </c>
      <c r="F15" s="201"/>
      <c r="G15" s="119">
        <f>SUM(D15:F15)</f>
        <v>30000</v>
      </c>
      <c r="H15" s="117">
        <v>0.15</v>
      </c>
      <c r="I15" s="216">
        <f>19635+8458.62</f>
        <v>28093.620000000003</v>
      </c>
      <c r="J15" s="202">
        <f>+H15*I15</f>
        <v>4214.0430000000006</v>
      </c>
      <c r="K15" s="105"/>
      <c r="L15" s="44"/>
    </row>
    <row r="16" spans="1:13" ht="15.75" x14ac:dyDescent="0.25">
      <c r="A16" s="34"/>
      <c r="C16" s="90" t="s">
        <v>37</v>
      </c>
      <c r="D16" s="20">
        <f>SUM(D12:D15)</f>
        <v>148500</v>
      </c>
      <c r="E16" s="20">
        <f>SUM(E12:E15)</f>
        <v>10000</v>
      </c>
      <c r="F16" s="20">
        <f>SUM(F12:F15)</f>
        <v>0</v>
      </c>
      <c r="G16" s="20">
        <f>SUM(G12:G15)</f>
        <v>158500</v>
      </c>
      <c r="H16" s="107">
        <f>(H12*G12)+(H13*G13)+(H14*G14)+(H15*G15)</f>
        <v>43050</v>
      </c>
      <c r="I16" s="190">
        <f>SUM(I12:I15)</f>
        <v>145012.74</v>
      </c>
      <c r="J16" s="254">
        <f>SUM(J12:J15)</f>
        <v>39289.778999999995</v>
      </c>
      <c r="K16" s="106"/>
      <c r="L16" s="45"/>
    </row>
    <row r="17" spans="1:12" ht="51" customHeight="1" x14ac:dyDescent="0.25">
      <c r="A17" s="34"/>
      <c r="B17" s="90" t="s">
        <v>6</v>
      </c>
      <c r="C17" s="288" t="s">
        <v>436</v>
      </c>
      <c r="D17" s="289"/>
      <c r="E17" s="289"/>
      <c r="F17" s="289"/>
      <c r="G17" s="289"/>
      <c r="H17" s="289"/>
      <c r="I17" s="289"/>
      <c r="J17" s="289"/>
      <c r="K17" s="290"/>
      <c r="L17" s="43"/>
    </row>
    <row r="18" spans="1:12" ht="31.5" x14ac:dyDescent="0.25">
      <c r="A18" s="34"/>
      <c r="B18" s="218" t="s">
        <v>33</v>
      </c>
      <c r="C18" s="227" t="s">
        <v>437</v>
      </c>
      <c r="D18" s="201">
        <v>0</v>
      </c>
      <c r="E18" s="201">
        <v>0</v>
      </c>
      <c r="F18" s="201"/>
      <c r="G18" s="119">
        <f>SUM(D18:F18)</f>
        <v>0</v>
      </c>
      <c r="H18" s="117"/>
      <c r="I18" s="189"/>
      <c r="J18" s="202">
        <f>+H18*I18</f>
        <v>0</v>
      </c>
      <c r="K18" s="105"/>
      <c r="L18" s="44"/>
    </row>
    <row r="19" spans="1:12" ht="15.75" x14ac:dyDescent="0.25">
      <c r="C19" s="90" t="s">
        <v>37</v>
      </c>
      <c r="D19" s="17">
        <f>SUM(D18:D18)</f>
        <v>0</v>
      </c>
      <c r="E19" s="17">
        <f>SUM(E18:E18)</f>
        <v>0</v>
      </c>
      <c r="F19" s="17">
        <f>SUM(F18:F18)</f>
        <v>0</v>
      </c>
      <c r="G19" s="17">
        <f>SUM(G18:G18)</f>
        <v>0</v>
      </c>
      <c r="H19" s="107">
        <f>(G18*H18)</f>
        <v>0</v>
      </c>
      <c r="I19" s="190">
        <f>SUM(I18:I18)</f>
        <v>0</v>
      </c>
      <c r="J19" s="254">
        <f>SUM(J18:J18)</f>
        <v>0</v>
      </c>
      <c r="K19" s="106"/>
      <c r="L19" s="45"/>
    </row>
    <row r="20" spans="1:12" ht="15.75" x14ac:dyDescent="0.25">
      <c r="A20" s="34"/>
      <c r="B20" s="90" t="s">
        <v>438</v>
      </c>
      <c r="C20" s="292" t="s">
        <v>440</v>
      </c>
      <c r="D20" s="293"/>
      <c r="E20" s="293"/>
      <c r="F20" s="293"/>
      <c r="G20" s="293"/>
      <c r="H20" s="293"/>
      <c r="I20" s="293"/>
      <c r="J20" s="293"/>
      <c r="K20" s="294"/>
      <c r="L20" s="43"/>
    </row>
    <row r="21" spans="1:12" ht="15.75" x14ac:dyDescent="0.25">
      <c r="A21" s="34"/>
      <c r="B21" s="90" t="s">
        <v>439</v>
      </c>
      <c r="C21" s="292" t="s">
        <v>441</v>
      </c>
      <c r="D21" s="293"/>
      <c r="E21" s="293"/>
      <c r="F21" s="293"/>
      <c r="G21" s="293"/>
      <c r="H21" s="293"/>
      <c r="I21" s="293"/>
      <c r="J21" s="293"/>
      <c r="K21" s="294"/>
      <c r="L21" s="43"/>
    </row>
    <row r="22" spans="1:12" ht="78.75" x14ac:dyDescent="0.25">
      <c r="A22" s="34"/>
      <c r="B22" s="242" t="s">
        <v>442</v>
      </c>
      <c r="C22" s="243" t="s">
        <v>443</v>
      </c>
      <c r="D22" s="201">
        <v>100000</v>
      </c>
      <c r="E22" s="201"/>
      <c r="F22" s="201"/>
      <c r="G22" s="119">
        <f>SUM(D22:F22)</f>
        <v>100000</v>
      </c>
      <c r="H22" s="117">
        <v>0.25</v>
      </c>
      <c r="I22" s="216">
        <f>80200.24</f>
        <v>80200.240000000005</v>
      </c>
      <c r="J22" s="202">
        <f>+H22*I22</f>
        <v>20050.060000000001</v>
      </c>
      <c r="K22" s="105"/>
      <c r="L22" s="44"/>
    </row>
    <row r="23" spans="1:12" ht="157.5" x14ac:dyDescent="0.25">
      <c r="A23" s="34"/>
      <c r="B23" s="242" t="s">
        <v>444</v>
      </c>
      <c r="C23" s="243" t="s">
        <v>445</v>
      </c>
      <c r="D23" s="244">
        <v>100000</v>
      </c>
      <c r="E23" s="201"/>
      <c r="F23" s="201"/>
      <c r="G23" s="119">
        <f>SUM(D23:F23)</f>
        <v>100000</v>
      </c>
      <c r="H23" s="117">
        <v>0.4</v>
      </c>
      <c r="I23" s="216">
        <v>98076.39</v>
      </c>
      <c r="J23" s="202">
        <f>+H23*I23</f>
        <v>39230.556000000004</v>
      </c>
      <c r="K23" s="105"/>
      <c r="L23" s="44"/>
    </row>
    <row r="24" spans="1:12" ht="15.75" x14ac:dyDescent="0.25">
      <c r="A24" s="34"/>
      <c r="B24" s="242" t="s">
        <v>446</v>
      </c>
      <c r="C24" s="243"/>
      <c r="D24" s="201"/>
      <c r="E24" s="201"/>
      <c r="F24" s="201"/>
      <c r="G24" s="119">
        <f>SUM(D24:F24)</f>
        <v>0</v>
      </c>
      <c r="H24" s="117"/>
      <c r="I24" s="189"/>
      <c r="J24" s="202">
        <f>+H24*I24</f>
        <v>0</v>
      </c>
      <c r="K24" s="105"/>
      <c r="L24" s="44"/>
    </row>
    <row r="25" spans="1:12" s="34" customFormat="1" ht="63" x14ac:dyDescent="0.25">
      <c r="B25" s="242" t="s">
        <v>447</v>
      </c>
      <c r="C25" s="243" t="s">
        <v>448</v>
      </c>
      <c r="D25" s="201">
        <v>60000</v>
      </c>
      <c r="E25" s="201"/>
      <c r="F25" s="201"/>
      <c r="G25" s="119">
        <f>SUM(D25:F25)</f>
        <v>60000</v>
      </c>
      <c r="H25" s="117">
        <v>0.4</v>
      </c>
      <c r="I25" s="216">
        <f>47889.93</f>
        <v>47889.93</v>
      </c>
      <c r="J25" s="202">
        <f>+H25*I25</f>
        <v>19155.972000000002</v>
      </c>
      <c r="K25" s="105"/>
      <c r="L25" s="44"/>
    </row>
    <row r="26" spans="1:12" s="34" customFormat="1" ht="63" x14ac:dyDescent="0.25">
      <c r="B26" s="242" t="s">
        <v>449</v>
      </c>
      <c r="C26" s="243" t="s">
        <v>450</v>
      </c>
      <c r="D26" s="201">
        <v>50000</v>
      </c>
      <c r="E26" s="201">
        <v>20000</v>
      </c>
      <c r="F26" s="201"/>
      <c r="G26" s="119">
        <f t="shared" ref="G26" si="1">SUM(D26:F26)</f>
        <v>70000</v>
      </c>
      <c r="H26" s="117">
        <v>0.35</v>
      </c>
      <c r="I26" s="216">
        <f>47366.62</f>
        <v>47366.62</v>
      </c>
      <c r="J26" s="202">
        <f>+H26*I26</f>
        <v>16578.316999999999</v>
      </c>
      <c r="K26" s="105"/>
      <c r="L26" s="44"/>
    </row>
    <row r="27" spans="1:12" ht="15.75" x14ac:dyDescent="0.25">
      <c r="C27" s="90" t="s">
        <v>37</v>
      </c>
      <c r="D27" s="17">
        <f>SUM(D22:D26)</f>
        <v>310000</v>
      </c>
      <c r="E27" s="17">
        <f>SUM(E22:E26)</f>
        <v>20000</v>
      </c>
      <c r="F27" s="17">
        <f>SUM(F22:F26)</f>
        <v>0</v>
      </c>
      <c r="G27" s="17">
        <f>SUM(G22:G26)</f>
        <v>330000</v>
      </c>
      <c r="H27" s="107">
        <f>(H25*G25)+(H24*G24)+(H26*G26)+(G22*H22)+(G23*H23)</f>
        <v>113500</v>
      </c>
      <c r="I27" s="190">
        <f>SUM(I22:I26)</f>
        <v>273533.18</v>
      </c>
      <c r="J27" s="254">
        <f>SUM(J22:J26)</f>
        <v>95014.905000000013</v>
      </c>
      <c r="K27" s="106"/>
      <c r="L27" s="45"/>
    </row>
    <row r="28" spans="1:12" ht="15.75" x14ac:dyDescent="0.25">
      <c r="A28" s="34"/>
      <c r="B28" s="90" t="s">
        <v>451</v>
      </c>
      <c r="C28" s="282" t="s">
        <v>452</v>
      </c>
      <c r="D28" s="283"/>
      <c r="E28" s="283"/>
      <c r="F28" s="283"/>
      <c r="G28" s="283"/>
      <c r="H28" s="283"/>
      <c r="I28" s="283"/>
      <c r="J28" s="283"/>
      <c r="K28" s="284"/>
      <c r="L28" s="43"/>
    </row>
    <row r="29" spans="1:12" ht="31.5" x14ac:dyDescent="0.25">
      <c r="A29" s="34"/>
      <c r="B29" s="242" t="s">
        <v>453</v>
      </c>
      <c r="C29" s="227" t="s">
        <v>454</v>
      </c>
      <c r="D29" s="244">
        <v>197782</v>
      </c>
      <c r="E29" s="244"/>
      <c r="F29" s="244">
        <v>125000</v>
      </c>
      <c r="G29" s="119">
        <f>SUM(D29:F29)</f>
        <v>322782</v>
      </c>
      <c r="H29" s="117">
        <v>0.5</v>
      </c>
      <c r="I29" s="216">
        <f>186483.37+67803.98-1628+35147.79</f>
        <v>287807.13999999996</v>
      </c>
      <c r="J29" s="202">
        <f>+H29*I29</f>
        <v>143903.56999999998</v>
      </c>
      <c r="K29" s="105"/>
      <c r="L29" s="44"/>
    </row>
    <row r="30" spans="1:12" ht="78.75" x14ac:dyDescent="0.25">
      <c r="A30" s="34"/>
      <c r="B30" s="242" t="s">
        <v>455</v>
      </c>
      <c r="C30" s="227" t="s">
        <v>456</v>
      </c>
      <c r="D30" s="244">
        <v>70000</v>
      </c>
      <c r="E30" s="244"/>
      <c r="F30" s="244"/>
      <c r="G30" s="119">
        <f>SUM(D30:F30)</f>
        <v>70000</v>
      </c>
      <c r="H30" s="117">
        <v>0.4</v>
      </c>
      <c r="I30" s="216">
        <v>67927.470000000016</v>
      </c>
      <c r="J30" s="202">
        <f>+H30*I30</f>
        <v>27170.988000000008</v>
      </c>
      <c r="K30" s="105"/>
      <c r="L30" s="44"/>
    </row>
    <row r="31" spans="1:12" ht="15.75" x14ac:dyDescent="0.25">
      <c r="C31" s="90" t="s">
        <v>37</v>
      </c>
      <c r="D31" s="17">
        <f>SUM(D29:D30)</f>
        <v>267782</v>
      </c>
      <c r="E31" s="17">
        <f>SUM(E29:E30)</f>
        <v>0</v>
      </c>
      <c r="F31" s="17">
        <f>SUM(F29:F30)</f>
        <v>125000</v>
      </c>
      <c r="G31" s="17">
        <f>SUM(G29:G30)</f>
        <v>392782</v>
      </c>
      <c r="H31" s="107">
        <f>(G29*H29)+(G30*H30)</f>
        <v>189391</v>
      </c>
      <c r="I31" s="190">
        <f>SUM(I29:I30)</f>
        <v>355734.61</v>
      </c>
      <c r="J31" s="254">
        <f>SUM(J29:J30)</f>
        <v>171074.55799999999</v>
      </c>
      <c r="K31" s="106"/>
      <c r="L31" s="45"/>
    </row>
    <row r="32" spans="1:12" ht="15.75" x14ac:dyDescent="0.25">
      <c r="A32" s="34"/>
      <c r="B32" s="90" t="s">
        <v>457</v>
      </c>
      <c r="C32" s="282" t="s">
        <v>458</v>
      </c>
      <c r="D32" s="283"/>
      <c r="E32" s="283"/>
      <c r="F32" s="283"/>
      <c r="G32" s="283"/>
      <c r="H32" s="283"/>
      <c r="I32" s="283"/>
      <c r="J32" s="283"/>
      <c r="K32" s="284"/>
      <c r="L32" s="43"/>
    </row>
    <row r="33" spans="1:12" ht="47.25" x14ac:dyDescent="0.25">
      <c r="A33" s="34"/>
      <c r="B33" s="242" t="s">
        <v>459</v>
      </c>
      <c r="C33" s="227" t="s">
        <v>460</v>
      </c>
      <c r="D33" s="244">
        <v>80000</v>
      </c>
      <c r="E33" s="244"/>
      <c r="F33" s="244"/>
      <c r="G33" s="119">
        <f>SUM(D33:F33)</f>
        <v>80000</v>
      </c>
      <c r="H33" s="117">
        <v>0.4</v>
      </c>
      <c r="I33" s="216">
        <f>55207.14+20131.09</f>
        <v>75338.23</v>
      </c>
      <c r="J33" s="202">
        <f>+H33*I33</f>
        <v>30135.292000000001</v>
      </c>
      <c r="K33" s="105"/>
      <c r="L33" s="44"/>
    </row>
    <row r="34" spans="1:12" ht="31.5" x14ac:dyDescent="0.25">
      <c r="A34" s="34"/>
      <c r="B34" s="242" t="s">
        <v>461</v>
      </c>
      <c r="C34" s="227" t="s">
        <v>462</v>
      </c>
      <c r="D34" s="244">
        <v>10000</v>
      </c>
      <c r="E34" s="244"/>
      <c r="F34" s="244"/>
      <c r="G34" s="119">
        <f>SUM(D34:F34)</f>
        <v>10000</v>
      </c>
      <c r="H34" s="117">
        <v>0.15</v>
      </c>
      <c r="I34" s="216">
        <f>6475+796.01+921.66+200.18-143.46</f>
        <v>8249.3900000000012</v>
      </c>
      <c r="J34" s="202">
        <f>+H34*I34</f>
        <v>1237.4085000000002</v>
      </c>
      <c r="K34" s="105"/>
      <c r="L34" s="44"/>
    </row>
    <row r="35" spans="1:12" ht="15.75" x14ac:dyDescent="0.25">
      <c r="C35" s="90" t="s">
        <v>37</v>
      </c>
      <c r="D35" s="17">
        <f>SUM(D33:D34)</f>
        <v>90000</v>
      </c>
      <c r="E35" s="17">
        <f>SUM(E33:E34)</f>
        <v>0</v>
      </c>
      <c r="F35" s="17">
        <f>SUM(F33:F34)</f>
        <v>0</v>
      </c>
      <c r="G35" s="17">
        <f>SUM(G33:G34)</f>
        <v>90000</v>
      </c>
      <c r="H35" s="107">
        <f>(G33*H33)+(G34*H34)</f>
        <v>33500</v>
      </c>
      <c r="I35" s="190">
        <f>SUM(I33:I34)</f>
        <v>83587.62</v>
      </c>
      <c r="J35" s="254">
        <f>SUM(J33:J34)</f>
        <v>31372.700500000003</v>
      </c>
      <c r="K35" s="106"/>
      <c r="L35" s="45"/>
    </row>
    <row r="36" spans="1:12" ht="15.75" customHeight="1" x14ac:dyDescent="0.25">
      <c r="B36" s="7"/>
      <c r="C36" s="11"/>
      <c r="D36" s="22"/>
      <c r="E36" s="22"/>
      <c r="F36" s="22"/>
      <c r="G36" s="22"/>
      <c r="H36" s="22"/>
      <c r="I36" s="192"/>
      <c r="J36" s="22"/>
      <c r="K36" s="11"/>
      <c r="L36" s="4"/>
    </row>
    <row r="37" spans="1:12" ht="15.75" customHeight="1" x14ac:dyDescent="0.25">
      <c r="B37" s="7"/>
      <c r="C37" s="11"/>
      <c r="D37" s="22"/>
      <c r="E37" s="22"/>
      <c r="F37" s="22"/>
      <c r="G37" s="22"/>
      <c r="H37" s="22"/>
      <c r="I37" s="192"/>
      <c r="J37" s="22"/>
      <c r="K37" s="11"/>
      <c r="L37" s="4"/>
    </row>
    <row r="38" spans="1:12" ht="114" customHeight="1" x14ac:dyDescent="0.25">
      <c r="B38" s="90" t="s">
        <v>398</v>
      </c>
      <c r="C38" s="183"/>
      <c r="D38" s="185">
        <v>474000</v>
      </c>
      <c r="E38" s="185">
        <v>55000</v>
      </c>
      <c r="F38" s="185">
        <v>30000</v>
      </c>
      <c r="G38" s="108">
        <f>SUM(D38:F38)</f>
        <v>559000</v>
      </c>
      <c r="H38" s="234"/>
      <c r="I38" s="216">
        <f>456498.55+61957.68</f>
        <v>518456.23</v>
      </c>
      <c r="J38" s="202">
        <f>+H38*I38</f>
        <v>0</v>
      </c>
      <c r="K38" s="112"/>
      <c r="L38" s="45"/>
    </row>
    <row r="39" spans="1:12" ht="69.75" customHeight="1" x14ac:dyDescent="0.25">
      <c r="B39" s="90" t="s">
        <v>419</v>
      </c>
      <c r="C39" s="183" t="s">
        <v>422</v>
      </c>
      <c r="D39" s="185">
        <v>56776.92</v>
      </c>
      <c r="E39" s="185">
        <v>3600</v>
      </c>
      <c r="F39" s="185">
        <v>7500</v>
      </c>
      <c r="G39" s="108">
        <f>SUM(D39:F39)</f>
        <v>67876.92</v>
      </c>
      <c r="H39" s="117">
        <f>+J39/G39</f>
        <v>0</v>
      </c>
      <c r="I39" s="216">
        <f>63498.81+4927.02-4183.71</f>
        <v>64242.12</v>
      </c>
      <c r="J39" s="174"/>
      <c r="K39" s="112"/>
      <c r="L39" s="45"/>
    </row>
    <row r="40" spans="1:12" ht="57" customHeight="1" x14ac:dyDescent="0.25">
      <c r="B40" s="90" t="s">
        <v>399</v>
      </c>
      <c r="C40" s="184" t="s">
        <v>423</v>
      </c>
      <c r="D40" s="185">
        <v>55000</v>
      </c>
      <c r="E40" s="185">
        <v>8000</v>
      </c>
      <c r="F40" s="185">
        <v>8000</v>
      </c>
      <c r="G40" s="108">
        <f>SUM(D40:F40)</f>
        <v>71000</v>
      </c>
      <c r="H40" s="117">
        <v>0.5</v>
      </c>
      <c r="I40" s="249">
        <v>67249.599999999991</v>
      </c>
      <c r="J40" s="202">
        <f>+H40*I40</f>
        <v>33624.799999999996</v>
      </c>
      <c r="K40" s="112"/>
      <c r="L40" s="45"/>
    </row>
    <row r="41" spans="1:12" ht="65.25" customHeight="1" x14ac:dyDescent="0.25">
      <c r="B41" s="113" t="s">
        <v>403</v>
      </c>
      <c r="C41" s="183" t="s">
        <v>425</v>
      </c>
      <c r="D41" s="185">
        <v>40000</v>
      </c>
      <c r="E41" s="185"/>
      <c r="F41" s="185"/>
      <c r="G41" s="108">
        <f>SUM(D41:F41)</f>
        <v>40000</v>
      </c>
      <c r="H41" s="118"/>
      <c r="I41" s="193"/>
      <c r="J41" s="202">
        <f>+H41*I41</f>
        <v>0</v>
      </c>
      <c r="K41" s="112"/>
      <c r="L41" s="45"/>
    </row>
    <row r="42" spans="1:12" ht="21.75" customHeight="1" x14ac:dyDescent="0.25">
      <c r="B42" s="7"/>
      <c r="C42" s="114" t="s">
        <v>397</v>
      </c>
      <c r="D42" s="120">
        <f>SUM(D38:D41)</f>
        <v>625776.92000000004</v>
      </c>
      <c r="E42" s="120">
        <f>SUM(E38:E41)</f>
        <v>66600</v>
      </c>
      <c r="F42" s="120">
        <f>SUM(F38:F41)</f>
        <v>45500</v>
      </c>
      <c r="G42" s="120">
        <f>SUM(G38:G41)</f>
        <v>737876.92</v>
      </c>
      <c r="H42" s="107">
        <f>(H38*G38)+(H39*G39)+(H40*G40)+(H41*G41)</f>
        <v>35500</v>
      </c>
      <c r="I42" s="191">
        <f>SUM(I38:I41)</f>
        <v>649947.94999999995</v>
      </c>
      <c r="J42" s="253">
        <f>SUM(J38:J41)</f>
        <v>33624.799999999996</v>
      </c>
      <c r="K42" s="15"/>
      <c r="L42" s="13"/>
    </row>
    <row r="43" spans="1:12" ht="15.75" customHeight="1" x14ac:dyDescent="0.25">
      <c r="B43" s="7"/>
      <c r="C43" s="11"/>
      <c r="D43" s="22"/>
      <c r="E43" s="22"/>
      <c r="F43" s="22"/>
      <c r="G43" s="22"/>
      <c r="H43" s="22"/>
      <c r="I43" s="192"/>
      <c r="J43" s="22"/>
      <c r="K43" s="11"/>
      <c r="L43" s="13"/>
    </row>
    <row r="44" spans="1:12" ht="15.75" customHeight="1" x14ac:dyDescent="0.25">
      <c r="B44" s="7"/>
      <c r="C44" s="11"/>
      <c r="D44" s="22"/>
      <c r="E44" s="22"/>
      <c r="F44" s="22"/>
      <c r="G44" s="22"/>
      <c r="H44" s="22"/>
      <c r="I44" s="192"/>
      <c r="L44" s="13"/>
    </row>
    <row r="45" spans="1:12" ht="15.75" customHeight="1" x14ac:dyDescent="0.25">
      <c r="B45" s="7"/>
      <c r="C45" s="11"/>
      <c r="D45" s="22"/>
      <c r="E45" s="22"/>
      <c r="F45" s="22"/>
      <c r="G45" s="22"/>
      <c r="H45" s="22"/>
      <c r="I45" s="192"/>
      <c r="J45" s="22"/>
      <c r="K45" s="11"/>
      <c r="L45" s="13"/>
    </row>
    <row r="46" spans="1:12" ht="15.75" customHeight="1" x14ac:dyDescent="0.25">
      <c r="B46" s="7"/>
      <c r="C46" s="11"/>
      <c r="D46" s="22"/>
      <c r="E46" s="22"/>
      <c r="F46" s="22"/>
      <c r="G46" s="22"/>
      <c r="H46" s="22"/>
      <c r="I46" s="192"/>
      <c r="J46" s="22"/>
      <c r="K46" s="11"/>
      <c r="L46" s="13"/>
    </row>
    <row r="47" spans="1:12" ht="15.75" customHeight="1" x14ac:dyDescent="0.25">
      <c r="B47" s="7"/>
      <c r="C47" s="11"/>
      <c r="D47" s="22"/>
      <c r="E47" s="22"/>
      <c r="F47" s="22"/>
      <c r="G47" s="22"/>
      <c r="H47" s="22"/>
      <c r="I47" s="192"/>
      <c r="J47" s="22"/>
      <c r="K47" s="11"/>
      <c r="L47" s="13"/>
    </row>
    <row r="48" spans="1:12" ht="15.75" customHeight="1" x14ac:dyDescent="0.25">
      <c r="B48" s="7"/>
      <c r="C48" s="11"/>
      <c r="D48" s="22"/>
      <c r="E48" s="22"/>
      <c r="F48" s="22"/>
      <c r="G48" s="22"/>
      <c r="H48" s="22"/>
      <c r="I48" s="192"/>
      <c r="J48" s="22"/>
      <c r="K48" s="11"/>
      <c r="L48" s="13"/>
    </row>
    <row r="49" spans="2:12" ht="15.75" customHeight="1" thickBot="1" x14ac:dyDescent="0.3">
      <c r="B49" s="7"/>
      <c r="C49" s="11"/>
      <c r="D49" s="22"/>
      <c r="E49" s="22"/>
      <c r="F49" s="22"/>
      <c r="G49" s="22"/>
      <c r="H49" s="22"/>
      <c r="I49" s="192"/>
      <c r="J49" s="22"/>
      <c r="K49" s="11"/>
      <c r="L49" s="13"/>
    </row>
    <row r="50" spans="2:12" ht="15.75" x14ac:dyDescent="0.25">
      <c r="B50" s="7"/>
      <c r="C50" s="279" t="s">
        <v>16</v>
      </c>
      <c r="D50" s="280"/>
      <c r="E50" s="280"/>
      <c r="F50" s="280"/>
      <c r="G50" s="281"/>
      <c r="H50" s="13"/>
      <c r="I50" s="192"/>
      <c r="J50" s="22"/>
      <c r="K50" s="13"/>
    </row>
    <row r="51" spans="2:12" ht="40.5" customHeight="1" x14ac:dyDescent="0.25">
      <c r="B51" s="7"/>
      <c r="C51" s="265"/>
      <c r="D51" s="277" t="str">
        <f>D4</f>
        <v>Recipient Organization 1
UNDP</v>
      </c>
      <c r="E51" s="277" t="str">
        <f>E4</f>
        <v>Recipient Organization 2
UNFPA</v>
      </c>
      <c r="F51" s="277" t="str">
        <f>F4</f>
        <v>Recipient Organization 3
WFP</v>
      </c>
      <c r="G51" s="267" t="s">
        <v>35</v>
      </c>
      <c r="H51" s="11"/>
      <c r="I51" s="192"/>
      <c r="J51" s="22"/>
      <c r="K51" s="13"/>
    </row>
    <row r="52" spans="2:12" ht="24.75" customHeight="1" x14ac:dyDescent="0.25">
      <c r="B52" s="7"/>
      <c r="C52" s="266"/>
      <c r="D52" s="278"/>
      <c r="E52" s="278"/>
      <c r="F52" s="278"/>
      <c r="G52" s="268"/>
      <c r="H52" s="11"/>
      <c r="I52" s="192"/>
      <c r="J52" s="22"/>
      <c r="K52" s="13"/>
    </row>
    <row r="53" spans="2:12" ht="41.25" customHeight="1" x14ac:dyDescent="0.25">
      <c r="B53" s="23"/>
      <c r="C53" s="109" t="s">
        <v>34</v>
      </c>
      <c r="D53" s="91">
        <f>SUM(D10,D16,D19,D38,D39,D40,D41)+SUM(D27,D31,D35)</f>
        <v>1572058.92</v>
      </c>
      <c r="E53" s="91">
        <f>SUM(E10,E16,E19,E38,E39,E40,E41)+SUM(E27,E31,E35)</f>
        <v>126600</v>
      </c>
      <c r="F53" s="91">
        <f>SUM(F10,F16,F19,F38,F39,F40,F41)+SUM(F27,F31,F35)</f>
        <v>170500</v>
      </c>
      <c r="G53" s="110">
        <f>SUM(D53:F53)</f>
        <v>1869158.92</v>
      </c>
      <c r="H53" s="11"/>
      <c r="I53" s="192"/>
      <c r="J53" s="22"/>
      <c r="K53" s="14"/>
    </row>
    <row r="54" spans="2:12" ht="51.75" customHeight="1" x14ac:dyDescent="0.25">
      <c r="B54" s="5"/>
      <c r="C54" s="109" t="s">
        <v>7</v>
      </c>
      <c r="D54" s="91">
        <f>D53*0.07</f>
        <v>110044.1244</v>
      </c>
      <c r="E54" s="91">
        <f>E53*0.07</f>
        <v>8862</v>
      </c>
      <c r="F54" s="91">
        <f>F53*0.07</f>
        <v>11935.000000000002</v>
      </c>
      <c r="G54" s="110">
        <f>G53*0.07</f>
        <v>130841.1244</v>
      </c>
      <c r="H54" s="5"/>
      <c r="I54" s="192">
        <f>+'2) By Category'!G95</f>
        <v>114432.6029</v>
      </c>
      <c r="J54" s="22"/>
      <c r="K54" s="2"/>
    </row>
    <row r="55" spans="2:12" ht="51.75" customHeight="1" thickBot="1" x14ac:dyDescent="0.3">
      <c r="B55" s="5"/>
      <c r="C55" s="26" t="s">
        <v>35</v>
      </c>
      <c r="D55" s="96">
        <f>SUM(D53:D54)</f>
        <v>1682103.0444</v>
      </c>
      <c r="E55" s="96">
        <f>SUM(E53:E54)</f>
        <v>135462</v>
      </c>
      <c r="F55" s="96">
        <f>SUM(F53:F54)</f>
        <v>182435</v>
      </c>
      <c r="G55" s="111">
        <f>SUM(G53:G54)</f>
        <v>2000000.0444</v>
      </c>
      <c r="H55" s="5"/>
      <c r="K55" s="2"/>
    </row>
    <row r="56" spans="2:12" ht="42" customHeight="1" x14ac:dyDescent="0.25">
      <c r="B56" s="5"/>
      <c r="I56" s="195"/>
      <c r="J56" s="157"/>
      <c r="K56" s="4"/>
      <c r="L56" s="2"/>
    </row>
    <row r="57" spans="2:12" s="34" customFormat="1" ht="29.25" customHeight="1" thickBot="1" x14ac:dyDescent="0.3">
      <c r="B57" s="11"/>
      <c r="C57" s="28"/>
      <c r="D57" s="29"/>
      <c r="E57" s="29"/>
      <c r="F57" s="29"/>
      <c r="G57" s="29"/>
      <c r="H57" s="29"/>
      <c r="I57" s="196"/>
      <c r="J57" s="159"/>
      <c r="K57" s="13"/>
      <c r="L57" s="14"/>
    </row>
    <row r="58" spans="2:12" ht="23.25" customHeight="1" x14ac:dyDescent="0.25">
      <c r="B58" s="2"/>
      <c r="C58" s="260" t="s">
        <v>25</v>
      </c>
      <c r="D58" s="261"/>
      <c r="E58" s="261"/>
      <c r="F58" s="261"/>
      <c r="G58" s="261"/>
      <c r="H58" s="262"/>
      <c r="I58" s="196"/>
      <c r="J58" s="159"/>
      <c r="K58" s="2"/>
      <c r="L58" s="35"/>
    </row>
    <row r="59" spans="2:12" ht="41.25" customHeight="1" x14ac:dyDescent="0.25">
      <c r="B59" s="2"/>
      <c r="C59" s="92"/>
      <c r="D59" s="275" t="str">
        <f>D4</f>
        <v>Recipient Organization 1
UNDP</v>
      </c>
      <c r="E59" s="275" t="str">
        <f>E4</f>
        <v>Recipient Organization 2
UNFPA</v>
      </c>
      <c r="F59" s="275" t="str">
        <f>F4</f>
        <v>Recipient Organization 3
WFP</v>
      </c>
      <c r="G59" s="269" t="s">
        <v>35</v>
      </c>
      <c r="H59" s="271" t="s">
        <v>27</v>
      </c>
      <c r="I59" s="196"/>
      <c r="J59" s="159"/>
      <c r="K59" s="2"/>
      <c r="L59" s="35"/>
    </row>
    <row r="60" spans="2:12" ht="27.75" customHeight="1" x14ac:dyDescent="0.25">
      <c r="B60" s="2"/>
      <c r="C60" s="92"/>
      <c r="D60" s="276"/>
      <c r="E60" s="276"/>
      <c r="F60" s="276"/>
      <c r="G60" s="270"/>
      <c r="H60" s="272"/>
      <c r="I60" s="197"/>
      <c r="J60" s="156"/>
      <c r="K60" s="2"/>
      <c r="L60" s="35"/>
    </row>
    <row r="61" spans="2:12" ht="55.5" customHeight="1" x14ac:dyDescent="0.25">
      <c r="B61" s="2"/>
      <c r="C61" s="25" t="s">
        <v>26</v>
      </c>
      <c r="D61" s="94">
        <f>$D$55*H61</f>
        <v>841051.52220000001</v>
      </c>
      <c r="E61" s="95">
        <f>$E$55*H61</f>
        <v>67731</v>
      </c>
      <c r="F61" s="95">
        <f>$F$55*H61</f>
        <v>91217.5</v>
      </c>
      <c r="G61" s="95">
        <f>SUM(D61:F61)</f>
        <v>1000000.0222</v>
      </c>
      <c r="H61" s="130">
        <v>0.5</v>
      </c>
      <c r="I61" s="197"/>
      <c r="J61" s="156"/>
      <c r="K61" s="2"/>
      <c r="L61" s="35"/>
    </row>
    <row r="62" spans="2:12" ht="57.75" customHeight="1" x14ac:dyDescent="0.25">
      <c r="B62" s="259"/>
      <c r="C62" s="115" t="s">
        <v>28</v>
      </c>
      <c r="D62" s="94">
        <f>$D$55*H62</f>
        <v>504630.91331999999</v>
      </c>
      <c r="E62" s="95">
        <f>$E$55*H62</f>
        <v>40638.6</v>
      </c>
      <c r="F62" s="95">
        <f>$F$55*H62</f>
        <v>54730.5</v>
      </c>
      <c r="G62" s="116">
        <f>SUM(D62:F62)</f>
        <v>600000.01332000003</v>
      </c>
      <c r="H62" s="131">
        <v>0.3</v>
      </c>
      <c r="I62" s="198"/>
      <c r="J62" s="158"/>
      <c r="K62" s="35"/>
      <c r="L62" s="35"/>
    </row>
    <row r="63" spans="2:12" ht="57.75" customHeight="1" x14ac:dyDescent="0.25">
      <c r="B63" s="259"/>
      <c r="C63" s="115" t="s">
        <v>407</v>
      </c>
      <c r="D63" s="94">
        <f>$D$55*H63</f>
        <v>336420.60888000001</v>
      </c>
      <c r="E63" s="95">
        <f>$E$55*H63</f>
        <v>27092.400000000001</v>
      </c>
      <c r="F63" s="95">
        <f>$F$55*H63</f>
        <v>36487</v>
      </c>
      <c r="G63" s="116">
        <f>SUM(D63:F63)</f>
        <v>400000.00888000004</v>
      </c>
      <c r="H63" s="132">
        <v>0.2</v>
      </c>
      <c r="I63" s="199"/>
      <c r="J63" s="160"/>
      <c r="K63" s="35"/>
      <c r="L63" s="35"/>
    </row>
    <row r="64" spans="2:12" ht="38.25" customHeight="1" thickBot="1" x14ac:dyDescent="0.3">
      <c r="B64" s="259"/>
      <c r="C64" s="26" t="s">
        <v>402</v>
      </c>
      <c r="D64" s="96">
        <f>SUM(D61:D63)</f>
        <v>1682103.0444</v>
      </c>
      <c r="E64" s="96">
        <f>SUM(E61:E63)</f>
        <v>135462</v>
      </c>
      <c r="F64" s="96">
        <f>SUM(F61:F63)</f>
        <v>182435</v>
      </c>
      <c r="G64" s="96">
        <f>SUM(G61:G63)</f>
        <v>2000000.0444</v>
      </c>
      <c r="H64" s="97">
        <f>SUM(H61:H63)</f>
        <v>1</v>
      </c>
      <c r="I64" s="195"/>
      <c r="J64" s="157"/>
      <c r="K64" s="35"/>
      <c r="L64" s="35"/>
    </row>
    <row r="65" spans="1:14" ht="38.25" customHeight="1" thickBot="1" x14ac:dyDescent="0.3">
      <c r="B65" s="259"/>
      <c r="C65" s="3"/>
      <c r="D65" s="8"/>
      <c r="E65" s="8"/>
      <c r="F65" s="8"/>
      <c r="G65" s="8"/>
      <c r="H65" s="8"/>
      <c r="I65" s="195"/>
      <c r="J65" s="157"/>
      <c r="K65" s="208"/>
      <c r="L65" s="35"/>
    </row>
    <row r="66" spans="1:14" ht="49.5" customHeight="1" x14ac:dyDescent="0.25">
      <c r="B66" s="259"/>
      <c r="C66" s="98" t="s">
        <v>415</v>
      </c>
      <c r="D66" s="99">
        <f>SUM(H10,H16,H19,H42,H35,H27,H31)*1.07</f>
        <v>495346.87000000005</v>
      </c>
      <c r="E66" s="29"/>
      <c r="F66" s="250"/>
      <c r="G66" s="29"/>
      <c r="H66" s="162" t="s">
        <v>468</v>
      </c>
      <c r="I66" s="200">
        <f>SUM(I42,I35,I31,I27,I19,I16,I10)+I54</f>
        <v>1749184.0729</v>
      </c>
      <c r="J66" s="175"/>
      <c r="K66" s="211"/>
      <c r="L66" s="35"/>
    </row>
    <row r="67" spans="1:14" ht="28.5" customHeight="1" thickBot="1" x14ac:dyDescent="0.3">
      <c r="B67" s="259"/>
      <c r="C67" s="100" t="s">
        <v>13</v>
      </c>
      <c r="D67" s="155">
        <f>D66/G55</f>
        <v>0.24767342950164989</v>
      </c>
      <c r="E67" s="37"/>
      <c r="F67" s="251"/>
      <c r="G67" s="37"/>
      <c r="H67" s="163" t="s">
        <v>424</v>
      </c>
      <c r="I67" s="257">
        <f>I66/G53</f>
        <v>0.93581345822644124</v>
      </c>
      <c r="J67" s="176"/>
      <c r="K67" s="211"/>
      <c r="L67" s="35"/>
      <c r="N67" s="209"/>
    </row>
    <row r="68" spans="1:14" ht="28.5" customHeight="1" x14ac:dyDescent="0.25">
      <c r="B68" s="259"/>
      <c r="C68" s="273"/>
      <c r="D68" s="274"/>
      <c r="E68" s="38"/>
      <c r="F68" s="38"/>
      <c r="G68" s="38"/>
      <c r="K68" s="211"/>
      <c r="L68" s="35"/>
      <c r="N68" s="210"/>
    </row>
    <row r="69" spans="1:14" ht="32.25" customHeight="1" x14ac:dyDescent="0.25">
      <c r="B69" s="259"/>
      <c r="C69" s="100" t="s">
        <v>416</v>
      </c>
      <c r="D69" s="101">
        <f>SUM(D40:F41)*1.07</f>
        <v>118770</v>
      </c>
      <c r="E69" s="39"/>
      <c r="F69" s="39"/>
      <c r="G69" s="39"/>
      <c r="H69" s="39"/>
      <c r="J69" s="176"/>
      <c r="K69" s="35"/>
      <c r="L69" s="35"/>
      <c r="N69" s="209"/>
    </row>
    <row r="70" spans="1:14" ht="23.25" customHeight="1" x14ac:dyDescent="0.25">
      <c r="B70" s="259"/>
      <c r="C70" s="100" t="s">
        <v>14</v>
      </c>
      <c r="D70" s="155">
        <f>D69/G55</f>
        <v>5.9384998681653027E-2</v>
      </c>
      <c r="E70" s="39"/>
      <c r="F70" s="22"/>
      <c r="G70" s="255"/>
      <c r="H70" s="39"/>
      <c r="K70" s="35"/>
      <c r="L70" s="35"/>
    </row>
    <row r="71" spans="1:14" ht="66.75" customHeight="1" thickBot="1" x14ac:dyDescent="0.3">
      <c r="B71" s="259"/>
      <c r="C71" s="263" t="s">
        <v>412</v>
      </c>
      <c r="D71" s="264"/>
      <c r="E71" s="30"/>
      <c r="F71" s="30"/>
      <c r="G71" s="256"/>
      <c r="H71" s="39"/>
      <c r="K71" s="35"/>
      <c r="L71" s="35"/>
    </row>
    <row r="72" spans="1:14" ht="55.5" customHeight="1" x14ac:dyDescent="0.25">
      <c r="B72" s="259"/>
      <c r="L72" s="34"/>
    </row>
    <row r="73" spans="1:14" ht="42.75" customHeight="1" x14ac:dyDescent="0.25">
      <c r="B73" s="259"/>
      <c r="K73" s="35"/>
    </row>
    <row r="74" spans="1:14" ht="21.75" customHeight="1" x14ac:dyDescent="0.25">
      <c r="B74" s="259"/>
      <c r="K74" s="35"/>
    </row>
    <row r="75" spans="1:14" ht="21.75" customHeight="1" x14ac:dyDescent="0.25">
      <c r="A75" s="35"/>
      <c r="B75" s="259"/>
    </row>
    <row r="76" spans="1:14" s="35" customFormat="1" ht="23.25" customHeight="1" x14ac:dyDescent="0.25">
      <c r="A76" s="33"/>
      <c r="B76" s="259"/>
      <c r="C76" s="33"/>
      <c r="D76" s="33"/>
      <c r="E76" s="33"/>
      <c r="F76" s="33"/>
      <c r="G76" s="33"/>
      <c r="H76" s="33"/>
      <c r="I76" s="194"/>
      <c r="J76" s="173"/>
      <c r="K76" s="33"/>
      <c r="L76" s="33"/>
    </row>
    <row r="77" spans="1:14" ht="23.25" customHeight="1" x14ac:dyDescent="0.25"/>
    <row r="78" spans="1:14" ht="21.75" customHeight="1" x14ac:dyDescent="0.25"/>
    <row r="79" spans="1:14" ht="16.5" customHeight="1" x14ac:dyDescent="0.25"/>
    <row r="80" spans="1:14" ht="29.25" customHeight="1" x14ac:dyDescent="0.25"/>
    <row r="81" ht="24.75" customHeight="1" x14ac:dyDescent="0.25"/>
    <row r="82" ht="33" customHeight="1" x14ac:dyDescent="0.25"/>
    <row r="84" ht="15" customHeight="1" x14ac:dyDescent="0.25"/>
    <row r="85" ht="25.5" customHeight="1" x14ac:dyDescent="0.25"/>
  </sheetData>
  <sheetProtection formatCells="0" formatColumns="0" formatRows="0"/>
  <mergeCells count="25">
    <mergeCell ref="C50:G50"/>
    <mergeCell ref="C32:K32"/>
    <mergeCell ref="B1:E1"/>
    <mergeCell ref="C11:K11"/>
    <mergeCell ref="C6:K6"/>
    <mergeCell ref="C17:K17"/>
    <mergeCell ref="B2:E2"/>
    <mergeCell ref="C5:K5"/>
    <mergeCell ref="C28:K28"/>
    <mergeCell ref="C20:K20"/>
    <mergeCell ref="C21:K21"/>
    <mergeCell ref="B62:B76"/>
    <mergeCell ref="C58:H58"/>
    <mergeCell ref="C71:D71"/>
    <mergeCell ref="C51:C52"/>
    <mergeCell ref="G51:G52"/>
    <mergeCell ref="G59:G60"/>
    <mergeCell ref="H59:H60"/>
    <mergeCell ref="C68:D68"/>
    <mergeCell ref="F59:F60"/>
    <mergeCell ref="D59:D60"/>
    <mergeCell ref="E59:E60"/>
    <mergeCell ref="D51:D52"/>
    <mergeCell ref="E51:E52"/>
    <mergeCell ref="F51:F52"/>
  </mergeCells>
  <conditionalFormatting sqref="D67">
    <cfRule type="cellIs" dxfId="16" priority="46" operator="lessThan">
      <formula>0.15</formula>
    </cfRule>
  </conditionalFormatting>
  <conditionalFormatting sqref="D70">
    <cfRule type="cellIs" dxfId="15" priority="44" operator="lessThan">
      <formula>0.05</formula>
    </cfRule>
  </conditionalFormatting>
  <conditionalFormatting sqref="H64 I63:J63">
    <cfRule type="cellIs" dxfId="14" priority="1" operator="greaterThan">
      <formula>1</formula>
    </cfRule>
  </conditionalFormatting>
  <dataValidations xWindow="431" yWindow="475" count="6">
    <dataValidation allowBlank="1" showInputMessage="1" showErrorMessage="1" prompt="% Towards Gender Equality and Women's Empowerment Must be Higher than 15%_x000a_" sqref="D67:G67" xr:uid="{E72508C7-C8DD-46A5-878C-E4FA07CAB6AF}"/>
    <dataValidation allowBlank="1" showInputMessage="1" showErrorMessage="1" prompt="M&amp;E Budget Cannot be Less than 5%_x000a_" sqref="D70:G70" xr:uid="{53928C0A-D548-4B6B-97FC-07D38B0E5FA7}"/>
    <dataValidation allowBlank="1" showInputMessage="1" showErrorMessage="1" prompt="Insert *text* description of Outcome here" sqref="C5:K5" xr:uid="{808CED60-1CE3-4AE7-B128-5DE507A98037}"/>
    <dataValidation allowBlank="1" showInputMessage="1" showErrorMessage="1" prompt="Insert *text* description of Output here" sqref="C6 C11 C20:C21 C28 C32 C17:C18" xr:uid="{31AC9CA6-D499-4711-A99F-BECD0A64F3A8}"/>
    <dataValidation allowBlank="1" showInputMessage="1" showErrorMessage="1" prompt="Insert *text* description of Activity here" sqref="C12 C33 C22 C29 C7:C9" xr:uid="{E7A390F5-03DD-4A67-B842-17326B4F2DA4}"/>
    <dataValidation allowBlank="1" showErrorMessage="1" prompt="% Towards Gender Equality and Women's Empowerment Must be Higher than 15%_x000a_" sqref="D69:G69" xr:uid="{8C6643DA-1D03-44FB-AC1F-C4CB706ED3AA}"/>
  </dataValidations>
  <pageMargins left="0.7" right="0.7" top="0.75" bottom="0.75" header="0.3" footer="0.3"/>
  <pageSetup scale="74" orientation="landscape" r:id="rId1"/>
  <ignoredErrors>
    <ignoredError sqref="D51:F52 D59:F6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133"/>
  <sheetViews>
    <sheetView showGridLines="0" showZeros="0" topLeftCell="C1" zoomScale="80" zoomScaleNormal="80" workbookViewId="0">
      <pane ySplit="4" topLeftCell="A104" activePane="bottomLeft" state="frozen"/>
      <selection pane="bottomLeft" activeCell="D96" sqref="D96"/>
    </sheetView>
  </sheetViews>
  <sheetFormatPr defaultColWidth="9.28515625" defaultRowHeight="15.75" x14ac:dyDescent="0.25"/>
  <cols>
    <col min="1" max="1" width="4.42578125" style="48" customWidth="1"/>
    <col min="2" max="2" width="3.28515625" style="48" customWidth="1"/>
    <col min="3" max="3" width="51.42578125" style="48" customWidth="1"/>
    <col min="4" max="4" width="34.28515625" style="49" customWidth="1"/>
    <col min="5" max="5" width="35" style="49" customWidth="1"/>
    <col min="6" max="6" width="36.5703125" style="49" customWidth="1"/>
    <col min="7" max="7" width="25.7109375" style="48" customWidth="1"/>
    <col min="8" max="8" width="21.42578125" style="48" customWidth="1"/>
    <col min="9" max="9" width="16.7109375" style="214" customWidth="1"/>
    <col min="10" max="10" width="19.42578125" style="48" customWidth="1"/>
    <col min="11" max="11" width="19" style="48" customWidth="1"/>
    <col min="12" max="12" width="26" style="48" customWidth="1"/>
    <col min="13" max="13" width="21.28515625" style="48" customWidth="1"/>
    <col min="14" max="14" width="7" style="51" customWidth="1"/>
    <col min="15" max="15" width="24.28515625" style="48" customWidth="1"/>
    <col min="16" max="16" width="26.42578125" style="48" customWidth="1"/>
    <col min="17" max="17" width="30.28515625" style="48" customWidth="1"/>
    <col min="18" max="18" width="33" style="48" customWidth="1"/>
    <col min="19" max="20" width="22.7109375" style="48" customWidth="1"/>
    <col min="21" max="21" width="23.42578125" style="48" customWidth="1"/>
    <col min="22" max="22" width="32.28515625" style="48" customWidth="1"/>
    <col min="23" max="23" width="9.28515625" style="48"/>
    <col min="24" max="24" width="17.7109375" style="48" customWidth="1"/>
    <col min="25" max="25" width="26.42578125" style="48" customWidth="1"/>
    <col min="26" max="26" width="22.42578125" style="48" customWidth="1"/>
    <col min="27" max="27" width="29.7109375" style="48" customWidth="1"/>
    <col min="28" max="28" width="23.42578125" style="48" customWidth="1"/>
    <col min="29" max="29" width="18.42578125" style="48" customWidth="1"/>
    <col min="30" max="30" width="17.42578125" style="48" customWidth="1"/>
    <col min="31" max="31" width="25.28515625" style="48" customWidth="1"/>
    <col min="32" max="16384" width="9.28515625" style="48"/>
  </cols>
  <sheetData>
    <row r="1" spans="2:14" ht="31.5" customHeight="1" x14ac:dyDescent="0.7">
      <c r="C1" s="258" t="s">
        <v>396</v>
      </c>
      <c r="D1" s="258"/>
      <c r="E1" s="258"/>
      <c r="F1" s="258"/>
      <c r="G1" s="31"/>
      <c r="H1" s="32"/>
      <c r="I1" s="228"/>
      <c r="L1" s="19"/>
      <c r="M1" s="6"/>
      <c r="N1" s="48"/>
    </row>
    <row r="2" spans="2:14" ht="24" customHeight="1" x14ac:dyDescent="0.3">
      <c r="C2" s="291" t="s">
        <v>39</v>
      </c>
      <c r="D2" s="291"/>
      <c r="E2" s="291"/>
      <c r="F2" s="182"/>
      <c r="L2" s="19"/>
      <c r="M2" s="6"/>
      <c r="N2" s="48"/>
    </row>
    <row r="3" spans="2:14" ht="24" customHeight="1" x14ac:dyDescent="0.25">
      <c r="C3" s="42"/>
      <c r="D3" s="42"/>
      <c r="E3" s="42"/>
      <c r="F3" s="42"/>
      <c r="L3" s="19"/>
      <c r="M3" s="6"/>
      <c r="N3" s="48"/>
    </row>
    <row r="4" spans="2:14" ht="24" customHeight="1" x14ac:dyDescent="0.25">
      <c r="C4" s="42"/>
      <c r="D4" s="179" t="str">
        <f>'1) Budget Table'!D4</f>
        <v>Recipient Organization 1
UNDP</v>
      </c>
      <c r="E4" s="179" t="str">
        <f>'1) Budget Table'!E4</f>
        <v>Recipient Organization 2
UNFPA</v>
      </c>
      <c r="F4" s="179" t="str">
        <f>'1) Budget Table'!F4</f>
        <v>Recipient Organization 3
WFP</v>
      </c>
      <c r="G4" s="171" t="s">
        <v>35</v>
      </c>
      <c r="L4" s="19"/>
      <c r="M4" s="6"/>
      <c r="N4" s="48"/>
    </row>
    <row r="5" spans="2:14" ht="24" customHeight="1" x14ac:dyDescent="0.25">
      <c r="B5" s="295" t="s">
        <v>45</v>
      </c>
      <c r="C5" s="296"/>
      <c r="D5" s="296"/>
      <c r="E5" s="296"/>
      <c r="F5" s="296"/>
      <c r="G5" s="297"/>
      <c r="L5" s="19"/>
      <c r="M5" s="6"/>
      <c r="N5" s="48"/>
    </row>
    <row r="6" spans="2:14" ht="22.5" customHeight="1" x14ac:dyDescent="0.25">
      <c r="C6" s="295" t="s">
        <v>42</v>
      </c>
      <c r="D6" s="296"/>
      <c r="E6" s="296"/>
      <c r="F6" s="296"/>
      <c r="G6" s="297"/>
      <c r="L6" s="19"/>
      <c r="M6" s="6"/>
      <c r="N6" s="48"/>
    </row>
    <row r="7" spans="2:14" ht="24.75" customHeight="1" thickBot="1" x14ac:dyDescent="0.3">
      <c r="C7" s="58" t="s">
        <v>41</v>
      </c>
      <c r="D7" s="59">
        <f>'1) Budget Table'!D10</f>
        <v>130000</v>
      </c>
      <c r="E7" s="59">
        <f>'1) Budget Table'!E10</f>
        <v>30000</v>
      </c>
      <c r="F7" s="59">
        <f>'1) Budget Table'!F10</f>
        <v>0</v>
      </c>
      <c r="G7" s="60">
        <f>SUM(D7:F7)</f>
        <v>160000</v>
      </c>
      <c r="L7" s="19"/>
      <c r="M7" s="6"/>
      <c r="N7" s="48"/>
    </row>
    <row r="8" spans="2:14" ht="21.75" customHeight="1" x14ac:dyDescent="0.25">
      <c r="C8" s="56" t="s">
        <v>8</v>
      </c>
      <c r="D8" s="217"/>
      <c r="E8" s="226"/>
      <c r="F8" s="205"/>
      <c r="G8" s="57">
        <f t="shared" ref="G8:G15" si="0">SUM(D8:F8)</f>
        <v>0</v>
      </c>
      <c r="N8" s="48"/>
    </row>
    <row r="9" spans="2:14" x14ac:dyDescent="0.25">
      <c r="C9" s="46" t="s">
        <v>9</v>
      </c>
      <c r="D9" s="207">
        <v>11147.17</v>
      </c>
      <c r="E9" s="202">
        <v>7540</v>
      </c>
      <c r="F9" s="203"/>
      <c r="G9" s="55">
        <f t="shared" si="0"/>
        <v>18687.169999999998</v>
      </c>
      <c r="H9" s="212"/>
      <c r="N9" s="48"/>
    </row>
    <row r="10" spans="2:14" ht="15.75" customHeight="1" x14ac:dyDescent="0.25">
      <c r="C10" s="46" t="s">
        <v>10</v>
      </c>
      <c r="D10" s="204">
        <v>3951.12</v>
      </c>
      <c r="E10" s="207"/>
      <c r="F10" s="206"/>
      <c r="G10" s="55">
        <f t="shared" si="0"/>
        <v>3951.12</v>
      </c>
      <c r="H10" s="212"/>
      <c r="N10" s="48"/>
    </row>
    <row r="11" spans="2:14" x14ac:dyDescent="0.25">
      <c r="C11" s="47" t="s">
        <v>11</v>
      </c>
      <c r="D11" s="206">
        <v>50850.880000000005</v>
      </c>
      <c r="E11" s="207"/>
      <c r="F11" s="206"/>
      <c r="G11" s="55">
        <f t="shared" si="0"/>
        <v>50850.880000000005</v>
      </c>
      <c r="N11" s="48"/>
    </row>
    <row r="12" spans="2:14" x14ac:dyDescent="0.25">
      <c r="C12" s="46" t="s">
        <v>15</v>
      </c>
      <c r="D12" s="206"/>
      <c r="E12" s="207"/>
      <c r="F12" s="206"/>
      <c r="G12" s="55">
        <f t="shared" si="0"/>
        <v>0</v>
      </c>
      <c r="N12" s="48"/>
    </row>
    <row r="13" spans="2:14" ht="21.75" customHeight="1" x14ac:dyDescent="0.25">
      <c r="C13" s="46" t="s">
        <v>12</v>
      </c>
      <c r="D13" s="206"/>
      <c r="E13" s="207"/>
      <c r="F13" s="206"/>
      <c r="G13" s="55">
        <f t="shared" si="0"/>
        <v>0</v>
      </c>
      <c r="H13" s="212"/>
      <c r="N13" s="48"/>
    </row>
    <row r="14" spans="2:14" ht="21.75" customHeight="1" x14ac:dyDescent="0.25">
      <c r="C14" s="46" t="s">
        <v>40</v>
      </c>
      <c r="D14" s="207">
        <v>39921.199999999997</v>
      </c>
      <c r="E14" s="206">
        <v>13525</v>
      </c>
      <c r="F14" s="206"/>
      <c r="G14" s="55">
        <f t="shared" si="0"/>
        <v>53446.2</v>
      </c>
      <c r="H14" s="214"/>
      <c r="N14" s="48"/>
    </row>
    <row r="15" spans="2:14" ht="15.75" customHeight="1" x14ac:dyDescent="0.25">
      <c r="C15" s="50" t="s">
        <v>43</v>
      </c>
      <c r="D15" s="61">
        <f>SUM(D8:D14)</f>
        <v>105870.37000000001</v>
      </c>
      <c r="E15" s="61">
        <f>SUM(E8:E14)</f>
        <v>21065</v>
      </c>
      <c r="F15" s="61">
        <f>SUM(F8:F14)</f>
        <v>0</v>
      </c>
      <c r="G15" s="121">
        <f t="shared" si="0"/>
        <v>126935.37000000001</v>
      </c>
      <c r="H15" s="212"/>
      <c r="I15" s="248"/>
      <c r="J15" s="248"/>
      <c r="N15" s="48"/>
    </row>
    <row r="16" spans="2:14" s="49" customFormat="1" x14ac:dyDescent="0.25">
      <c r="C16" s="62"/>
      <c r="D16" s="63"/>
      <c r="E16" s="63"/>
      <c r="F16" s="63"/>
      <c r="G16" s="122"/>
      <c r="H16" s="221"/>
      <c r="I16" s="219"/>
      <c r="J16" s="221"/>
    </row>
    <row r="17" spans="3:14" x14ac:dyDescent="0.25">
      <c r="C17" s="295" t="s">
        <v>46</v>
      </c>
      <c r="D17" s="296"/>
      <c r="E17" s="296"/>
      <c r="F17" s="296"/>
      <c r="G17" s="297"/>
      <c r="N17" s="48"/>
    </row>
    <row r="18" spans="3:14" ht="27" customHeight="1" thickBot="1" x14ac:dyDescent="0.3">
      <c r="C18" s="58" t="s">
        <v>41</v>
      </c>
      <c r="D18" s="59">
        <f>'1) Budget Table'!D16</f>
        <v>148500</v>
      </c>
      <c r="E18" s="59">
        <f>'1) Budget Table'!E16</f>
        <v>10000</v>
      </c>
      <c r="F18" s="59">
        <f>'1) Budget Table'!F16</f>
        <v>0</v>
      </c>
      <c r="G18" s="60">
        <f t="shared" ref="G18:G26" si="1">SUM(D18:F18)</f>
        <v>158500</v>
      </c>
      <c r="N18" s="48"/>
    </row>
    <row r="19" spans="3:14" x14ac:dyDescent="0.25">
      <c r="C19" s="56" t="s">
        <v>8</v>
      </c>
      <c r="D19" s="204"/>
      <c r="E19" s="205"/>
      <c r="F19" s="205"/>
      <c r="G19" s="57">
        <f t="shared" si="1"/>
        <v>0</v>
      </c>
      <c r="N19" s="48"/>
    </row>
    <row r="20" spans="3:14" x14ac:dyDescent="0.25">
      <c r="C20" s="46" t="s">
        <v>9</v>
      </c>
      <c r="D20" s="206">
        <v>4536.42</v>
      </c>
      <c r="E20" s="203">
        <v>7435</v>
      </c>
      <c r="F20" s="203"/>
      <c r="G20" s="55">
        <f t="shared" si="1"/>
        <v>11971.42</v>
      </c>
      <c r="N20" s="48"/>
    </row>
    <row r="21" spans="3:14" ht="31.5" x14ac:dyDescent="0.25">
      <c r="C21" s="46" t="s">
        <v>10</v>
      </c>
      <c r="D21" s="206"/>
      <c r="E21" s="206"/>
      <c r="F21" s="206"/>
      <c r="G21" s="55">
        <f t="shared" si="1"/>
        <v>0</v>
      </c>
      <c r="N21" s="48"/>
    </row>
    <row r="22" spans="3:14" x14ac:dyDescent="0.25">
      <c r="C22" s="47" t="s">
        <v>11</v>
      </c>
      <c r="D22" s="206">
        <v>29450.720000000001</v>
      </c>
      <c r="E22" s="206">
        <v>5524</v>
      </c>
      <c r="F22" s="206"/>
      <c r="G22" s="55">
        <f t="shared" si="1"/>
        <v>34974.720000000001</v>
      </c>
      <c r="N22" s="48"/>
    </row>
    <row r="23" spans="3:14" x14ac:dyDescent="0.25">
      <c r="C23" s="46" t="s">
        <v>15</v>
      </c>
      <c r="D23" s="206"/>
      <c r="E23" s="206">
        <v>2741</v>
      </c>
      <c r="F23" s="206"/>
      <c r="G23" s="55">
        <f t="shared" si="1"/>
        <v>2741</v>
      </c>
      <c r="N23" s="48"/>
    </row>
    <row r="24" spans="3:14" x14ac:dyDescent="0.25">
      <c r="C24" s="46" t="s">
        <v>12</v>
      </c>
      <c r="D24" s="206">
        <f>73658.42+8458.62</f>
        <v>82117.039999999994</v>
      </c>
      <c r="E24" s="206"/>
      <c r="F24" s="206"/>
      <c r="G24" s="55">
        <f t="shared" si="1"/>
        <v>82117.039999999994</v>
      </c>
      <c r="H24" s="212"/>
      <c r="N24" s="48"/>
    </row>
    <row r="25" spans="3:14" x14ac:dyDescent="0.25">
      <c r="C25" s="46" t="s">
        <v>40</v>
      </c>
      <c r="D25" s="206">
        <v>8473.5600000000013</v>
      </c>
      <c r="E25" s="206">
        <v>4735</v>
      </c>
      <c r="F25" s="206"/>
      <c r="G25" s="55">
        <f t="shared" si="1"/>
        <v>13208.560000000001</v>
      </c>
      <c r="N25" s="48"/>
    </row>
    <row r="26" spans="3:14" x14ac:dyDescent="0.25">
      <c r="C26" s="50" t="s">
        <v>43</v>
      </c>
      <c r="D26" s="61">
        <f>SUM(D19:D25)</f>
        <v>124577.73999999999</v>
      </c>
      <c r="E26" s="61">
        <f>SUM(E19:E25)</f>
        <v>20435</v>
      </c>
      <c r="F26" s="61">
        <f>SUM(F19:F25)</f>
        <v>0</v>
      </c>
      <c r="G26" s="55">
        <f t="shared" si="1"/>
        <v>145012.74</v>
      </c>
      <c r="H26" s="212"/>
      <c r="I26" s="248"/>
      <c r="J26" s="248"/>
      <c r="N26" s="48"/>
    </row>
    <row r="27" spans="3:14" s="49" customFormat="1" x14ac:dyDescent="0.25">
      <c r="C27" s="62"/>
      <c r="D27" s="63"/>
      <c r="E27" s="63"/>
      <c r="F27" s="63"/>
      <c r="G27" s="64"/>
      <c r="I27" s="219"/>
    </row>
    <row r="28" spans="3:14" x14ac:dyDescent="0.25">
      <c r="C28" s="295" t="s">
        <v>47</v>
      </c>
      <c r="D28" s="296"/>
      <c r="E28" s="296"/>
      <c r="F28" s="296"/>
      <c r="G28" s="297"/>
      <c r="N28" s="48"/>
    </row>
    <row r="29" spans="3:14" ht="21.75" customHeight="1" thickBot="1" x14ac:dyDescent="0.3">
      <c r="C29" s="58" t="s">
        <v>41</v>
      </c>
      <c r="D29" s="59">
        <f>+'1) Budget Table'!D19</f>
        <v>0</v>
      </c>
      <c r="E29" s="59">
        <f>+'1) Budget Table'!E19</f>
        <v>0</v>
      </c>
      <c r="F29" s="59">
        <f>+'1) Budget Table'!F19</f>
        <v>0</v>
      </c>
      <c r="G29" s="60">
        <f t="shared" ref="G29:G37" si="2">SUM(D29:F29)</f>
        <v>0</v>
      </c>
      <c r="N29" s="48"/>
    </row>
    <row r="30" spans="3:14" x14ac:dyDescent="0.25">
      <c r="C30" s="56" t="s">
        <v>8</v>
      </c>
      <c r="D30" s="204"/>
      <c r="E30" s="226"/>
      <c r="F30" s="205"/>
      <c r="G30" s="57">
        <f t="shared" si="2"/>
        <v>0</v>
      </c>
      <c r="N30" s="48"/>
    </row>
    <row r="31" spans="3:14" s="49" customFormat="1" ht="15.75" customHeight="1" x14ac:dyDescent="0.25">
      <c r="C31" s="46" t="s">
        <v>9</v>
      </c>
      <c r="D31" s="206"/>
      <c r="E31" s="202"/>
      <c r="F31" s="203"/>
      <c r="G31" s="55">
        <f t="shared" si="2"/>
        <v>0</v>
      </c>
      <c r="I31" s="219"/>
    </row>
    <row r="32" spans="3:14" s="49" customFormat="1" ht="31.5" x14ac:dyDescent="0.25">
      <c r="C32" s="46" t="s">
        <v>10</v>
      </c>
      <c r="D32" s="206"/>
      <c r="E32" s="207"/>
      <c r="F32" s="206"/>
      <c r="G32" s="55">
        <f t="shared" si="2"/>
        <v>0</v>
      </c>
      <c r="I32" s="219"/>
    </row>
    <row r="33" spans="2:14" s="49" customFormat="1" x14ac:dyDescent="0.25">
      <c r="C33" s="47" t="s">
        <v>11</v>
      </c>
      <c r="D33" s="206"/>
      <c r="E33" s="207"/>
      <c r="F33" s="206"/>
      <c r="G33" s="55">
        <f t="shared" si="2"/>
        <v>0</v>
      </c>
      <c r="I33" s="219"/>
    </row>
    <row r="34" spans="2:14" x14ac:dyDescent="0.25">
      <c r="C34" s="46" t="s">
        <v>15</v>
      </c>
      <c r="D34" s="206"/>
      <c r="E34" s="207"/>
      <c r="F34" s="206"/>
      <c r="G34" s="55">
        <f t="shared" si="2"/>
        <v>0</v>
      </c>
      <c r="N34" s="48"/>
    </row>
    <row r="35" spans="2:14" x14ac:dyDescent="0.25">
      <c r="C35" s="46" t="s">
        <v>12</v>
      </c>
      <c r="D35" s="206"/>
      <c r="E35" s="206"/>
      <c r="F35" s="206"/>
      <c r="G35" s="55">
        <f t="shared" si="2"/>
        <v>0</v>
      </c>
      <c r="N35" s="48"/>
    </row>
    <row r="36" spans="2:14" x14ac:dyDescent="0.25">
      <c r="C36" s="46" t="s">
        <v>40</v>
      </c>
      <c r="D36" s="206"/>
      <c r="E36" s="206"/>
      <c r="F36" s="206"/>
      <c r="G36" s="55">
        <f t="shared" si="2"/>
        <v>0</v>
      </c>
      <c r="N36" s="48"/>
    </row>
    <row r="37" spans="2:14" x14ac:dyDescent="0.25">
      <c r="C37" s="50" t="s">
        <v>43</v>
      </c>
      <c r="D37" s="61">
        <f>SUM(D30:D36)</f>
        <v>0</v>
      </c>
      <c r="E37" s="61">
        <f>SUM(E30:E36)</f>
        <v>0</v>
      </c>
      <c r="F37" s="61">
        <f>SUM(F30:F36)</f>
        <v>0</v>
      </c>
      <c r="G37" s="55">
        <f t="shared" si="2"/>
        <v>0</v>
      </c>
      <c r="H37" s="212"/>
      <c r="J37" s="212"/>
      <c r="N37" s="48"/>
    </row>
    <row r="38" spans="2:14" s="49" customFormat="1" x14ac:dyDescent="0.25">
      <c r="C38" s="62"/>
      <c r="D38" s="63"/>
      <c r="E38" s="63"/>
      <c r="F38" s="63"/>
      <c r="G38" s="64"/>
      <c r="I38" s="219"/>
    </row>
    <row r="39" spans="2:14" ht="24" customHeight="1" x14ac:dyDescent="0.25">
      <c r="B39" s="295" t="s">
        <v>466</v>
      </c>
      <c r="C39" s="296"/>
      <c r="D39" s="296"/>
      <c r="E39" s="296"/>
      <c r="F39" s="296"/>
      <c r="G39" s="297"/>
      <c r="L39" s="19"/>
      <c r="M39" s="6"/>
      <c r="N39" s="48"/>
    </row>
    <row r="40" spans="2:14" x14ac:dyDescent="0.25">
      <c r="C40" s="295" t="s">
        <v>467</v>
      </c>
      <c r="D40" s="296"/>
      <c r="E40" s="296"/>
      <c r="F40" s="296"/>
      <c r="G40" s="297"/>
      <c r="N40" s="48"/>
    </row>
    <row r="41" spans="2:14" ht="21.75" customHeight="1" thickBot="1" x14ac:dyDescent="0.3">
      <c r="C41" s="58" t="s">
        <v>41</v>
      </c>
      <c r="D41" s="59">
        <f>+'1) Budget Table'!D27</f>
        <v>310000</v>
      </c>
      <c r="E41" s="59">
        <f>+'1) Budget Table'!E27</f>
        <v>20000</v>
      </c>
      <c r="F41" s="59">
        <f>+'1) Budget Table'!F27</f>
        <v>0</v>
      </c>
      <c r="G41" s="60">
        <f t="shared" ref="G41:G49" si="3">SUM(D41:F41)</f>
        <v>330000</v>
      </c>
      <c r="N41" s="48"/>
    </row>
    <row r="42" spans="2:14" x14ac:dyDescent="0.25">
      <c r="C42" s="56" t="s">
        <v>8</v>
      </c>
      <c r="D42" s="204"/>
      <c r="E42" s="205"/>
      <c r="F42" s="205"/>
      <c r="G42" s="57">
        <f t="shared" si="3"/>
        <v>0</v>
      </c>
      <c r="N42" s="48"/>
    </row>
    <row r="43" spans="2:14" s="49" customFormat="1" ht="15.75" customHeight="1" x14ac:dyDescent="0.25">
      <c r="C43" s="46" t="s">
        <v>9</v>
      </c>
      <c r="D43" s="206">
        <v>34172.97</v>
      </c>
      <c r="E43" s="203"/>
      <c r="F43" s="203"/>
      <c r="G43" s="55">
        <f t="shared" si="3"/>
        <v>34172.97</v>
      </c>
      <c r="I43" s="219"/>
    </row>
    <row r="44" spans="2:14" s="49" customFormat="1" ht="31.5" x14ac:dyDescent="0.25">
      <c r="C44" s="46" t="s">
        <v>10</v>
      </c>
      <c r="D44" s="206">
        <v>906.41</v>
      </c>
      <c r="E44" s="206"/>
      <c r="F44" s="206"/>
      <c r="G44" s="55">
        <f t="shared" si="3"/>
        <v>906.41</v>
      </c>
      <c r="I44" s="219"/>
    </row>
    <row r="45" spans="2:14" s="49" customFormat="1" x14ac:dyDescent="0.25">
      <c r="C45" s="47" t="s">
        <v>11</v>
      </c>
      <c r="D45" s="206">
        <v>92141.51</v>
      </c>
      <c r="E45" s="206"/>
      <c r="F45" s="206"/>
      <c r="G45" s="55">
        <f t="shared" si="3"/>
        <v>92141.51</v>
      </c>
      <c r="I45" s="219"/>
    </row>
    <row r="46" spans="2:14" x14ac:dyDescent="0.25">
      <c r="C46" s="46" t="s">
        <v>15</v>
      </c>
      <c r="D46" s="206">
        <v>13167.8</v>
      </c>
      <c r="E46" s="206"/>
      <c r="F46" s="206"/>
      <c r="G46" s="55">
        <f t="shared" si="3"/>
        <v>13167.8</v>
      </c>
      <c r="N46" s="48"/>
    </row>
    <row r="47" spans="2:14" x14ac:dyDescent="0.25">
      <c r="C47" s="46" t="s">
        <v>12</v>
      </c>
      <c r="D47" s="206">
        <v>109231.61</v>
      </c>
      <c r="E47" s="206">
        <v>5439.2500000000009</v>
      </c>
      <c r="F47" s="206"/>
      <c r="G47" s="55">
        <f t="shared" si="3"/>
        <v>114670.86</v>
      </c>
      <c r="N47" s="48"/>
    </row>
    <row r="48" spans="2:14" x14ac:dyDescent="0.25">
      <c r="C48" s="46" t="s">
        <v>40</v>
      </c>
      <c r="D48" s="206">
        <v>18473.629999999997</v>
      </c>
      <c r="E48" s="206"/>
      <c r="F48" s="206"/>
      <c r="G48" s="55">
        <f t="shared" si="3"/>
        <v>18473.629999999997</v>
      </c>
      <c r="N48" s="48"/>
    </row>
    <row r="49" spans="3:14" x14ac:dyDescent="0.25">
      <c r="C49" s="50" t="s">
        <v>43</v>
      </c>
      <c r="D49" s="61">
        <f>SUM(D42:D48)</f>
        <v>268093.93</v>
      </c>
      <c r="E49" s="61">
        <f>SUM(E42:E48)</f>
        <v>5439.2500000000009</v>
      </c>
      <c r="F49" s="61">
        <f>SUM(F42:F48)</f>
        <v>0</v>
      </c>
      <c r="G49" s="55">
        <f t="shared" si="3"/>
        <v>273533.18</v>
      </c>
      <c r="H49" s="212"/>
      <c r="J49" s="248"/>
      <c r="N49" s="48"/>
    </row>
    <row r="50" spans="3:14" s="49" customFormat="1" x14ac:dyDescent="0.25">
      <c r="C50" s="62"/>
      <c r="D50" s="63"/>
      <c r="E50" s="63"/>
      <c r="F50" s="63"/>
      <c r="G50" s="64"/>
      <c r="I50" s="219"/>
      <c r="J50" s="214"/>
    </row>
    <row r="51" spans="3:14" x14ac:dyDescent="0.25">
      <c r="C51" s="295" t="s">
        <v>451</v>
      </c>
      <c r="D51" s="296"/>
      <c r="E51" s="296"/>
      <c r="F51" s="296"/>
      <c r="G51" s="297"/>
      <c r="J51" s="212"/>
      <c r="N51" s="48"/>
    </row>
    <row r="52" spans="3:14" ht="21.75" customHeight="1" thickBot="1" x14ac:dyDescent="0.3">
      <c r="C52" s="58" t="s">
        <v>41</v>
      </c>
      <c r="D52" s="59">
        <f>+'1) Budget Table'!D31</f>
        <v>267782</v>
      </c>
      <c r="E52" s="59">
        <f>+'1) Budget Table'!E31</f>
        <v>0</v>
      </c>
      <c r="F52" s="59">
        <f>+'1) Budget Table'!F31</f>
        <v>125000</v>
      </c>
      <c r="G52" s="60">
        <f t="shared" ref="G52:G60" si="4">SUM(D52:F52)</f>
        <v>392782</v>
      </c>
      <c r="N52" s="48"/>
    </row>
    <row r="53" spans="3:14" x14ac:dyDescent="0.25">
      <c r="C53" s="56" t="s">
        <v>8</v>
      </c>
      <c r="D53" s="204"/>
      <c r="E53" s="205"/>
      <c r="F53" s="205"/>
      <c r="G53" s="57">
        <f t="shared" si="4"/>
        <v>0</v>
      </c>
      <c r="N53" s="48"/>
    </row>
    <row r="54" spans="3:14" s="49" customFormat="1" ht="15.75" customHeight="1" x14ac:dyDescent="0.25">
      <c r="C54" s="46" t="s">
        <v>9</v>
      </c>
      <c r="D54" s="206">
        <v>4902.0599999999995</v>
      </c>
      <c r="E54" s="203"/>
      <c r="F54" s="203">
        <v>6331.98</v>
      </c>
      <c r="G54" s="55">
        <f t="shared" si="4"/>
        <v>11234.039999999999</v>
      </c>
      <c r="I54" s="219"/>
    </row>
    <row r="55" spans="3:14" s="49" customFormat="1" ht="31.5" x14ac:dyDescent="0.25">
      <c r="C55" s="46" t="s">
        <v>10</v>
      </c>
      <c r="D55" s="206"/>
      <c r="E55" s="206"/>
      <c r="F55" s="206"/>
      <c r="G55" s="55">
        <f t="shared" si="4"/>
        <v>0</v>
      </c>
      <c r="I55" s="219"/>
    </row>
    <row r="56" spans="3:14" s="49" customFormat="1" x14ac:dyDescent="0.25">
      <c r="C56" s="47" t="s">
        <v>11</v>
      </c>
      <c r="D56" s="206">
        <v>80107.649999999994</v>
      </c>
      <c r="E56" s="206"/>
      <c r="F56" s="206"/>
      <c r="G56" s="55">
        <f t="shared" si="4"/>
        <v>80107.649999999994</v>
      </c>
      <c r="I56" s="219"/>
    </row>
    <row r="57" spans="3:14" x14ac:dyDescent="0.25">
      <c r="C57" s="46" t="s">
        <v>15</v>
      </c>
      <c r="D57" s="206"/>
      <c r="E57" s="206"/>
      <c r="F57" s="206"/>
      <c r="G57" s="55">
        <f t="shared" si="4"/>
        <v>0</v>
      </c>
      <c r="N57" s="48"/>
    </row>
    <row r="58" spans="3:14" x14ac:dyDescent="0.25">
      <c r="C58" s="46" t="s">
        <v>12</v>
      </c>
      <c r="D58" s="207">
        <f>71776.5+67803.98-1628</f>
        <v>137952.47999999998</v>
      </c>
      <c r="E58" s="206"/>
      <c r="F58" s="206">
        <v>101330.23</v>
      </c>
      <c r="G58" s="55">
        <f t="shared" si="4"/>
        <v>239282.70999999996</v>
      </c>
      <c r="N58" s="48"/>
    </row>
    <row r="59" spans="3:14" x14ac:dyDescent="0.25">
      <c r="C59" s="46" t="s">
        <v>40</v>
      </c>
      <c r="D59" s="206">
        <v>7772.42</v>
      </c>
      <c r="E59" s="206"/>
      <c r="F59" s="206">
        <v>17337.79</v>
      </c>
      <c r="G59" s="55">
        <f t="shared" si="4"/>
        <v>25110.21</v>
      </c>
      <c r="N59" s="48"/>
    </row>
    <row r="60" spans="3:14" x14ac:dyDescent="0.25">
      <c r="C60" s="50" t="s">
        <v>43</v>
      </c>
      <c r="D60" s="61">
        <f>SUM(D53:D59)</f>
        <v>230734.61</v>
      </c>
      <c r="E60" s="61">
        <f>SUM(E53:E59)</f>
        <v>0</v>
      </c>
      <c r="F60" s="61">
        <f>SUM(F53:F59)</f>
        <v>125000</v>
      </c>
      <c r="G60" s="55">
        <f t="shared" si="4"/>
        <v>355734.61</v>
      </c>
      <c r="H60" s="212"/>
      <c r="J60" s="248"/>
      <c r="N60" s="48"/>
    </row>
    <row r="61" spans="3:14" s="49" customFormat="1" x14ac:dyDescent="0.25">
      <c r="C61" s="62"/>
      <c r="D61" s="63"/>
      <c r="E61" s="63"/>
      <c r="F61" s="63"/>
      <c r="G61" s="64"/>
      <c r="I61" s="219"/>
    </row>
    <row r="62" spans="3:14" x14ac:dyDescent="0.25">
      <c r="C62" s="295" t="s">
        <v>457</v>
      </c>
      <c r="D62" s="296"/>
      <c r="E62" s="296"/>
      <c r="F62" s="296"/>
      <c r="G62" s="297"/>
      <c r="N62" s="48"/>
    </row>
    <row r="63" spans="3:14" ht="21.75" customHeight="1" thickBot="1" x14ac:dyDescent="0.3">
      <c r="C63" s="58" t="s">
        <v>41</v>
      </c>
      <c r="D63" s="59">
        <f>+'1) Budget Table'!D35</f>
        <v>90000</v>
      </c>
      <c r="E63" s="59">
        <f>+'1) Budget Table'!E35</f>
        <v>0</v>
      </c>
      <c r="F63" s="59">
        <f>+'1) Budget Table'!F35</f>
        <v>0</v>
      </c>
      <c r="G63" s="60">
        <f t="shared" ref="G63:G71" si="5">SUM(D63:F63)</f>
        <v>90000</v>
      </c>
      <c r="N63" s="48"/>
    </row>
    <row r="64" spans="3:14" x14ac:dyDescent="0.25">
      <c r="C64" s="56" t="s">
        <v>8</v>
      </c>
      <c r="D64" s="204"/>
      <c r="E64" s="226"/>
      <c r="F64" s="205"/>
      <c r="G64" s="57">
        <f t="shared" si="5"/>
        <v>0</v>
      </c>
      <c r="N64" s="48"/>
    </row>
    <row r="65" spans="3:14" s="49" customFormat="1" ht="15.75" customHeight="1" x14ac:dyDescent="0.25">
      <c r="C65" s="46" t="s">
        <v>9</v>
      </c>
      <c r="D65" s="206">
        <v>727.43</v>
      </c>
      <c r="E65" s="202"/>
      <c r="F65" s="203"/>
      <c r="G65" s="55">
        <f t="shared" si="5"/>
        <v>727.43</v>
      </c>
      <c r="I65" s="219"/>
    </row>
    <row r="66" spans="3:14" s="49" customFormat="1" ht="31.5" x14ac:dyDescent="0.25">
      <c r="C66" s="46" t="s">
        <v>10</v>
      </c>
      <c r="D66" s="206"/>
      <c r="E66" s="207"/>
      <c r="F66" s="206"/>
      <c r="G66" s="55">
        <f t="shared" si="5"/>
        <v>0</v>
      </c>
      <c r="I66" s="219"/>
    </row>
    <row r="67" spans="3:14" s="49" customFormat="1" x14ac:dyDescent="0.25">
      <c r="C67" s="47" t="s">
        <v>11</v>
      </c>
      <c r="D67" s="206">
        <v>10546.29</v>
      </c>
      <c r="E67" s="207"/>
      <c r="F67" s="206"/>
      <c r="G67" s="55">
        <f t="shared" si="5"/>
        <v>10546.29</v>
      </c>
      <c r="I67" s="219"/>
    </row>
    <row r="68" spans="3:14" x14ac:dyDescent="0.25">
      <c r="C68" s="46" t="s">
        <v>15</v>
      </c>
      <c r="D68" s="206"/>
      <c r="E68" s="207"/>
      <c r="F68" s="206"/>
      <c r="G68" s="55">
        <f t="shared" si="5"/>
        <v>0</v>
      </c>
      <c r="N68" s="48"/>
    </row>
    <row r="69" spans="3:14" x14ac:dyDescent="0.25">
      <c r="C69" s="46" t="s">
        <v>12</v>
      </c>
      <c r="D69" s="206">
        <f>46186.77+20131.09</f>
        <v>66317.86</v>
      </c>
      <c r="E69" s="206"/>
      <c r="F69" s="206"/>
      <c r="G69" s="55">
        <f t="shared" si="5"/>
        <v>66317.86</v>
      </c>
      <c r="N69" s="48"/>
    </row>
    <row r="70" spans="3:14" x14ac:dyDescent="0.25">
      <c r="C70" s="46" t="s">
        <v>40</v>
      </c>
      <c r="D70" s="206">
        <f>4221.65+1774.39</f>
        <v>5996.04</v>
      </c>
      <c r="E70" s="206"/>
      <c r="F70" s="206"/>
      <c r="G70" s="55">
        <f t="shared" si="5"/>
        <v>5996.04</v>
      </c>
      <c r="N70" s="48"/>
    </row>
    <row r="71" spans="3:14" x14ac:dyDescent="0.25">
      <c r="C71" s="50" t="s">
        <v>43</v>
      </c>
      <c r="D71" s="61">
        <f>SUM(D64:D70)</f>
        <v>83587.62</v>
      </c>
      <c r="E71" s="61">
        <f>SUM(E64:E70)</f>
        <v>0</v>
      </c>
      <c r="F71" s="61">
        <f>SUM(F64:F70)</f>
        <v>0</v>
      </c>
      <c r="G71" s="55">
        <f t="shared" si="5"/>
        <v>83587.62</v>
      </c>
      <c r="H71" s="212"/>
      <c r="I71" s="229"/>
      <c r="J71" s="248"/>
      <c r="N71" s="48"/>
    </row>
    <row r="72" spans="3:14" s="51" customFormat="1" ht="15.75" customHeight="1" x14ac:dyDescent="0.25">
      <c r="C72" s="48"/>
      <c r="D72" s="49"/>
      <c r="E72" s="49"/>
      <c r="F72" s="49"/>
      <c r="G72" s="48"/>
      <c r="I72" s="229"/>
    </row>
    <row r="73" spans="3:14" s="51" customFormat="1" ht="15.75" customHeight="1" x14ac:dyDescent="0.25">
      <c r="C73" s="295" t="s">
        <v>400</v>
      </c>
      <c r="D73" s="296"/>
      <c r="E73" s="296"/>
      <c r="F73" s="296"/>
      <c r="G73" s="297"/>
      <c r="I73" s="229"/>
    </row>
    <row r="74" spans="3:14" s="51" customFormat="1" ht="19.5" customHeight="1" thickBot="1" x14ac:dyDescent="0.3">
      <c r="C74" s="58" t="s">
        <v>401</v>
      </c>
      <c r="D74" s="59">
        <f>+'1) Budget Table'!D42</f>
        <v>625776.92000000004</v>
      </c>
      <c r="E74" s="59">
        <f>+'1) Budget Table'!E42</f>
        <v>66600</v>
      </c>
      <c r="F74" s="59">
        <f>+'1) Budget Table'!F42</f>
        <v>45500</v>
      </c>
      <c r="G74" s="60">
        <f t="shared" ref="G74:G82" si="6">SUM(D74:F74)</f>
        <v>737876.92</v>
      </c>
      <c r="I74" s="229"/>
    </row>
    <row r="75" spans="3:14" s="51" customFormat="1" ht="15.75" customHeight="1" x14ac:dyDescent="0.25">
      <c r="C75" s="56" t="s">
        <v>8</v>
      </c>
      <c r="D75" s="204">
        <f>371498.55+61957.68</f>
        <v>433456.23</v>
      </c>
      <c r="E75" s="205">
        <v>55000</v>
      </c>
      <c r="F75" s="205">
        <v>30000</v>
      </c>
      <c r="G75" s="57">
        <f>SUM(D75:F75)</f>
        <v>518456.23</v>
      </c>
      <c r="I75" s="229"/>
      <c r="J75" s="246"/>
    </row>
    <row r="76" spans="3:14" s="51" customFormat="1" ht="15.75" customHeight="1" x14ac:dyDescent="0.25">
      <c r="C76" s="46" t="s">
        <v>9</v>
      </c>
      <c r="D76" s="206">
        <v>11058.43</v>
      </c>
      <c r="E76" s="203">
        <v>2875</v>
      </c>
      <c r="F76" s="203">
        <v>5735</v>
      </c>
      <c r="G76" s="55">
        <f t="shared" si="6"/>
        <v>19668.43</v>
      </c>
      <c r="I76" s="229"/>
    </row>
    <row r="77" spans="3:14" s="51" customFormat="1" ht="15.75" customHeight="1" x14ac:dyDescent="0.25">
      <c r="C77" s="46" t="s">
        <v>10</v>
      </c>
      <c r="D77" s="206">
        <v>7193.63</v>
      </c>
      <c r="E77" s="206"/>
      <c r="F77" s="206"/>
      <c r="G77" s="55">
        <f t="shared" si="6"/>
        <v>7193.63</v>
      </c>
      <c r="I77" s="229"/>
    </row>
    <row r="78" spans="3:14" s="51" customFormat="1" ht="15.75" customHeight="1" x14ac:dyDescent="0.25">
      <c r="C78" s="47" t="s">
        <v>11</v>
      </c>
      <c r="D78" s="206">
        <v>45489.2</v>
      </c>
      <c r="E78" s="206"/>
      <c r="F78" s="206"/>
      <c r="G78" s="55">
        <f t="shared" si="6"/>
        <v>45489.2</v>
      </c>
      <c r="I78" s="229"/>
    </row>
    <row r="79" spans="3:14" s="51" customFormat="1" ht="15.75" customHeight="1" x14ac:dyDescent="0.25">
      <c r="C79" s="46" t="s">
        <v>15</v>
      </c>
      <c r="D79" s="206">
        <v>5068.16</v>
      </c>
      <c r="E79" s="206"/>
      <c r="F79" s="206"/>
      <c r="G79" s="55">
        <f t="shared" si="6"/>
        <v>5068.16</v>
      </c>
      <c r="I79" s="229"/>
    </row>
    <row r="80" spans="3:14" s="51" customFormat="1" ht="15.75" customHeight="1" x14ac:dyDescent="0.25">
      <c r="C80" s="46" t="s">
        <v>12</v>
      </c>
      <c r="D80" s="206"/>
      <c r="E80" s="206"/>
      <c r="F80" s="206"/>
      <c r="G80" s="55">
        <f t="shared" si="6"/>
        <v>0</v>
      </c>
      <c r="I80" s="229"/>
    </row>
    <row r="81" spans="3:13" s="51" customFormat="1" ht="15.75" customHeight="1" x14ac:dyDescent="0.25">
      <c r="C81" s="46" t="s">
        <v>40</v>
      </c>
      <c r="D81" s="206">
        <f>34838.99+743.31</f>
        <v>35582.299999999996</v>
      </c>
      <c r="E81" s="206">
        <v>8725</v>
      </c>
      <c r="F81" s="206">
        <v>9765</v>
      </c>
      <c r="G81" s="55">
        <f t="shared" si="6"/>
        <v>54072.299999999996</v>
      </c>
      <c r="H81" s="213"/>
      <c r="I81" s="229"/>
    </row>
    <row r="82" spans="3:13" s="51" customFormat="1" ht="15.75" customHeight="1" x14ac:dyDescent="0.25">
      <c r="C82" s="50" t="s">
        <v>43</v>
      </c>
      <c r="D82" s="61">
        <f>SUM(D75:D81)</f>
        <v>537847.94999999995</v>
      </c>
      <c r="E82" s="61">
        <f>SUM(E75:E81)</f>
        <v>66600</v>
      </c>
      <c r="F82" s="61">
        <f>SUM(F75:F81)</f>
        <v>45500</v>
      </c>
      <c r="G82" s="55">
        <f t="shared" si="6"/>
        <v>649947.94999999995</v>
      </c>
      <c r="H82" s="213"/>
      <c r="I82" s="229"/>
      <c r="J82" s="213"/>
    </row>
    <row r="83" spans="3:13" s="51" customFormat="1" ht="15.75" customHeight="1" thickBot="1" x14ac:dyDescent="0.3">
      <c r="C83" s="48"/>
      <c r="D83" s="49"/>
      <c r="E83" s="49"/>
      <c r="F83" s="49"/>
      <c r="G83" s="48"/>
      <c r="I83" s="229"/>
      <c r="J83" s="246"/>
    </row>
    <row r="84" spans="3:13" s="51" customFormat="1" ht="19.5" customHeight="1" thickBot="1" x14ac:dyDescent="0.3">
      <c r="C84" s="302" t="s">
        <v>16</v>
      </c>
      <c r="D84" s="303"/>
      <c r="E84" s="303"/>
      <c r="F84" s="303"/>
      <c r="G84" s="304"/>
      <c r="I84" s="229"/>
    </row>
    <row r="85" spans="3:13" s="51" customFormat="1" ht="19.5" customHeight="1" x14ac:dyDescent="0.25">
      <c r="C85" s="68"/>
      <c r="D85" s="298" t="str">
        <f>'1) Budget Table'!D4</f>
        <v>Recipient Organization 1
UNDP</v>
      </c>
      <c r="E85" s="298" t="str">
        <f>'1) Budget Table'!E4</f>
        <v>Recipient Organization 2
UNFPA</v>
      </c>
      <c r="F85" s="298" t="str">
        <f>'1) Budget Table'!F4</f>
        <v>Recipient Organization 3
WFP</v>
      </c>
      <c r="G85" s="300" t="s">
        <v>16</v>
      </c>
      <c r="I85" s="229"/>
    </row>
    <row r="86" spans="3:13" s="51" customFormat="1" ht="19.5" customHeight="1" x14ac:dyDescent="0.25">
      <c r="C86" s="68"/>
      <c r="D86" s="299"/>
      <c r="E86" s="299"/>
      <c r="F86" s="299"/>
      <c r="G86" s="301"/>
      <c r="I86" s="229"/>
    </row>
    <row r="87" spans="3:13" s="51" customFormat="1" ht="19.5" customHeight="1" x14ac:dyDescent="0.25">
      <c r="C87" s="18" t="s">
        <v>8</v>
      </c>
      <c r="D87" s="69">
        <f t="shared" ref="D87:F93" si="7">SUM(D8,D19,D30,D42,D53,D64,D75)</f>
        <v>433456.23</v>
      </c>
      <c r="E87" s="145">
        <f t="shared" si="7"/>
        <v>55000</v>
      </c>
      <c r="F87" s="145">
        <f t="shared" si="7"/>
        <v>30000</v>
      </c>
      <c r="G87" s="66">
        <f t="shared" ref="G87:G94" si="8">SUM(D87:F87)</f>
        <v>518456.23</v>
      </c>
      <c r="I87" s="229"/>
    </row>
    <row r="88" spans="3:13" s="51" customFormat="1" ht="34.5" customHeight="1" x14ac:dyDescent="0.25">
      <c r="C88" s="18" t="s">
        <v>9</v>
      </c>
      <c r="D88" s="145">
        <f t="shared" si="7"/>
        <v>66544.479999999996</v>
      </c>
      <c r="E88" s="145">
        <f t="shared" si="7"/>
        <v>17850</v>
      </c>
      <c r="F88" s="145">
        <f t="shared" si="7"/>
        <v>12066.98</v>
      </c>
      <c r="G88" s="67">
        <f t="shared" si="8"/>
        <v>96461.459999999992</v>
      </c>
      <c r="I88" s="229"/>
    </row>
    <row r="89" spans="3:13" s="51" customFormat="1" ht="48" customHeight="1" x14ac:dyDescent="0.25">
      <c r="C89" s="18" t="s">
        <v>10</v>
      </c>
      <c r="D89" s="145">
        <f t="shared" si="7"/>
        <v>12051.16</v>
      </c>
      <c r="E89" s="145">
        <f t="shared" si="7"/>
        <v>0</v>
      </c>
      <c r="F89" s="145">
        <f t="shared" si="7"/>
        <v>0</v>
      </c>
      <c r="G89" s="67">
        <f t="shared" si="8"/>
        <v>12051.16</v>
      </c>
      <c r="I89" s="229"/>
    </row>
    <row r="90" spans="3:13" s="51" customFormat="1" ht="33" customHeight="1" x14ac:dyDescent="0.25">
      <c r="C90" s="27" t="s">
        <v>11</v>
      </c>
      <c r="D90" s="145">
        <f t="shared" si="7"/>
        <v>308586.25</v>
      </c>
      <c r="E90" s="145">
        <f t="shared" si="7"/>
        <v>5524</v>
      </c>
      <c r="F90" s="145">
        <f t="shared" si="7"/>
        <v>0</v>
      </c>
      <c r="G90" s="67">
        <f t="shared" si="8"/>
        <v>314110.25</v>
      </c>
      <c r="I90" s="229"/>
    </row>
    <row r="91" spans="3:13" s="51" customFormat="1" ht="21" customHeight="1" x14ac:dyDescent="0.25">
      <c r="C91" s="18" t="s">
        <v>15</v>
      </c>
      <c r="D91" s="145">
        <f t="shared" si="7"/>
        <v>18235.96</v>
      </c>
      <c r="E91" s="145">
        <f t="shared" si="7"/>
        <v>2741</v>
      </c>
      <c r="F91" s="145">
        <f t="shared" si="7"/>
        <v>0</v>
      </c>
      <c r="G91" s="67">
        <f t="shared" si="8"/>
        <v>20976.959999999999</v>
      </c>
      <c r="H91" s="22"/>
      <c r="I91" s="230"/>
      <c r="J91" s="22"/>
      <c r="K91" s="22"/>
      <c r="L91" s="22"/>
      <c r="M91" s="21"/>
    </row>
    <row r="92" spans="3:13" s="51" customFormat="1" ht="39.75" customHeight="1" x14ac:dyDescent="0.25">
      <c r="C92" s="18" t="s">
        <v>12</v>
      </c>
      <c r="D92" s="145">
        <f t="shared" si="7"/>
        <v>395618.99</v>
      </c>
      <c r="E92" s="145">
        <f t="shared" si="7"/>
        <v>5439.2500000000009</v>
      </c>
      <c r="F92" s="145">
        <f t="shared" si="7"/>
        <v>101330.23</v>
      </c>
      <c r="G92" s="67">
        <f t="shared" si="8"/>
        <v>502388.47</v>
      </c>
      <c r="H92" s="22"/>
      <c r="I92" s="230"/>
      <c r="J92" s="22"/>
      <c r="K92" s="22"/>
      <c r="L92" s="22"/>
      <c r="M92" s="21"/>
    </row>
    <row r="93" spans="3:13" s="51" customFormat="1" ht="23.25" customHeight="1" x14ac:dyDescent="0.25">
      <c r="C93" s="18" t="s">
        <v>40</v>
      </c>
      <c r="D93" s="145">
        <f t="shared" si="7"/>
        <v>116219.14999999997</v>
      </c>
      <c r="E93" s="145">
        <f t="shared" si="7"/>
        <v>26985</v>
      </c>
      <c r="F93" s="145">
        <f t="shared" si="7"/>
        <v>27102.79</v>
      </c>
      <c r="G93" s="67">
        <f t="shared" si="8"/>
        <v>170306.93999999997</v>
      </c>
      <c r="H93" s="22"/>
      <c r="I93" s="230"/>
      <c r="J93" s="22"/>
      <c r="K93" s="22"/>
      <c r="L93" s="22"/>
      <c r="M93" s="21"/>
    </row>
    <row r="94" spans="3:13" s="51" customFormat="1" ht="22.5" customHeight="1" x14ac:dyDescent="0.25">
      <c r="C94" s="124" t="s">
        <v>406</v>
      </c>
      <c r="D94" s="123">
        <f>SUM(D87:D93)</f>
        <v>1350712.2199999997</v>
      </c>
      <c r="E94" s="123">
        <f>SUM(E87:E93)</f>
        <v>113539.25</v>
      </c>
      <c r="F94" s="123">
        <f>SUM(F87:F93)</f>
        <v>170500</v>
      </c>
      <c r="G94" s="125">
        <f t="shared" si="8"/>
        <v>1634751.4699999997</v>
      </c>
      <c r="H94" s="22"/>
      <c r="I94" s="230"/>
      <c r="J94" s="22"/>
      <c r="K94" s="22"/>
      <c r="L94" s="22"/>
      <c r="M94" s="21"/>
    </row>
    <row r="95" spans="3:13" s="51" customFormat="1" ht="26.25" customHeight="1" thickBot="1" x14ac:dyDescent="0.3">
      <c r="C95" s="128" t="s">
        <v>404</v>
      </c>
      <c r="D95" s="71">
        <f>D94*0.07</f>
        <v>94549.855399999986</v>
      </c>
      <c r="E95" s="71">
        <f>E94*0.07</f>
        <v>7947.7475000000004</v>
      </c>
      <c r="F95" s="71">
        <f>F94*0.07</f>
        <v>11935.000000000002</v>
      </c>
      <c r="G95" s="129">
        <f t="shared" ref="G95" si="9">G94*0.07</f>
        <v>114432.6029</v>
      </c>
      <c r="H95" s="29"/>
      <c r="I95" s="231"/>
      <c r="J95" s="29"/>
      <c r="K95" s="29"/>
      <c r="L95" s="52"/>
      <c r="M95" s="49"/>
    </row>
    <row r="96" spans="3:13" s="51" customFormat="1" ht="23.25" customHeight="1" thickBot="1" x14ac:dyDescent="0.3">
      <c r="C96" s="126" t="s">
        <v>405</v>
      </c>
      <c r="D96" s="127">
        <f>SUM(D94:D95)</f>
        <v>1445262.0753999997</v>
      </c>
      <c r="E96" s="127">
        <f>SUM(E94:E95)</f>
        <v>121486.9975</v>
      </c>
      <c r="F96" s="127">
        <f>SUM(F94:F95)</f>
        <v>182435</v>
      </c>
      <c r="G96" s="70">
        <f>SUM(G94:G95)</f>
        <v>1749184.0728999998</v>
      </c>
      <c r="H96" s="29"/>
      <c r="I96" s="231"/>
      <c r="J96" s="29"/>
      <c r="K96" s="29"/>
      <c r="L96" s="52"/>
      <c r="M96" s="49"/>
    </row>
    <row r="97" spans="3:14" ht="15.75" customHeight="1" x14ac:dyDescent="0.25">
      <c r="D97" s="224"/>
      <c r="E97" s="224"/>
      <c r="F97" s="224"/>
      <c r="G97" s="220"/>
      <c r="H97" s="212"/>
      <c r="J97" s="29"/>
      <c r="L97" s="53"/>
    </row>
    <row r="98" spans="3:14" ht="15.75" customHeight="1" x14ac:dyDescent="0.25">
      <c r="D98" s="225"/>
      <c r="E98" s="225"/>
      <c r="F98" s="225"/>
      <c r="G98" s="221"/>
      <c r="H98" s="215"/>
      <c r="I98" s="232"/>
      <c r="L98" s="53"/>
    </row>
    <row r="99" spans="3:14" ht="15.75" customHeight="1" x14ac:dyDescent="0.25">
      <c r="D99" s="245"/>
      <c r="E99" s="245"/>
      <c r="F99" s="219"/>
      <c r="H99" s="215"/>
      <c r="I99" s="232"/>
      <c r="J99" s="212"/>
      <c r="L99" s="51"/>
    </row>
    <row r="100" spans="3:14" ht="40.5" customHeight="1" x14ac:dyDescent="0.25">
      <c r="D100" s="245"/>
      <c r="E100" s="247"/>
      <c r="F100" s="245"/>
      <c r="H100" s="36"/>
      <c r="I100" s="232"/>
      <c r="L100" s="54"/>
    </row>
    <row r="101" spans="3:14" ht="24.75" customHeight="1" x14ac:dyDescent="0.25">
      <c r="D101" s="247"/>
      <c r="E101" s="247"/>
      <c r="F101" s="219"/>
      <c r="H101" s="36"/>
      <c r="I101" s="232"/>
      <c r="L101" s="54"/>
    </row>
    <row r="102" spans="3:14" ht="41.25" customHeight="1" x14ac:dyDescent="0.25">
      <c r="D102" s="247"/>
      <c r="E102" s="245"/>
      <c r="F102" s="219"/>
      <c r="H102" s="12"/>
      <c r="I102" s="232"/>
      <c r="L102" s="54"/>
    </row>
    <row r="103" spans="3:14" ht="51.75" customHeight="1" x14ac:dyDescent="0.25">
      <c r="D103" s="245"/>
      <c r="E103" s="245"/>
      <c r="F103" s="223"/>
      <c r="H103" s="12"/>
      <c r="I103" s="232"/>
      <c r="L103" s="54"/>
      <c r="N103" s="48"/>
    </row>
    <row r="104" spans="3:14" ht="42" customHeight="1" x14ac:dyDescent="0.25">
      <c r="F104" s="221"/>
      <c r="H104" s="36"/>
      <c r="I104" s="232"/>
      <c r="L104" s="54"/>
      <c r="N104" s="48"/>
    </row>
    <row r="105" spans="3:14" s="49" customFormat="1" ht="42" customHeight="1" x14ac:dyDescent="0.25">
      <c r="C105" s="48"/>
      <c r="G105" s="48"/>
      <c r="H105" s="51"/>
      <c r="I105" s="232"/>
      <c r="J105" s="48"/>
      <c r="K105" s="48"/>
      <c r="L105" s="54"/>
      <c r="M105" s="48"/>
    </row>
    <row r="106" spans="3:14" s="49" customFormat="1" ht="42" customHeight="1" x14ac:dyDescent="0.25">
      <c r="C106" s="48"/>
      <c r="G106" s="48"/>
      <c r="H106" s="48"/>
      <c r="I106" s="232"/>
      <c r="J106" s="48"/>
      <c r="K106" s="48"/>
      <c r="L106" s="48"/>
      <c r="M106" s="48"/>
    </row>
    <row r="107" spans="3:14" s="49" customFormat="1" ht="63.75" customHeight="1" x14ac:dyDescent="0.25">
      <c r="C107" s="48"/>
      <c r="G107" s="48"/>
      <c r="H107" s="48"/>
      <c r="I107" s="233"/>
      <c r="J107" s="51"/>
      <c r="K107" s="51"/>
      <c r="L107" s="48"/>
      <c r="M107" s="48"/>
    </row>
    <row r="108" spans="3:14" s="49" customFormat="1" ht="42" customHeight="1" x14ac:dyDescent="0.25">
      <c r="C108" s="48"/>
      <c r="G108" s="48"/>
      <c r="H108" s="48"/>
      <c r="I108" s="214"/>
      <c r="J108" s="48"/>
      <c r="K108" s="48"/>
      <c r="L108" s="48"/>
      <c r="M108" s="53"/>
    </row>
    <row r="109" spans="3:14" ht="23.25" customHeight="1" x14ac:dyDescent="0.25">
      <c r="N109" s="48"/>
    </row>
    <row r="110" spans="3:14" ht="27.75" customHeight="1" x14ac:dyDescent="0.25">
      <c r="L110" s="51"/>
      <c r="N110" s="48"/>
    </row>
    <row r="111" spans="3:14" ht="55.5" customHeight="1" x14ac:dyDescent="0.25">
      <c r="N111" s="48"/>
    </row>
    <row r="112" spans="3:14" ht="57.75" customHeight="1" x14ac:dyDescent="0.25">
      <c r="M112" s="51"/>
      <c r="N112" s="48"/>
    </row>
    <row r="113" spans="3:14" ht="21.75" customHeight="1" x14ac:dyDescent="0.25">
      <c r="N113" s="48"/>
    </row>
    <row r="114" spans="3:14" ht="49.5" customHeight="1" x14ac:dyDescent="0.25">
      <c r="N114" s="48"/>
    </row>
    <row r="115" spans="3:14" ht="28.5" customHeight="1" x14ac:dyDescent="0.25">
      <c r="N115" s="48"/>
    </row>
    <row r="116" spans="3:14" ht="28.5" customHeight="1" x14ac:dyDescent="0.25">
      <c r="N116" s="48"/>
    </row>
    <row r="117" spans="3:14" ht="28.5" customHeight="1" x14ac:dyDescent="0.25">
      <c r="N117" s="48"/>
    </row>
    <row r="118" spans="3:14" ht="23.25" customHeight="1" x14ac:dyDescent="0.25">
      <c r="N118" s="53"/>
    </row>
    <row r="119" spans="3:14" ht="43.5" customHeight="1" x14ac:dyDescent="0.25">
      <c r="N119" s="53"/>
    </row>
    <row r="120" spans="3:14" ht="55.5" customHeight="1" x14ac:dyDescent="0.25">
      <c r="N120" s="48"/>
    </row>
    <row r="121" spans="3:14" ht="42.75" customHeight="1" x14ac:dyDescent="0.25">
      <c r="N121" s="53"/>
    </row>
    <row r="122" spans="3:14" ht="21.75" customHeight="1" x14ac:dyDescent="0.25">
      <c r="N122" s="53"/>
    </row>
    <row r="123" spans="3:14" ht="21.75" customHeight="1" x14ac:dyDescent="0.25">
      <c r="N123" s="53"/>
    </row>
    <row r="124" spans="3:14" s="51" customFormat="1" ht="23.25" customHeight="1" x14ac:dyDescent="0.25">
      <c r="C124" s="48"/>
      <c r="D124" s="49"/>
      <c r="E124" s="49"/>
      <c r="F124" s="49"/>
      <c r="G124" s="48"/>
      <c r="H124" s="48"/>
      <c r="I124" s="214"/>
      <c r="J124" s="48"/>
      <c r="K124" s="48"/>
      <c r="L124" s="48"/>
      <c r="M124" s="48"/>
    </row>
    <row r="125" spans="3:14" ht="23.25" customHeight="1" x14ac:dyDescent="0.25"/>
    <row r="126" spans="3:14" ht="21.75" customHeight="1" x14ac:dyDescent="0.25"/>
    <row r="127" spans="3:14" ht="16.5" customHeight="1" x14ac:dyDescent="0.25"/>
    <row r="128" spans="3:14" ht="29.25" customHeight="1" x14ac:dyDescent="0.25"/>
    <row r="129" ht="24.75" customHeight="1" x14ac:dyDescent="0.25"/>
    <row r="130" ht="33" customHeight="1" x14ac:dyDescent="0.25"/>
    <row r="132" ht="15" customHeight="1" x14ac:dyDescent="0.25"/>
    <row r="133" ht="25.5" customHeight="1" x14ac:dyDescent="0.25"/>
  </sheetData>
  <sheetProtection insertColumns="0" insertRows="0" deleteRows="0"/>
  <mergeCells count="16">
    <mergeCell ref="D85:D86"/>
    <mergeCell ref="E85:E86"/>
    <mergeCell ref="F85:F86"/>
    <mergeCell ref="C2:E2"/>
    <mergeCell ref="C73:G73"/>
    <mergeCell ref="G85:G86"/>
    <mergeCell ref="C84:G84"/>
    <mergeCell ref="C62:G62"/>
    <mergeCell ref="C1:F1"/>
    <mergeCell ref="B5:G5"/>
    <mergeCell ref="C6:G6"/>
    <mergeCell ref="C17:G17"/>
    <mergeCell ref="C51:G51"/>
    <mergeCell ref="C40:G40"/>
    <mergeCell ref="C28:G28"/>
    <mergeCell ref="B39:G39"/>
  </mergeCells>
  <conditionalFormatting sqref="G15">
    <cfRule type="cellIs" dxfId="13" priority="21" operator="notEqual">
      <formula>$G$7</formula>
    </cfRule>
  </conditionalFormatting>
  <conditionalFormatting sqref="G26">
    <cfRule type="cellIs" dxfId="12" priority="20" operator="notEqual">
      <formula>$G$18</formula>
    </cfRule>
  </conditionalFormatting>
  <conditionalFormatting sqref="G60">
    <cfRule type="cellIs" dxfId="11" priority="19" operator="notEqual">
      <formula>$G$52</formula>
    </cfRule>
  </conditionalFormatting>
  <conditionalFormatting sqref="G82">
    <cfRule type="cellIs" dxfId="10" priority="5" operator="notEqual">
      <formula>$G$74</formula>
    </cfRule>
  </conditionalFormatting>
  <conditionalFormatting sqref="G71">
    <cfRule type="cellIs" dxfId="9" priority="3" operator="notEqual">
      <formula>$G$52</formula>
    </cfRule>
  </conditionalFormatting>
  <conditionalFormatting sqref="G49">
    <cfRule type="cellIs" dxfId="8" priority="2" operator="notEqual">
      <formula>$G$52</formula>
    </cfRule>
  </conditionalFormatting>
  <conditionalFormatting sqref="G37">
    <cfRule type="cellIs" dxfId="7" priority="1" operator="notEqual">
      <formula>$G$52</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59 C93 C81 C70 C48 C36"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58 C92 C80 C69 C47 C35" xr:uid="{9DD30DAD-252C-43C8-B2D2-D70E24558917}"/>
    <dataValidation allowBlank="1" showInputMessage="1" showErrorMessage="1" prompt="Services contracted by an organization which follow the normal procurement processes." sqref="C11 C22 C56 C90 C78 C67 C45 C33" xr:uid="{D2D4883A-DF6E-4599-89E1-C25704DD6B71}"/>
    <dataValidation allowBlank="1" showInputMessage="1" showErrorMessage="1" prompt="Includes staff and non-staff travel paid for by the organization directly related to a project." sqref="C12 C23 C57 C91 C79 C68 C46 C34"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55 C89 C77 C66 C44 C32"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54 C88 C76 C65 C43 C31" xr:uid="{F098AF50-6738-49DD-B927-47F3EEE74261}"/>
    <dataValidation allowBlank="1" showInputMessage="1" showErrorMessage="1" prompt="Includes all related staff and temporary staff costs including base salary, post adjustment and all staff entitlements." sqref="C8 C19 C53 C87 C75 C64 C42 C30"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ignoredErrors>
    <ignoredError sqref="D4:F4 D85:F86" unlockedFormula="1"/>
  </ignoredErrors>
  <extLst>
    <ext xmlns:x14="http://schemas.microsoft.com/office/spreadsheetml/2009/9/main" uri="{78C0D931-6437-407d-A8EE-F0AAD7539E65}">
      <x14:conditionalFormattings>
        <x14:conditionalFormatting xmlns:xm="http://schemas.microsoft.com/office/excel/2006/main">
          <x14:cfRule type="cellIs" priority="4" operator="notEqual" id="{9BB3355D-65E3-41AD-A658-41150B167F0C}">
            <xm:f>'1) Budget Table'!$G$55</xm:f>
            <x14:dxf>
              <font>
                <color rgb="FF9C0006"/>
              </font>
              <fill>
                <patternFill>
                  <bgColor rgb="FFFFC7CE"/>
                </patternFill>
              </fill>
            </x14:dxf>
          </x14:cfRule>
          <xm:sqref>G96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heetViews>
  <sheetFormatPr defaultColWidth="8.7109375" defaultRowHeight="15" x14ac:dyDescent="0.25"/>
  <cols>
    <col min="2" max="2" width="73.28515625" customWidth="1"/>
  </cols>
  <sheetData>
    <row r="1" spans="2:6" ht="15.75" thickBot="1" x14ac:dyDescent="0.3"/>
    <row r="2" spans="2:6" ht="15.75" thickBot="1" x14ac:dyDescent="0.3">
      <c r="B2" s="134" t="s">
        <v>24</v>
      </c>
      <c r="C2" s="1"/>
      <c r="D2" s="1"/>
      <c r="E2" s="1"/>
      <c r="F2" s="1"/>
    </row>
    <row r="3" spans="2:6" x14ac:dyDescent="0.25">
      <c r="B3" s="135"/>
    </row>
    <row r="4" spans="2:6" ht="30.75" customHeight="1" x14ac:dyDescent="0.25">
      <c r="B4" s="136" t="s">
        <v>17</v>
      </c>
    </row>
    <row r="5" spans="2:6" ht="30.75" customHeight="1" x14ac:dyDescent="0.25">
      <c r="B5" s="136"/>
    </row>
    <row r="6" spans="2:6" ht="60" x14ac:dyDescent="0.25">
      <c r="B6" s="136" t="s">
        <v>18</v>
      </c>
    </row>
    <row r="7" spans="2:6" x14ac:dyDescent="0.25">
      <c r="B7" s="136"/>
    </row>
    <row r="8" spans="2:6" ht="60" x14ac:dyDescent="0.25">
      <c r="B8" s="136" t="s">
        <v>19</v>
      </c>
    </row>
    <row r="9" spans="2:6" x14ac:dyDescent="0.25">
      <c r="B9" s="136"/>
    </row>
    <row r="10" spans="2:6" ht="60" x14ac:dyDescent="0.25">
      <c r="B10" s="136" t="s">
        <v>20</v>
      </c>
    </row>
    <row r="11" spans="2:6" x14ac:dyDescent="0.25">
      <c r="B11" s="136"/>
    </row>
    <row r="12" spans="2:6" ht="30" x14ac:dyDescent="0.25">
      <c r="B12" s="136" t="s">
        <v>21</v>
      </c>
    </row>
    <row r="13" spans="2:6" x14ac:dyDescent="0.25">
      <c r="B13" s="136"/>
    </row>
    <row r="14" spans="2:6" ht="60" x14ac:dyDescent="0.25">
      <c r="B14" s="136" t="s">
        <v>22</v>
      </c>
    </row>
    <row r="15" spans="2:6" x14ac:dyDescent="0.25">
      <c r="B15" s="136"/>
    </row>
    <row r="16" spans="2:6" ht="45.75" thickBot="1" x14ac:dyDescent="0.3">
      <c r="B16" s="137" t="s">
        <v>23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5" zoomScale="80" zoomScaleNormal="80" zoomScaleSheetLayoutView="70" workbookViewId="0">
      <selection activeCell="D10" sqref="D10"/>
    </sheetView>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305" t="s">
        <v>411</v>
      </c>
      <c r="C2" s="306"/>
      <c r="D2" s="307"/>
    </row>
    <row r="3" spans="2:4" ht="15.75" thickBot="1" x14ac:dyDescent="0.3">
      <c r="B3" s="308"/>
      <c r="C3" s="309"/>
      <c r="D3" s="310"/>
    </row>
    <row r="4" spans="2:4" ht="15.75" thickBot="1" x14ac:dyDescent="0.3"/>
    <row r="5" spans="2:4" x14ac:dyDescent="0.25">
      <c r="B5" s="316" t="s">
        <v>44</v>
      </c>
      <c r="C5" s="317"/>
      <c r="D5" s="318"/>
    </row>
    <row r="6" spans="2:4" ht="15.75" thickBot="1" x14ac:dyDescent="0.3">
      <c r="B6" s="313"/>
      <c r="C6" s="314"/>
      <c r="D6" s="315"/>
    </row>
    <row r="7" spans="2:4" x14ac:dyDescent="0.25">
      <c r="B7" s="79" t="s">
        <v>48</v>
      </c>
      <c r="C7" s="311" t="e">
        <f>SUM('1) Budget Table'!D10:F10,'1) Budget Table'!D16:F16,'1) Budget Table'!D19:F19,'1) Budget Table'!#REF!)</f>
        <v>#REF!</v>
      </c>
      <c r="D7" s="312"/>
    </row>
    <row r="8" spans="2:4" x14ac:dyDescent="0.25">
      <c r="B8" s="79" t="s">
        <v>395</v>
      </c>
      <c r="C8" s="319" t="e">
        <f>SUM(D10:D14)</f>
        <v>#REF!</v>
      </c>
      <c r="D8" s="320"/>
    </row>
    <row r="9" spans="2:4" x14ac:dyDescent="0.25">
      <c r="B9" s="80" t="s">
        <v>389</v>
      </c>
      <c r="C9" s="81" t="s">
        <v>390</v>
      </c>
      <c r="D9" s="82" t="s">
        <v>391</v>
      </c>
    </row>
    <row r="10" spans="2:4" ht="35.1" customHeight="1" x14ac:dyDescent="0.25">
      <c r="B10" s="102"/>
      <c r="C10" s="84"/>
      <c r="D10" s="85" t="e">
        <f>$C$7*C10</f>
        <v>#REF!</v>
      </c>
    </row>
    <row r="11" spans="2:4" ht="35.1" customHeight="1" x14ac:dyDescent="0.25">
      <c r="B11" s="102"/>
      <c r="C11" s="84"/>
      <c r="D11" s="85" t="e">
        <f>C7*C11</f>
        <v>#REF!</v>
      </c>
    </row>
    <row r="12" spans="2:4" ht="35.1" customHeight="1" x14ac:dyDescent="0.25">
      <c r="B12" s="103"/>
      <c r="C12" s="84"/>
      <c r="D12" s="85" t="e">
        <f>C7*C12</f>
        <v>#REF!</v>
      </c>
    </row>
    <row r="13" spans="2:4" ht="35.1" customHeight="1" x14ac:dyDescent="0.25">
      <c r="B13" s="103"/>
      <c r="C13" s="84"/>
      <c r="D13" s="85" t="e">
        <f>C7*C13</f>
        <v>#REF!</v>
      </c>
    </row>
    <row r="14" spans="2:4" ht="35.1" customHeight="1" thickBot="1" x14ac:dyDescent="0.3">
      <c r="B14" s="104"/>
      <c r="C14" s="84"/>
      <c r="D14" s="89" t="e">
        <f>C7*C14</f>
        <v>#REF!</v>
      </c>
    </row>
    <row r="15" spans="2:4" ht="15.75" thickBot="1" x14ac:dyDescent="0.3"/>
    <row r="16" spans="2:4" x14ac:dyDescent="0.25">
      <c r="B16" s="316" t="s">
        <v>392</v>
      </c>
      <c r="C16" s="317"/>
      <c r="D16" s="318"/>
    </row>
    <row r="17" spans="2:4" ht="15.75" thickBot="1" x14ac:dyDescent="0.3">
      <c r="B17" s="321"/>
      <c r="C17" s="322"/>
      <c r="D17" s="323"/>
    </row>
    <row r="18" spans="2:4" x14ac:dyDescent="0.25">
      <c r="B18" s="79" t="s">
        <v>48</v>
      </c>
      <c r="C18" s="311" t="e">
        <f>SUM('1) Budget Table'!#REF!,'1) Budget Table'!#REF!,'1) Budget Table'!#REF!,'1) Budget Table'!#REF!)</f>
        <v>#REF!</v>
      </c>
      <c r="D18" s="312"/>
    </row>
    <row r="19" spans="2:4" x14ac:dyDescent="0.25">
      <c r="B19" s="79" t="s">
        <v>395</v>
      </c>
      <c r="C19" s="319" t="e">
        <f>SUM(D21:D25)</f>
        <v>#REF!</v>
      </c>
      <c r="D19" s="320"/>
    </row>
    <row r="20" spans="2:4" x14ac:dyDescent="0.25">
      <c r="B20" s="80" t="s">
        <v>389</v>
      </c>
      <c r="C20" s="81" t="s">
        <v>390</v>
      </c>
      <c r="D20" s="82" t="s">
        <v>391</v>
      </c>
    </row>
    <row r="21" spans="2:4" ht="35.1" customHeight="1" x14ac:dyDescent="0.25">
      <c r="B21" s="83"/>
      <c r="C21" s="84"/>
      <c r="D21" s="85" t="e">
        <f>$C$18*C21</f>
        <v>#REF!</v>
      </c>
    </row>
    <row r="22" spans="2:4" ht="35.1" customHeight="1" x14ac:dyDescent="0.25">
      <c r="B22" s="86"/>
      <c r="C22" s="84"/>
      <c r="D22" s="85" t="e">
        <f>$C$18*C22</f>
        <v>#REF!</v>
      </c>
    </row>
    <row r="23" spans="2:4" ht="35.1" customHeight="1" x14ac:dyDescent="0.25">
      <c r="B23" s="87"/>
      <c r="C23" s="84"/>
      <c r="D23" s="85" t="e">
        <f>$C$18*C23</f>
        <v>#REF!</v>
      </c>
    </row>
    <row r="24" spans="2:4" ht="35.1" customHeight="1" x14ac:dyDescent="0.25">
      <c r="B24" s="87"/>
      <c r="C24" s="84"/>
      <c r="D24" s="85" t="e">
        <f>$C$18*C24</f>
        <v>#REF!</v>
      </c>
    </row>
    <row r="25" spans="2:4" ht="35.1" customHeight="1" thickBot="1" x14ac:dyDescent="0.3">
      <c r="B25" s="88"/>
      <c r="C25" s="84"/>
      <c r="D25" s="85" t="e">
        <f>$C$18*C25</f>
        <v>#REF!</v>
      </c>
    </row>
    <row r="26" spans="2:4" ht="15.75" thickBot="1" x14ac:dyDescent="0.3"/>
    <row r="27" spans="2:4" x14ac:dyDescent="0.25">
      <c r="B27" s="316" t="s">
        <v>393</v>
      </c>
      <c r="C27" s="317"/>
      <c r="D27" s="318"/>
    </row>
    <row r="28" spans="2:4" ht="15.75" thickBot="1" x14ac:dyDescent="0.3">
      <c r="B28" s="313"/>
      <c r="C28" s="314"/>
      <c r="D28" s="315"/>
    </row>
    <row r="29" spans="2:4" x14ac:dyDescent="0.25">
      <c r="B29" s="79" t="s">
        <v>48</v>
      </c>
      <c r="C29" s="311" t="e">
        <f>SUM('1) Budget Table'!#REF!,'1) Budget Table'!#REF!,'1) Budget Table'!#REF!,'1) Budget Table'!#REF!)</f>
        <v>#REF!</v>
      </c>
      <c r="D29" s="312"/>
    </row>
    <row r="30" spans="2:4" x14ac:dyDescent="0.25">
      <c r="B30" s="79" t="s">
        <v>395</v>
      </c>
      <c r="C30" s="319" t="e">
        <f>SUM(D32:D36)</f>
        <v>#REF!</v>
      </c>
      <c r="D30" s="320"/>
    </row>
    <row r="31" spans="2:4" x14ac:dyDescent="0.25">
      <c r="B31" s="80" t="s">
        <v>389</v>
      </c>
      <c r="C31" s="81" t="s">
        <v>390</v>
      </c>
      <c r="D31" s="82" t="s">
        <v>391</v>
      </c>
    </row>
    <row r="32" spans="2:4" ht="35.1" customHeight="1" x14ac:dyDescent="0.25">
      <c r="B32" s="83"/>
      <c r="C32" s="84"/>
      <c r="D32" s="85" t="e">
        <f>$C$29*C32</f>
        <v>#REF!</v>
      </c>
    </row>
    <row r="33" spans="2:4" ht="35.1" customHeight="1" x14ac:dyDescent="0.25">
      <c r="B33" s="86"/>
      <c r="C33" s="84"/>
      <c r="D33" s="85" t="e">
        <f>$C$29*C33</f>
        <v>#REF!</v>
      </c>
    </row>
    <row r="34" spans="2:4" ht="35.1" customHeight="1" x14ac:dyDescent="0.25">
      <c r="B34" s="87"/>
      <c r="C34" s="84"/>
      <c r="D34" s="85" t="e">
        <f>$C$29*C34</f>
        <v>#REF!</v>
      </c>
    </row>
    <row r="35" spans="2:4" ht="35.1" customHeight="1" x14ac:dyDescent="0.25">
      <c r="B35" s="87"/>
      <c r="C35" s="84"/>
      <c r="D35" s="85" t="e">
        <f>$C$29*C35</f>
        <v>#REF!</v>
      </c>
    </row>
    <row r="36" spans="2:4" ht="35.1" customHeight="1" thickBot="1" x14ac:dyDescent="0.3">
      <c r="B36" s="88"/>
      <c r="C36" s="84"/>
      <c r="D36" s="85" t="e">
        <f>$C$29*C36</f>
        <v>#REF!</v>
      </c>
    </row>
    <row r="37" spans="2:4" ht="15.75" thickBot="1" x14ac:dyDescent="0.3"/>
    <row r="38" spans="2:4" x14ac:dyDescent="0.25">
      <c r="B38" s="316" t="s">
        <v>394</v>
      </c>
      <c r="C38" s="317"/>
      <c r="D38" s="318"/>
    </row>
    <row r="39" spans="2:4" ht="15.75" thickBot="1" x14ac:dyDescent="0.3">
      <c r="B39" s="313"/>
      <c r="C39" s="314"/>
      <c r="D39" s="315"/>
    </row>
    <row r="40" spans="2:4" x14ac:dyDescent="0.25">
      <c r="B40" s="79" t="s">
        <v>48</v>
      </c>
      <c r="C40" s="311" t="e">
        <f>SUM('1) Budget Table'!#REF!,'1) Budget Table'!#REF!,'1) Budget Table'!#REF!,'1) Budget Table'!#REF!)</f>
        <v>#REF!</v>
      </c>
      <c r="D40" s="312"/>
    </row>
    <row r="41" spans="2:4" x14ac:dyDescent="0.25">
      <c r="B41" s="79" t="s">
        <v>395</v>
      </c>
      <c r="C41" s="319" t="e">
        <f>SUM(D43:D47)</f>
        <v>#REF!</v>
      </c>
      <c r="D41" s="320"/>
    </row>
    <row r="42" spans="2:4" x14ac:dyDescent="0.25">
      <c r="B42" s="80" t="s">
        <v>389</v>
      </c>
      <c r="C42" s="81" t="s">
        <v>390</v>
      </c>
      <c r="D42" s="82" t="s">
        <v>391</v>
      </c>
    </row>
    <row r="43" spans="2:4" ht="35.1" customHeight="1" x14ac:dyDescent="0.25">
      <c r="B43" s="83"/>
      <c r="C43" s="84"/>
      <c r="D43" s="85" t="e">
        <f>$C$40*C43</f>
        <v>#REF!</v>
      </c>
    </row>
    <row r="44" spans="2:4" ht="35.1" customHeight="1" x14ac:dyDescent="0.25">
      <c r="B44" s="86"/>
      <c r="C44" s="84"/>
      <c r="D44" s="85" t="e">
        <f>$C$40*C44</f>
        <v>#REF!</v>
      </c>
    </row>
    <row r="45" spans="2:4" ht="35.1" customHeight="1" x14ac:dyDescent="0.25">
      <c r="B45" s="87"/>
      <c r="C45" s="84"/>
      <c r="D45" s="85" t="e">
        <f>$C$40*C45</f>
        <v>#REF!</v>
      </c>
    </row>
    <row r="46" spans="2:4" ht="35.1" customHeight="1" x14ac:dyDescent="0.25">
      <c r="B46" s="87"/>
      <c r="C46" s="84"/>
      <c r="D46" s="85" t="e">
        <f>$C$40*C46</f>
        <v>#REF!</v>
      </c>
    </row>
    <row r="47" spans="2:4" ht="35.1" customHeight="1" thickBot="1" x14ac:dyDescent="0.3">
      <c r="B47" s="88"/>
      <c r="C47" s="84"/>
      <c r="D47" s="89"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4" zoomScale="80" zoomScaleNormal="80" workbookViewId="0">
      <selection activeCell="F10" sqref="F10"/>
    </sheetView>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6" ht="15.75" thickBot="1" x14ac:dyDescent="0.3"/>
    <row r="2" spans="2:6" s="72" customFormat="1" ht="15.75" x14ac:dyDescent="0.25">
      <c r="B2" s="325" t="s">
        <v>36</v>
      </c>
      <c r="C2" s="326"/>
      <c r="D2" s="326"/>
      <c r="E2" s="326"/>
      <c r="F2" s="327"/>
    </row>
    <row r="3" spans="2:6" s="72" customFormat="1" ht="16.5" thickBot="1" x14ac:dyDescent="0.3">
      <c r="B3" s="328"/>
      <c r="C3" s="329"/>
      <c r="D3" s="329"/>
      <c r="E3" s="329"/>
      <c r="F3" s="330"/>
    </row>
    <row r="4" spans="2:6" s="72" customFormat="1" ht="16.5" thickBot="1" x14ac:dyDescent="0.3"/>
    <row r="5" spans="2:6" s="72" customFormat="1" ht="16.5" thickBot="1" x14ac:dyDescent="0.3">
      <c r="B5" s="302" t="s">
        <v>16</v>
      </c>
      <c r="C5" s="303"/>
      <c r="D5" s="303"/>
      <c r="E5" s="303"/>
      <c r="F5" s="304"/>
    </row>
    <row r="6" spans="2:6" s="72" customFormat="1" ht="15.75" x14ac:dyDescent="0.25">
      <c r="B6" s="144"/>
      <c r="C6" s="331" t="str">
        <f>'1) Budget Table'!D4</f>
        <v>Recipient Organization 1
UNDP</v>
      </c>
      <c r="D6" s="331" t="str">
        <f>'1) Budget Table'!E4</f>
        <v>Recipient Organization 2
UNFPA</v>
      </c>
      <c r="E6" s="331" t="str">
        <f>'1) Budget Table'!F4</f>
        <v>Recipient Organization 3
WFP</v>
      </c>
      <c r="F6" s="300" t="s">
        <v>16</v>
      </c>
    </row>
    <row r="7" spans="2:6" s="72" customFormat="1" ht="15.75" x14ac:dyDescent="0.25">
      <c r="B7" s="144"/>
      <c r="C7" s="332"/>
      <c r="D7" s="332"/>
      <c r="E7" s="332"/>
      <c r="F7" s="301"/>
    </row>
    <row r="8" spans="2:6" s="72" customFormat="1" ht="31.5" x14ac:dyDescent="0.25">
      <c r="B8" s="138" t="s">
        <v>8</v>
      </c>
      <c r="C8" s="145">
        <f>'2) By Category'!D87</f>
        <v>433456.23</v>
      </c>
      <c r="D8" s="145">
        <f>'2) By Category'!E87</f>
        <v>55000</v>
      </c>
      <c r="E8" s="145">
        <f>'2) By Category'!F87</f>
        <v>30000</v>
      </c>
      <c r="F8" s="141">
        <f t="shared" ref="F8:F15" si="0">SUM(C8:E8)</f>
        <v>518456.23</v>
      </c>
    </row>
    <row r="9" spans="2:6" s="72" customFormat="1" ht="47.25" x14ac:dyDescent="0.25">
      <c r="B9" s="138" t="s">
        <v>9</v>
      </c>
      <c r="C9" s="145">
        <f>'2) By Category'!D88</f>
        <v>66544.479999999996</v>
      </c>
      <c r="D9" s="145">
        <f>'2) By Category'!E88</f>
        <v>17850</v>
      </c>
      <c r="E9" s="145">
        <f>'2) By Category'!F88</f>
        <v>12066.98</v>
      </c>
      <c r="F9" s="142">
        <f t="shared" si="0"/>
        <v>96461.459999999992</v>
      </c>
    </row>
    <row r="10" spans="2:6" s="72" customFormat="1" ht="78.75" x14ac:dyDescent="0.25">
      <c r="B10" s="138" t="s">
        <v>10</v>
      </c>
      <c r="C10" s="145">
        <f>'2) By Category'!D89</f>
        <v>12051.16</v>
      </c>
      <c r="D10" s="145">
        <f>'2) By Category'!E89</f>
        <v>0</v>
      </c>
      <c r="E10" s="145">
        <f>'2) By Category'!F89</f>
        <v>0</v>
      </c>
      <c r="F10" s="142">
        <f t="shared" si="0"/>
        <v>12051.16</v>
      </c>
    </row>
    <row r="11" spans="2:6" s="72" customFormat="1" ht="31.5" x14ac:dyDescent="0.25">
      <c r="B11" s="140" t="s">
        <v>11</v>
      </c>
      <c r="C11" s="145">
        <f>'2) By Category'!D90</f>
        <v>308586.25</v>
      </c>
      <c r="D11" s="145">
        <f>'2) By Category'!E90</f>
        <v>5524</v>
      </c>
      <c r="E11" s="145">
        <f>'2) By Category'!F90</f>
        <v>0</v>
      </c>
      <c r="F11" s="142">
        <f t="shared" si="0"/>
        <v>314110.25</v>
      </c>
    </row>
    <row r="12" spans="2:6" s="72" customFormat="1" ht="15.75" x14ac:dyDescent="0.25">
      <c r="B12" s="138" t="s">
        <v>15</v>
      </c>
      <c r="C12" s="145">
        <f>'2) By Category'!D91</f>
        <v>18235.96</v>
      </c>
      <c r="D12" s="145">
        <f>'2) By Category'!E91</f>
        <v>2741</v>
      </c>
      <c r="E12" s="145">
        <f>'2) By Category'!F91</f>
        <v>0</v>
      </c>
      <c r="F12" s="142">
        <f t="shared" si="0"/>
        <v>20976.959999999999</v>
      </c>
    </row>
    <row r="13" spans="2:6" s="72" customFormat="1" ht="47.25" x14ac:dyDescent="0.25">
      <c r="B13" s="138" t="s">
        <v>12</v>
      </c>
      <c r="C13" s="145">
        <f>'2) By Category'!D92</f>
        <v>395618.99</v>
      </c>
      <c r="D13" s="145">
        <f>'2) By Category'!E92</f>
        <v>5439.2500000000009</v>
      </c>
      <c r="E13" s="145">
        <f>'2) By Category'!F92</f>
        <v>101330.23</v>
      </c>
      <c r="F13" s="142">
        <f t="shared" si="0"/>
        <v>502388.47</v>
      </c>
    </row>
    <row r="14" spans="2:6" s="72" customFormat="1" ht="48" thickBot="1" x14ac:dyDescent="0.3">
      <c r="B14" s="139" t="s">
        <v>40</v>
      </c>
      <c r="C14" s="146">
        <f>'2) By Category'!D93</f>
        <v>116219.14999999997</v>
      </c>
      <c r="D14" s="146">
        <f>'2) By Category'!E93</f>
        <v>26985</v>
      </c>
      <c r="E14" s="146">
        <f>'2) By Category'!F93</f>
        <v>27102.79</v>
      </c>
      <c r="F14" s="143">
        <f t="shared" si="0"/>
        <v>170306.93999999997</v>
      </c>
    </row>
    <row r="15" spans="2:6" s="72" customFormat="1" ht="30" customHeight="1" x14ac:dyDescent="0.25">
      <c r="B15" s="149" t="s">
        <v>413</v>
      </c>
      <c r="C15" s="150">
        <f>SUM(C8:C14)</f>
        <v>1350712.2199999997</v>
      </c>
      <c r="D15" s="150">
        <f>SUM(D8:D14)</f>
        <v>113539.25</v>
      </c>
      <c r="E15" s="150">
        <f>SUM(E8:E14)</f>
        <v>170500</v>
      </c>
      <c r="F15" s="151">
        <f t="shared" si="0"/>
        <v>1634751.4699999997</v>
      </c>
    </row>
    <row r="16" spans="2:6" s="147" customFormat="1" ht="19.5" customHeight="1" x14ac:dyDescent="0.25">
      <c r="B16" s="148" t="s">
        <v>404</v>
      </c>
      <c r="C16" s="152">
        <f>C15*0.07</f>
        <v>94549.855399999986</v>
      </c>
      <c r="D16" s="152">
        <f t="shared" ref="D16:F16" si="1">D15*0.07</f>
        <v>7947.7475000000004</v>
      </c>
      <c r="E16" s="152">
        <f t="shared" si="1"/>
        <v>11935.000000000002</v>
      </c>
      <c r="F16" s="152">
        <f t="shared" si="1"/>
        <v>114432.6029</v>
      </c>
    </row>
    <row r="17" spans="2:7" s="147" customFormat="1" ht="25.5" customHeight="1" thickBot="1" x14ac:dyDescent="0.3">
      <c r="B17" s="153" t="s">
        <v>35</v>
      </c>
      <c r="C17" s="154">
        <f>C15+C16</f>
        <v>1445262.0753999997</v>
      </c>
      <c r="D17" s="154">
        <f t="shared" ref="D17:F17" si="2">D15+D16</f>
        <v>121486.9975</v>
      </c>
      <c r="E17" s="154">
        <f t="shared" si="2"/>
        <v>182435</v>
      </c>
      <c r="F17" s="154">
        <f t="shared" si="2"/>
        <v>1749184.0728999998</v>
      </c>
    </row>
    <row r="18" spans="2:7" s="72" customFormat="1" ht="16.5" thickBot="1" x14ac:dyDescent="0.3"/>
    <row r="19" spans="2:7" s="72" customFormat="1" ht="15.75" customHeight="1" x14ac:dyDescent="0.25">
      <c r="B19" s="333" t="s">
        <v>25</v>
      </c>
      <c r="C19" s="334"/>
      <c r="D19" s="334"/>
      <c r="E19" s="334"/>
      <c r="F19" s="335"/>
      <c r="G19" s="169"/>
    </row>
    <row r="20" spans="2:7" ht="15.75" customHeight="1" x14ac:dyDescent="0.25">
      <c r="B20" s="336"/>
      <c r="C20" s="269" t="str">
        <f>'1) Budget Table'!D4</f>
        <v>Recipient Organization 1
UNDP</v>
      </c>
      <c r="D20" s="269" t="str">
        <f>'1) Budget Table'!E4</f>
        <v>Recipient Organization 2
UNFPA</v>
      </c>
      <c r="E20" s="269" t="str">
        <f>'1) Budget Table'!F4</f>
        <v>Recipient Organization 3
WFP</v>
      </c>
      <c r="F20" s="338" t="s">
        <v>405</v>
      </c>
      <c r="G20" s="324" t="s">
        <v>27</v>
      </c>
    </row>
    <row r="21" spans="2:7" ht="15.75" customHeight="1" x14ac:dyDescent="0.25">
      <c r="B21" s="337"/>
      <c r="C21" s="270"/>
      <c r="D21" s="270"/>
      <c r="E21" s="270"/>
      <c r="F21" s="339"/>
      <c r="G21" s="301"/>
    </row>
    <row r="22" spans="2:7" ht="23.25" customHeight="1" x14ac:dyDescent="0.25">
      <c r="B22" s="24" t="s">
        <v>26</v>
      </c>
      <c r="C22" s="165">
        <f>'1) Budget Table'!D61</f>
        <v>841051.52220000001</v>
      </c>
      <c r="D22" s="165">
        <f>'1) Budget Table'!E61</f>
        <v>67731</v>
      </c>
      <c r="E22" s="165">
        <f>'1) Budget Table'!F61</f>
        <v>91217.5</v>
      </c>
      <c r="F22" s="167">
        <f>'1) Budget Table'!G61</f>
        <v>1000000.0222</v>
      </c>
      <c r="G22" s="164">
        <f>'1) Budget Table'!H61</f>
        <v>0.5</v>
      </c>
    </row>
    <row r="23" spans="2:7" ht="24.75" customHeight="1" x14ac:dyDescent="0.25">
      <c r="B23" s="24" t="s">
        <v>28</v>
      </c>
      <c r="C23" s="165">
        <f>'1) Budget Table'!D62</f>
        <v>504630.91331999999</v>
      </c>
      <c r="D23" s="165">
        <f>'1) Budget Table'!E62</f>
        <v>40638.6</v>
      </c>
      <c r="E23" s="165">
        <f>'1) Budget Table'!F62</f>
        <v>54730.5</v>
      </c>
      <c r="F23" s="167">
        <f>'1) Budget Table'!G62</f>
        <v>600000.01332000003</v>
      </c>
      <c r="G23" s="9">
        <f>'1) Budget Table'!H62</f>
        <v>0.3</v>
      </c>
    </row>
    <row r="24" spans="2:7" ht="24.75" customHeight="1" x14ac:dyDescent="0.25">
      <c r="B24" s="24" t="s">
        <v>417</v>
      </c>
      <c r="C24" s="165">
        <f>'1) Budget Table'!D63</f>
        <v>336420.60888000001</v>
      </c>
      <c r="D24" s="165">
        <f>'1) Budget Table'!E63</f>
        <v>27092.400000000001</v>
      </c>
      <c r="E24" s="165">
        <f>'1) Budget Table'!F63</f>
        <v>36487</v>
      </c>
      <c r="F24" s="167">
        <f>'1) Budget Table'!G63</f>
        <v>400000.00888000004</v>
      </c>
      <c r="G24" s="9">
        <f>'1) Budget Table'!H63</f>
        <v>0.2</v>
      </c>
    </row>
    <row r="25" spans="2:7" ht="16.5" thickBot="1" x14ac:dyDescent="0.3">
      <c r="B25" s="10" t="s">
        <v>405</v>
      </c>
      <c r="C25" s="166">
        <f>'1) Budget Table'!D64</f>
        <v>1682103.0444</v>
      </c>
      <c r="D25" s="166">
        <f>'1) Budget Table'!E64</f>
        <v>135462</v>
      </c>
      <c r="E25" s="166">
        <f>'1) Budget Table'!F64</f>
        <v>182435</v>
      </c>
      <c r="F25" s="168">
        <f>'1) Budget Table'!G64</f>
        <v>2000000.0444</v>
      </c>
      <c r="G25" s="17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Table'!$G$55</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33">
        <v>0</v>
      </c>
    </row>
    <row r="2" spans="1:1" x14ac:dyDescent="0.25">
      <c r="A2" s="133">
        <v>0.2</v>
      </c>
    </row>
    <row r="3" spans="1:1" x14ac:dyDescent="0.25">
      <c r="A3" s="133">
        <v>0.4</v>
      </c>
    </row>
    <row r="4" spans="1:1" x14ac:dyDescent="0.25">
      <c r="A4" s="133">
        <v>0.6</v>
      </c>
    </row>
    <row r="5" spans="1:1" x14ac:dyDescent="0.25">
      <c r="A5" s="133">
        <v>0.8</v>
      </c>
    </row>
    <row r="6" spans="1:1" x14ac:dyDescent="0.25">
      <c r="A6" s="13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5" x14ac:dyDescent="0.25"/>
  <sheetData>
    <row r="1" spans="1:2" x14ac:dyDescent="0.25">
      <c r="A1" s="73" t="s">
        <v>49</v>
      </c>
      <c r="B1" s="74" t="s">
        <v>50</v>
      </c>
    </row>
    <row r="2" spans="1:2" x14ac:dyDescent="0.25">
      <c r="A2" s="75" t="s">
        <v>51</v>
      </c>
      <c r="B2" s="76" t="s">
        <v>52</v>
      </c>
    </row>
    <row r="3" spans="1:2" x14ac:dyDescent="0.25">
      <c r="A3" s="75" t="s">
        <v>53</v>
      </c>
      <c r="B3" s="76" t="s">
        <v>54</v>
      </c>
    </row>
    <row r="4" spans="1:2" x14ac:dyDescent="0.25">
      <c r="A4" s="75" t="s">
        <v>55</v>
      </c>
      <c r="B4" s="76" t="s">
        <v>56</v>
      </c>
    </row>
    <row r="5" spans="1:2" x14ac:dyDescent="0.25">
      <c r="A5" s="75" t="s">
        <v>57</v>
      </c>
      <c r="B5" s="76" t="s">
        <v>58</v>
      </c>
    </row>
    <row r="6" spans="1:2" x14ac:dyDescent="0.25">
      <c r="A6" s="75" t="s">
        <v>59</v>
      </c>
      <c r="B6" s="76" t="s">
        <v>60</v>
      </c>
    </row>
    <row r="7" spans="1:2" x14ac:dyDescent="0.25">
      <c r="A7" s="75" t="s">
        <v>61</v>
      </c>
      <c r="B7" s="76" t="s">
        <v>62</v>
      </c>
    </row>
    <row r="8" spans="1:2" x14ac:dyDescent="0.25">
      <c r="A8" s="75" t="s">
        <v>63</v>
      </c>
      <c r="B8" s="76" t="s">
        <v>64</v>
      </c>
    </row>
    <row r="9" spans="1:2" x14ac:dyDescent="0.25">
      <c r="A9" s="75" t="s">
        <v>65</v>
      </c>
      <c r="B9" s="76" t="s">
        <v>66</v>
      </c>
    </row>
    <row r="10" spans="1:2" x14ac:dyDescent="0.25">
      <c r="A10" s="75" t="s">
        <v>67</v>
      </c>
      <c r="B10" s="76" t="s">
        <v>68</v>
      </c>
    </row>
    <row r="11" spans="1:2" x14ac:dyDescent="0.25">
      <c r="A11" s="75" t="s">
        <v>69</v>
      </c>
      <c r="B11" s="76" t="s">
        <v>70</v>
      </c>
    </row>
    <row r="12" spans="1:2" x14ac:dyDescent="0.25">
      <c r="A12" s="75" t="s">
        <v>71</v>
      </c>
      <c r="B12" s="76" t="s">
        <v>72</v>
      </c>
    </row>
    <row r="13" spans="1:2" x14ac:dyDescent="0.25">
      <c r="A13" s="75" t="s">
        <v>73</v>
      </c>
      <c r="B13" s="76" t="s">
        <v>74</v>
      </c>
    </row>
    <row r="14" spans="1:2" x14ac:dyDescent="0.25">
      <c r="A14" s="75" t="s">
        <v>75</v>
      </c>
      <c r="B14" s="76" t="s">
        <v>76</v>
      </c>
    </row>
    <row r="15" spans="1:2" x14ac:dyDescent="0.25">
      <c r="A15" s="75" t="s">
        <v>77</v>
      </c>
      <c r="B15" s="76" t="s">
        <v>78</v>
      </c>
    </row>
    <row r="16" spans="1:2" x14ac:dyDescent="0.25">
      <c r="A16" s="75" t="s">
        <v>79</v>
      </c>
      <c r="B16" s="76" t="s">
        <v>80</v>
      </c>
    </row>
    <row r="17" spans="1:2" x14ac:dyDescent="0.25">
      <c r="A17" s="75" t="s">
        <v>81</v>
      </c>
      <c r="B17" s="76" t="s">
        <v>82</v>
      </c>
    </row>
    <row r="18" spans="1:2" x14ac:dyDescent="0.25">
      <c r="A18" s="75" t="s">
        <v>83</v>
      </c>
      <c r="B18" s="76" t="s">
        <v>84</v>
      </c>
    </row>
    <row r="19" spans="1:2" x14ac:dyDescent="0.25">
      <c r="A19" s="75" t="s">
        <v>85</v>
      </c>
      <c r="B19" s="76" t="s">
        <v>86</v>
      </c>
    </row>
    <row r="20" spans="1:2" x14ac:dyDescent="0.25">
      <c r="A20" s="75" t="s">
        <v>87</v>
      </c>
      <c r="B20" s="76" t="s">
        <v>88</v>
      </c>
    </row>
    <row r="21" spans="1:2" x14ac:dyDescent="0.25">
      <c r="A21" s="75" t="s">
        <v>89</v>
      </c>
      <c r="B21" s="76" t="s">
        <v>90</v>
      </c>
    </row>
    <row r="22" spans="1:2" x14ac:dyDescent="0.25">
      <c r="A22" s="75" t="s">
        <v>91</v>
      </c>
      <c r="B22" s="76" t="s">
        <v>92</v>
      </c>
    </row>
    <row r="23" spans="1:2" x14ac:dyDescent="0.25">
      <c r="A23" s="75" t="s">
        <v>93</v>
      </c>
      <c r="B23" s="76" t="s">
        <v>94</v>
      </c>
    </row>
    <row r="24" spans="1:2" x14ac:dyDescent="0.25">
      <c r="A24" s="75" t="s">
        <v>95</v>
      </c>
      <c r="B24" s="76" t="s">
        <v>96</v>
      </c>
    </row>
    <row r="25" spans="1:2" x14ac:dyDescent="0.25">
      <c r="A25" s="75" t="s">
        <v>97</v>
      </c>
      <c r="B25" s="76" t="s">
        <v>98</v>
      </c>
    </row>
    <row r="26" spans="1:2" x14ac:dyDescent="0.25">
      <c r="A26" s="75" t="s">
        <v>99</v>
      </c>
      <c r="B26" s="76" t="s">
        <v>100</v>
      </c>
    </row>
    <row r="27" spans="1:2" x14ac:dyDescent="0.25">
      <c r="A27" s="75" t="s">
        <v>101</v>
      </c>
      <c r="B27" s="76" t="s">
        <v>102</v>
      </c>
    </row>
    <row r="28" spans="1:2" x14ac:dyDescent="0.25">
      <c r="A28" s="75" t="s">
        <v>103</v>
      </c>
      <c r="B28" s="76" t="s">
        <v>104</v>
      </c>
    </row>
    <row r="29" spans="1:2" x14ac:dyDescent="0.25">
      <c r="A29" s="75" t="s">
        <v>105</v>
      </c>
      <c r="B29" s="76" t="s">
        <v>106</v>
      </c>
    </row>
    <row r="30" spans="1:2" x14ac:dyDescent="0.25">
      <c r="A30" s="75" t="s">
        <v>107</v>
      </c>
      <c r="B30" s="76" t="s">
        <v>108</v>
      </c>
    </row>
    <row r="31" spans="1:2" x14ac:dyDescent="0.25">
      <c r="A31" s="75" t="s">
        <v>109</v>
      </c>
      <c r="B31" s="76" t="s">
        <v>110</v>
      </c>
    </row>
    <row r="32" spans="1:2" x14ac:dyDescent="0.25">
      <c r="A32" s="75" t="s">
        <v>111</v>
      </c>
      <c r="B32" s="76" t="s">
        <v>112</v>
      </c>
    </row>
    <row r="33" spans="1:2" x14ac:dyDescent="0.25">
      <c r="A33" s="75" t="s">
        <v>113</v>
      </c>
      <c r="B33" s="76" t="s">
        <v>114</v>
      </c>
    </row>
    <row r="34" spans="1:2" x14ac:dyDescent="0.25">
      <c r="A34" s="75" t="s">
        <v>115</v>
      </c>
      <c r="B34" s="76" t="s">
        <v>116</v>
      </c>
    </row>
    <row r="35" spans="1:2" x14ac:dyDescent="0.25">
      <c r="A35" s="75" t="s">
        <v>117</v>
      </c>
      <c r="B35" s="76" t="s">
        <v>118</v>
      </c>
    </row>
    <row r="36" spans="1:2" x14ac:dyDescent="0.25">
      <c r="A36" s="75" t="s">
        <v>119</v>
      </c>
      <c r="B36" s="76" t="s">
        <v>120</v>
      </c>
    </row>
    <row r="37" spans="1:2" x14ac:dyDescent="0.25">
      <c r="A37" s="75" t="s">
        <v>121</v>
      </c>
      <c r="B37" s="76" t="s">
        <v>122</v>
      </c>
    </row>
    <row r="38" spans="1:2" x14ac:dyDescent="0.25">
      <c r="A38" s="75" t="s">
        <v>123</v>
      </c>
      <c r="B38" s="76" t="s">
        <v>124</v>
      </c>
    </row>
    <row r="39" spans="1:2" x14ac:dyDescent="0.25">
      <c r="A39" s="75" t="s">
        <v>125</v>
      </c>
      <c r="B39" s="76" t="s">
        <v>126</v>
      </c>
    </row>
    <row r="40" spans="1:2" x14ac:dyDescent="0.25">
      <c r="A40" s="75" t="s">
        <v>127</v>
      </c>
      <c r="B40" s="76" t="s">
        <v>128</v>
      </c>
    </row>
    <row r="41" spans="1:2" x14ac:dyDescent="0.25">
      <c r="A41" s="75" t="s">
        <v>129</v>
      </c>
      <c r="B41" s="76" t="s">
        <v>130</v>
      </c>
    </row>
    <row r="42" spans="1:2" x14ac:dyDescent="0.25">
      <c r="A42" s="75" t="s">
        <v>131</v>
      </c>
      <c r="B42" s="76" t="s">
        <v>132</v>
      </c>
    </row>
    <row r="43" spans="1:2" x14ac:dyDescent="0.25">
      <c r="A43" s="75" t="s">
        <v>133</v>
      </c>
      <c r="B43" s="76" t="s">
        <v>134</v>
      </c>
    </row>
    <row r="44" spans="1:2" x14ac:dyDescent="0.25">
      <c r="A44" s="75" t="s">
        <v>135</v>
      </c>
      <c r="B44" s="76" t="s">
        <v>136</v>
      </c>
    </row>
    <row r="45" spans="1:2" x14ac:dyDescent="0.25">
      <c r="A45" s="75" t="s">
        <v>137</v>
      </c>
      <c r="B45" s="76" t="s">
        <v>138</v>
      </c>
    </row>
    <row r="46" spans="1:2" x14ac:dyDescent="0.25">
      <c r="A46" s="75" t="s">
        <v>139</v>
      </c>
      <c r="B46" s="76" t="s">
        <v>140</v>
      </c>
    </row>
    <row r="47" spans="1:2" x14ac:dyDescent="0.25">
      <c r="A47" s="75" t="s">
        <v>141</v>
      </c>
      <c r="B47" s="76" t="s">
        <v>142</v>
      </c>
    </row>
    <row r="48" spans="1:2" x14ac:dyDescent="0.25">
      <c r="A48" s="75" t="s">
        <v>143</v>
      </c>
      <c r="B48" s="76" t="s">
        <v>144</v>
      </c>
    </row>
    <row r="49" spans="1:2" x14ac:dyDescent="0.25">
      <c r="A49" s="75" t="s">
        <v>145</v>
      </c>
      <c r="B49" s="76" t="s">
        <v>146</v>
      </c>
    </row>
    <row r="50" spans="1:2" x14ac:dyDescent="0.25">
      <c r="A50" s="75" t="s">
        <v>147</v>
      </c>
      <c r="B50" s="76" t="s">
        <v>148</v>
      </c>
    </row>
    <row r="51" spans="1:2" x14ac:dyDescent="0.25">
      <c r="A51" s="75" t="s">
        <v>149</v>
      </c>
      <c r="B51" s="76" t="s">
        <v>150</v>
      </c>
    </row>
    <row r="52" spans="1:2" x14ac:dyDescent="0.25">
      <c r="A52" s="75" t="s">
        <v>151</v>
      </c>
      <c r="B52" s="76" t="s">
        <v>152</v>
      </c>
    </row>
    <row r="53" spans="1:2" x14ac:dyDescent="0.25">
      <c r="A53" s="75" t="s">
        <v>153</v>
      </c>
      <c r="B53" s="76" t="s">
        <v>154</v>
      </c>
    </row>
    <row r="54" spans="1:2" x14ac:dyDescent="0.25">
      <c r="A54" s="75" t="s">
        <v>155</v>
      </c>
      <c r="B54" s="76" t="s">
        <v>156</v>
      </c>
    </row>
    <row r="55" spans="1:2" x14ac:dyDescent="0.25">
      <c r="A55" s="75" t="s">
        <v>157</v>
      </c>
      <c r="B55" s="76" t="s">
        <v>158</v>
      </c>
    </row>
    <row r="56" spans="1:2" x14ac:dyDescent="0.25">
      <c r="A56" s="75" t="s">
        <v>159</v>
      </c>
      <c r="B56" s="76" t="s">
        <v>160</v>
      </c>
    </row>
    <row r="57" spans="1:2" x14ac:dyDescent="0.25">
      <c r="A57" s="75" t="s">
        <v>161</v>
      </c>
      <c r="B57" s="76" t="s">
        <v>162</v>
      </c>
    </row>
    <row r="58" spans="1:2" x14ac:dyDescent="0.25">
      <c r="A58" s="75" t="s">
        <v>163</v>
      </c>
      <c r="B58" s="76" t="s">
        <v>164</v>
      </c>
    </row>
    <row r="59" spans="1:2" x14ac:dyDescent="0.25">
      <c r="A59" s="75" t="s">
        <v>165</v>
      </c>
      <c r="B59" s="76" t="s">
        <v>166</v>
      </c>
    </row>
    <row r="60" spans="1:2" x14ac:dyDescent="0.25">
      <c r="A60" s="75" t="s">
        <v>167</v>
      </c>
      <c r="B60" s="76" t="s">
        <v>168</v>
      </c>
    </row>
    <row r="61" spans="1:2" x14ac:dyDescent="0.25">
      <c r="A61" s="75" t="s">
        <v>169</v>
      </c>
      <c r="B61" s="76" t="s">
        <v>170</v>
      </c>
    </row>
    <row r="62" spans="1:2" x14ac:dyDescent="0.25">
      <c r="A62" s="75" t="s">
        <v>171</v>
      </c>
      <c r="B62" s="76" t="s">
        <v>172</v>
      </c>
    </row>
    <row r="63" spans="1:2" x14ac:dyDescent="0.25">
      <c r="A63" s="75" t="s">
        <v>173</v>
      </c>
      <c r="B63" s="76" t="s">
        <v>174</v>
      </c>
    </row>
    <row r="64" spans="1:2" x14ac:dyDescent="0.25">
      <c r="A64" s="75" t="s">
        <v>175</v>
      </c>
      <c r="B64" s="76" t="s">
        <v>176</v>
      </c>
    </row>
    <row r="65" spans="1:2" x14ac:dyDescent="0.25">
      <c r="A65" s="75" t="s">
        <v>177</v>
      </c>
      <c r="B65" s="76" t="s">
        <v>178</v>
      </c>
    </row>
    <row r="66" spans="1:2" x14ac:dyDescent="0.25">
      <c r="A66" s="75" t="s">
        <v>179</v>
      </c>
      <c r="B66" s="76" t="s">
        <v>180</v>
      </c>
    </row>
    <row r="67" spans="1:2" x14ac:dyDescent="0.25">
      <c r="A67" s="75" t="s">
        <v>181</v>
      </c>
      <c r="B67" s="76" t="s">
        <v>182</v>
      </c>
    </row>
    <row r="68" spans="1:2" x14ac:dyDescent="0.25">
      <c r="A68" s="75" t="s">
        <v>183</v>
      </c>
      <c r="B68" s="76" t="s">
        <v>184</v>
      </c>
    </row>
    <row r="69" spans="1:2" x14ac:dyDescent="0.25">
      <c r="A69" s="75" t="s">
        <v>185</v>
      </c>
      <c r="B69" s="76" t="s">
        <v>186</v>
      </c>
    </row>
    <row r="70" spans="1:2" x14ac:dyDescent="0.25">
      <c r="A70" s="75" t="s">
        <v>187</v>
      </c>
      <c r="B70" s="76" t="s">
        <v>188</v>
      </c>
    </row>
    <row r="71" spans="1:2" x14ac:dyDescent="0.25">
      <c r="A71" s="75" t="s">
        <v>189</v>
      </c>
      <c r="B71" s="76" t="s">
        <v>190</v>
      </c>
    </row>
    <row r="72" spans="1:2" x14ac:dyDescent="0.25">
      <c r="A72" s="75" t="s">
        <v>191</v>
      </c>
      <c r="B72" s="76" t="s">
        <v>192</v>
      </c>
    </row>
    <row r="73" spans="1:2" x14ac:dyDescent="0.25">
      <c r="A73" s="75" t="s">
        <v>193</v>
      </c>
      <c r="B73" s="76" t="s">
        <v>194</v>
      </c>
    </row>
    <row r="74" spans="1:2" x14ac:dyDescent="0.25">
      <c r="A74" s="75" t="s">
        <v>195</v>
      </c>
      <c r="B74" s="76" t="s">
        <v>196</v>
      </c>
    </row>
    <row r="75" spans="1:2" x14ac:dyDescent="0.25">
      <c r="A75" s="75" t="s">
        <v>197</v>
      </c>
      <c r="B75" s="77" t="s">
        <v>198</v>
      </c>
    </row>
    <row r="76" spans="1:2" x14ac:dyDescent="0.25">
      <c r="A76" s="75" t="s">
        <v>199</v>
      </c>
      <c r="B76" s="77" t="s">
        <v>200</v>
      </c>
    </row>
    <row r="77" spans="1:2" x14ac:dyDescent="0.25">
      <c r="A77" s="75" t="s">
        <v>201</v>
      </c>
      <c r="B77" s="77" t="s">
        <v>202</v>
      </c>
    </row>
    <row r="78" spans="1:2" x14ac:dyDescent="0.25">
      <c r="A78" s="75" t="s">
        <v>203</v>
      </c>
      <c r="B78" s="77" t="s">
        <v>204</v>
      </c>
    </row>
    <row r="79" spans="1:2" x14ac:dyDescent="0.25">
      <c r="A79" s="75" t="s">
        <v>205</v>
      </c>
      <c r="B79" s="77" t="s">
        <v>206</v>
      </c>
    </row>
    <row r="80" spans="1:2" x14ac:dyDescent="0.25">
      <c r="A80" s="75" t="s">
        <v>207</v>
      </c>
      <c r="B80" s="77" t="s">
        <v>208</v>
      </c>
    </row>
    <row r="81" spans="1:2" x14ac:dyDescent="0.25">
      <c r="A81" s="75" t="s">
        <v>209</v>
      </c>
      <c r="B81" s="77" t="s">
        <v>210</v>
      </c>
    </row>
    <row r="82" spans="1:2" x14ac:dyDescent="0.25">
      <c r="A82" s="75" t="s">
        <v>211</v>
      </c>
      <c r="B82" s="77" t="s">
        <v>212</v>
      </c>
    </row>
    <row r="83" spans="1:2" x14ac:dyDescent="0.25">
      <c r="A83" s="75" t="s">
        <v>213</v>
      </c>
      <c r="B83" s="77" t="s">
        <v>214</v>
      </c>
    </row>
    <row r="84" spans="1:2" x14ac:dyDescent="0.25">
      <c r="A84" s="75" t="s">
        <v>215</v>
      </c>
      <c r="B84" s="77" t="s">
        <v>216</v>
      </c>
    </row>
    <row r="85" spans="1:2" x14ac:dyDescent="0.25">
      <c r="A85" s="75" t="s">
        <v>217</v>
      </c>
      <c r="B85" s="77" t="s">
        <v>218</v>
      </c>
    </row>
    <row r="86" spans="1:2" x14ac:dyDescent="0.25">
      <c r="A86" s="75" t="s">
        <v>219</v>
      </c>
      <c r="B86" s="77" t="s">
        <v>220</v>
      </c>
    </row>
    <row r="87" spans="1:2" x14ac:dyDescent="0.25">
      <c r="A87" s="75" t="s">
        <v>221</v>
      </c>
      <c r="B87" s="77" t="s">
        <v>222</v>
      </c>
    </row>
    <row r="88" spans="1:2" x14ac:dyDescent="0.25">
      <c r="A88" s="75" t="s">
        <v>223</v>
      </c>
      <c r="B88" s="77" t="s">
        <v>224</v>
      </c>
    </row>
    <row r="89" spans="1:2" x14ac:dyDescent="0.25">
      <c r="A89" s="75" t="s">
        <v>225</v>
      </c>
      <c r="B89" s="77" t="s">
        <v>226</v>
      </c>
    </row>
    <row r="90" spans="1:2" x14ac:dyDescent="0.25">
      <c r="A90" s="75" t="s">
        <v>227</v>
      </c>
      <c r="B90" s="77" t="s">
        <v>228</v>
      </c>
    </row>
    <row r="91" spans="1:2" x14ac:dyDescent="0.25">
      <c r="A91" s="75" t="s">
        <v>229</v>
      </c>
      <c r="B91" s="77" t="s">
        <v>230</v>
      </c>
    </row>
    <row r="92" spans="1:2" x14ac:dyDescent="0.25">
      <c r="A92" s="75" t="s">
        <v>231</v>
      </c>
      <c r="B92" s="77" t="s">
        <v>232</v>
      </c>
    </row>
    <row r="93" spans="1:2" x14ac:dyDescent="0.25">
      <c r="A93" s="75" t="s">
        <v>233</v>
      </c>
      <c r="B93" s="77" t="s">
        <v>234</v>
      </c>
    </row>
    <row r="94" spans="1:2" x14ac:dyDescent="0.25">
      <c r="A94" s="75" t="s">
        <v>235</v>
      </c>
      <c r="B94" s="77" t="s">
        <v>236</v>
      </c>
    </row>
    <row r="95" spans="1:2" x14ac:dyDescent="0.25">
      <c r="A95" s="75" t="s">
        <v>237</v>
      </c>
      <c r="B95" s="77" t="s">
        <v>238</v>
      </c>
    </row>
    <row r="96" spans="1:2" x14ac:dyDescent="0.25">
      <c r="A96" s="75" t="s">
        <v>239</v>
      </c>
      <c r="B96" s="77" t="s">
        <v>240</v>
      </c>
    </row>
    <row r="97" spans="1:2" x14ac:dyDescent="0.25">
      <c r="A97" s="75" t="s">
        <v>241</v>
      </c>
      <c r="B97" s="77" t="s">
        <v>242</v>
      </c>
    </row>
    <row r="98" spans="1:2" x14ac:dyDescent="0.25">
      <c r="A98" s="75" t="s">
        <v>243</v>
      </c>
      <c r="B98" s="77" t="s">
        <v>244</v>
      </c>
    </row>
    <row r="99" spans="1:2" x14ac:dyDescent="0.25">
      <c r="A99" s="75" t="s">
        <v>245</v>
      </c>
      <c r="B99" s="77" t="s">
        <v>246</v>
      </c>
    </row>
    <row r="100" spans="1:2" x14ac:dyDescent="0.25">
      <c r="A100" s="75" t="s">
        <v>247</v>
      </c>
      <c r="B100" s="77" t="s">
        <v>248</v>
      </c>
    </row>
    <row r="101" spans="1:2" x14ac:dyDescent="0.25">
      <c r="A101" s="75" t="s">
        <v>249</v>
      </c>
      <c r="B101" s="77" t="s">
        <v>250</v>
      </c>
    </row>
    <row r="102" spans="1:2" x14ac:dyDescent="0.25">
      <c r="A102" s="75" t="s">
        <v>251</v>
      </c>
      <c r="B102" s="77" t="s">
        <v>252</v>
      </c>
    </row>
    <row r="103" spans="1:2" x14ac:dyDescent="0.25">
      <c r="A103" s="75" t="s">
        <v>253</v>
      </c>
      <c r="B103" s="77" t="s">
        <v>254</v>
      </c>
    </row>
    <row r="104" spans="1:2" x14ac:dyDescent="0.25">
      <c r="A104" s="75" t="s">
        <v>255</v>
      </c>
      <c r="B104" s="77" t="s">
        <v>256</v>
      </c>
    </row>
    <row r="105" spans="1:2" x14ac:dyDescent="0.25">
      <c r="A105" s="75" t="s">
        <v>257</v>
      </c>
      <c r="B105" s="77" t="s">
        <v>258</v>
      </c>
    </row>
    <row r="106" spans="1:2" x14ac:dyDescent="0.25">
      <c r="A106" s="75" t="s">
        <v>259</v>
      </c>
      <c r="B106" s="77" t="s">
        <v>260</v>
      </c>
    </row>
    <row r="107" spans="1:2" x14ac:dyDescent="0.25">
      <c r="A107" s="75" t="s">
        <v>261</v>
      </c>
      <c r="B107" s="77" t="s">
        <v>262</v>
      </c>
    </row>
    <row r="108" spans="1:2" x14ac:dyDescent="0.25">
      <c r="A108" s="75" t="s">
        <v>263</v>
      </c>
      <c r="B108" s="77" t="s">
        <v>264</v>
      </c>
    </row>
    <row r="109" spans="1:2" x14ac:dyDescent="0.25">
      <c r="A109" s="75" t="s">
        <v>265</v>
      </c>
      <c r="B109" s="77" t="s">
        <v>266</v>
      </c>
    </row>
    <row r="110" spans="1:2" x14ac:dyDescent="0.25">
      <c r="A110" s="75" t="s">
        <v>267</v>
      </c>
      <c r="B110" s="77" t="s">
        <v>268</v>
      </c>
    </row>
    <row r="111" spans="1:2" x14ac:dyDescent="0.25">
      <c r="A111" s="75" t="s">
        <v>269</v>
      </c>
      <c r="B111" s="77" t="s">
        <v>270</v>
      </c>
    </row>
    <row r="112" spans="1:2" x14ac:dyDescent="0.25">
      <c r="A112" s="75" t="s">
        <v>271</v>
      </c>
      <c r="B112" s="77" t="s">
        <v>272</v>
      </c>
    </row>
    <row r="113" spans="1:2" x14ac:dyDescent="0.25">
      <c r="A113" s="75" t="s">
        <v>273</v>
      </c>
      <c r="B113" s="77" t="s">
        <v>274</v>
      </c>
    </row>
    <row r="114" spans="1:2" x14ac:dyDescent="0.25">
      <c r="A114" s="75" t="s">
        <v>275</v>
      </c>
      <c r="B114" s="77" t="s">
        <v>276</v>
      </c>
    </row>
    <row r="115" spans="1:2" x14ac:dyDescent="0.25">
      <c r="A115" s="75" t="s">
        <v>277</v>
      </c>
      <c r="B115" s="77" t="s">
        <v>278</v>
      </c>
    </row>
    <row r="116" spans="1:2" x14ac:dyDescent="0.25">
      <c r="A116" s="75" t="s">
        <v>279</v>
      </c>
      <c r="B116" s="77" t="s">
        <v>280</v>
      </c>
    </row>
    <row r="117" spans="1:2" x14ac:dyDescent="0.25">
      <c r="A117" s="75" t="s">
        <v>281</v>
      </c>
      <c r="B117" s="77" t="s">
        <v>282</v>
      </c>
    </row>
    <row r="118" spans="1:2" x14ac:dyDescent="0.25">
      <c r="A118" s="75" t="s">
        <v>283</v>
      </c>
      <c r="B118" s="77" t="s">
        <v>284</v>
      </c>
    </row>
    <row r="119" spans="1:2" x14ac:dyDescent="0.25">
      <c r="A119" s="75" t="s">
        <v>285</v>
      </c>
      <c r="B119" s="77" t="s">
        <v>286</v>
      </c>
    </row>
    <row r="120" spans="1:2" x14ac:dyDescent="0.25">
      <c r="A120" s="75" t="s">
        <v>287</v>
      </c>
      <c r="B120" s="77" t="s">
        <v>288</v>
      </c>
    </row>
    <row r="121" spans="1:2" x14ac:dyDescent="0.25">
      <c r="A121" s="75" t="s">
        <v>289</v>
      </c>
      <c r="B121" s="77" t="s">
        <v>290</v>
      </c>
    </row>
    <row r="122" spans="1:2" x14ac:dyDescent="0.25">
      <c r="A122" s="75" t="s">
        <v>291</v>
      </c>
      <c r="B122" s="77" t="s">
        <v>292</v>
      </c>
    </row>
    <row r="123" spans="1:2" x14ac:dyDescent="0.25">
      <c r="A123" s="75" t="s">
        <v>293</v>
      </c>
      <c r="B123" s="77" t="s">
        <v>294</v>
      </c>
    </row>
    <row r="124" spans="1:2" x14ac:dyDescent="0.25">
      <c r="A124" s="75" t="s">
        <v>295</v>
      </c>
      <c r="B124" s="77" t="s">
        <v>296</v>
      </c>
    </row>
    <row r="125" spans="1:2" x14ac:dyDescent="0.25">
      <c r="A125" s="75" t="s">
        <v>297</v>
      </c>
      <c r="B125" s="77" t="s">
        <v>298</v>
      </c>
    </row>
    <row r="126" spans="1:2" x14ac:dyDescent="0.25">
      <c r="A126" s="75" t="s">
        <v>299</v>
      </c>
      <c r="B126" s="77" t="s">
        <v>300</v>
      </c>
    </row>
    <row r="127" spans="1:2" x14ac:dyDescent="0.25">
      <c r="A127" s="75" t="s">
        <v>301</v>
      </c>
      <c r="B127" s="77" t="s">
        <v>302</v>
      </c>
    </row>
    <row r="128" spans="1:2" x14ac:dyDescent="0.25">
      <c r="A128" s="75" t="s">
        <v>303</v>
      </c>
      <c r="B128" s="77" t="s">
        <v>304</v>
      </c>
    </row>
    <row r="129" spans="1:2" x14ac:dyDescent="0.25">
      <c r="A129" s="75" t="s">
        <v>305</v>
      </c>
      <c r="B129" s="77" t="s">
        <v>306</v>
      </c>
    </row>
    <row r="130" spans="1:2" x14ac:dyDescent="0.25">
      <c r="A130" s="75" t="s">
        <v>307</v>
      </c>
      <c r="B130" s="77" t="s">
        <v>308</v>
      </c>
    </row>
    <row r="131" spans="1:2" x14ac:dyDescent="0.25">
      <c r="A131" s="75" t="s">
        <v>309</v>
      </c>
      <c r="B131" s="77" t="s">
        <v>310</v>
      </c>
    </row>
    <row r="132" spans="1:2" x14ac:dyDescent="0.25">
      <c r="A132" s="75" t="s">
        <v>311</v>
      </c>
      <c r="B132" s="77" t="s">
        <v>312</v>
      </c>
    </row>
    <row r="133" spans="1:2" x14ac:dyDescent="0.25">
      <c r="A133" s="75" t="s">
        <v>313</v>
      </c>
      <c r="B133" s="77" t="s">
        <v>314</v>
      </c>
    </row>
    <row r="134" spans="1:2" x14ac:dyDescent="0.25">
      <c r="A134" s="75" t="s">
        <v>315</v>
      </c>
      <c r="B134" s="77" t="s">
        <v>316</v>
      </c>
    </row>
    <row r="135" spans="1:2" x14ac:dyDescent="0.25">
      <c r="A135" s="75" t="s">
        <v>317</v>
      </c>
      <c r="B135" s="77" t="s">
        <v>318</v>
      </c>
    </row>
    <row r="136" spans="1:2" x14ac:dyDescent="0.25">
      <c r="A136" s="75" t="s">
        <v>319</v>
      </c>
      <c r="B136" s="77" t="s">
        <v>320</v>
      </c>
    </row>
    <row r="137" spans="1:2" x14ac:dyDescent="0.25">
      <c r="A137" s="75" t="s">
        <v>321</v>
      </c>
      <c r="B137" s="77" t="s">
        <v>322</v>
      </c>
    </row>
    <row r="138" spans="1:2" x14ac:dyDescent="0.25">
      <c r="A138" s="75" t="s">
        <v>323</v>
      </c>
      <c r="B138" s="77" t="s">
        <v>324</v>
      </c>
    </row>
    <row r="139" spans="1:2" x14ac:dyDescent="0.25">
      <c r="A139" s="75" t="s">
        <v>325</v>
      </c>
      <c r="B139" s="77" t="s">
        <v>326</v>
      </c>
    </row>
    <row r="140" spans="1:2" x14ac:dyDescent="0.25">
      <c r="A140" s="75" t="s">
        <v>327</v>
      </c>
      <c r="B140" s="77" t="s">
        <v>328</v>
      </c>
    </row>
    <row r="141" spans="1:2" x14ac:dyDescent="0.25">
      <c r="A141" s="75" t="s">
        <v>329</v>
      </c>
      <c r="B141" s="77" t="s">
        <v>330</v>
      </c>
    </row>
    <row r="142" spans="1:2" x14ac:dyDescent="0.25">
      <c r="A142" s="75" t="s">
        <v>331</v>
      </c>
      <c r="B142" s="77" t="s">
        <v>332</v>
      </c>
    </row>
    <row r="143" spans="1:2" x14ac:dyDescent="0.25">
      <c r="A143" s="75" t="s">
        <v>333</v>
      </c>
      <c r="B143" s="77" t="s">
        <v>334</v>
      </c>
    </row>
    <row r="144" spans="1:2" x14ac:dyDescent="0.25">
      <c r="A144" s="75" t="s">
        <v>335</v>
      </c>
      <c r="B144" s="78" t="s">
        <v>336</v>
      </c>
    </row>
    <row r="145" spans="1:2" x14ac:dyDescent="0.25">
      <c r="A145" s="75" t="s">
        <v>337</v>
      </c>
      <c r="B145" s="77" t="s">
        <v>338</v>
      </c>
    </row>
    <row r="146" spans="1:2" x14ac:dyDescent="0.25">
      <c r="A146" s="75" t="s">
        <v>339</v>
      </c>
      <c r="B146" s="77" t="s">
        <v>340</v>
      </c>
    </row>
    <row r="147" spans="1:2" x14ac:dyDescent="0.25">
      <c r="A147" s="75" t="s">
        <v>341</v>
      </c>
      <c r="B147" s="77" t="s">
        <v>342</v>
      </c>
    </row>
    <row r="148" spans="1:2" x14ac:dyDescent="0.25">
      <c r="A148" s="75" t="s">
        <v>343</v>
      </c>
      <c r="B148" s="77" t="s">
        <v>344</v>
      </c>
    </row>
    <row r="149" spans="1:2" x14ac:dyDescent="0.25">
      <c r="A149" s="75" t="s">
        <v>345</v>
      </c>
      <c r="B149" s="77" t="s">
        <v>346</v>
      </c>
    </row>
    <row r="150" spans="1:2" x14ac:dyDescent="0.25">
      <c r="A150" s="75" t="s">
        <v>347</v>
      </c>
      <c r="B150" s="77" t="s">
        <v>348</v>
      </c>
    </row>
    <row r="151" spans="1:2" x14ac:dyDescent="0.25">
      <c r="A151" s="75" t="s">
        <v>349</v>
      </c>
      <c r="B151" s="77" t="s">
        <v>350</v>
      </c>
    </row>
    <row r="152" spans="1:2" x14ac:dyDescent="0.25">
      <c r="A152" s="75" t="s">
        <v>351</v>
      </c>
      <c r="B152" s="77" t="s">
        <v>352</v>
      </c>
    </row>
    <row r="153" spans="1:2" x14ac:dyDescent="0.25">
      <c r="A153" s="75" t="s">
        <v>353</v>
      </c>
      <c r="B153" s="77" t="s">
        <v>354</v>
      </c>
    </row>
    <row r="154" spans="1:2" x14ac:dyDescent="0.25">
      <c r="A154" s="75" t="s">
        <v>355</v>
      </c>
      <c r="B154" s="77" t="s">
        <v>356</v>
      </c>
    </row>
    <row r="155" spans="1:2" x14ac:dyDescent="0.25">
      <c r="A155" s="75" t="s">
        <v>357</v>
      </c>
      <c r="B155" s="77" t="s">
        <v>358</v>
      </c>
    </row>
    <row r="156" spans="1:2" x14ac:dyDescent="0.25">
      <c r="A156" s="75" t="s">
        <v>359</v>
      </c>
      <c r="B156" s="77" t="s">
        <v>360</v>
      </c>
    </row>
    <row r="157" spans="1:2" x14ac:dyDescent="0.25">
      <c r="A157" s="75" t="s">
        <v>361</v>
      </c>
      <c r="B157" s="77" t="s">
        <v>362</v>
      </c>
    </row>
    <row r="158" spans="1:2" x14ac:dyDescent="0.25">
      <c r="A158" s="75" t="s">
        <v>363</v>
      </c>
      <c r="B158" s="77" t="s">
        <v>364</v>
      </c>
    </row>
    <row r="159" spans="1:2" x14ac:dyDescent="0.25">
      <c r="A159" s="75" t="s">
        <v>365</v>
      </c>
      <c r="B159" s="77" t="s">
        <v>366</v>
      </c>
    </row>
    <row r="160" spans="1:2" x14ac:dyDescent="0.25">
      <c r="A160" s="75" t="s">
        <v>367</v>
      </c>
      <c r="B160" s="77" t="s">
        <v>368</v>
      </c>
    </row>
    <row r="161" spans="1:2" x14ac:dyDescent="0.25">
      <c r="A161" s="75" t="s">
        <v>369</v>
      </c>
      <c r="B161" s="77" t="s">
        <v>370</v>
      </c>
    </row>
    <row r="162" spans="1:2" x14ac:dyDescent="0.25">
      <c r="A162" s="75" t="s">
        <v>371</v>
      </c>
      <c r="B162" s="77" t="s">
        <v>372</v>
      </c>
    </row>
    <row r="163" spans="1:2" x14ac:dyDescent="0.25">
      <c r="A163" s="75" t="s">
        <v>373</v>
      </c>
      <c r="B163" s="77" t="s">
        <v>374</v>
      </c>
    </row>
    <row r="164" spans="1:2" x14ac:dyDescent="0.25">
      <c r="A164" s="75" t="s">
        <v>375</v>
      </c>
      <c r="B164" s="77" t="s">
        <v>376</v>
      </c>
    </row>
    <row r="165" spans="1:2" x14ac:dyDescent="0.25">
      <c r="A165" s="75" t="s">
        <v>377</v>
      </c>
      <c r="B165" s="77" t="s">
        <v>378</v>
      </c>
    </row>
    <row r="166" spans="1:2" x14ac:dyDescent="0.25">
      <c r="A166" s="75" t="s">
        <v>379</v>
      </c>
      <c r="B166" s="77" t="s">
        <v>380</v>
      </c>
    </row>
    <row r="167" spans="1:2" x14ac:dyDescent="0.25">
      <c r="A167" s="75" t="s">
        <v>381</v>
      </c>
      <c r="B167" s="77" t="s">
        <v>382</v>
      </c>
    </row>
    <row r="168" spans="1:2" x14ac:dyDescent="0.25">
      <c r="A168" s="75" t="s">
        <v>383</v>
      </c>
      <c r="B168" s="77" t="s">
        <v>384</v>
      </c>
    </row>
    <row r="169" spans="1:2" x14ac:dyDescent="0.25">
      <c r="A169" s="75" t="s">
        <v>385</v>
      </c>
      <c r="B169" s="77" t="s">
        <v>386</v>
      </c>
    </row>
    <row r="170" spans="1:2" x14ac:dyDescent="0.25">
      <c r="A170" s="75" t="s">
        <v>387</v>
      </c>
      <c r="B170" s="77" t="s">
        <v>388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84C79E-9D10-4A53-BC63-778AABC9B0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GBissau_00119912_Financial Report_Nov22.xlsx</dc:title>
  <dc:creator>Jelena Zelenovic</dc:creator>
  <cp:lastModifiedBy>Jose Fernandes Junior</cp:lastModifiedBy>
  <cp:lastPrinted>2017-12-11T22:51:21Z</cp:lastPrinted>
  <dcterms:created xsi:type="dcterms:W3CDTF">2017-11-15T21:17:43Z</dcterms:created>
  <dcterms:modified xsi:type="dcterms:W3CDTF">2022-11-17T10:01:53Z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