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30"/>
  <workbookPr defaultThemeVersion="166925"/>
  <mc:AlternateContent xmlns:mc="http://schemas.openxmlformats.org/markup-compatibility/2006">
    <mc:Choice Requires="x15">
      <x15ac:absPath xmlns:x15ac="http://schemas.microsoft.com/office/spreadsheetml/2010/11/ac" url="https://kvinnatillkvinna.sharepoint.com/grants/africa/Grants/UND01 (Liberia)/7. Reports/"/>
    </mc:Choice>
  </mc:AlternateContent>
  <xr:revisionPtr revIDLastSave="0" documentId="8_{DDF4B5B2-FB31-4BE2-B3AE-DF41B4485B1D}" xr6:coauthVersionLast="47" xr6:coauthVersionMax="47" xr10:uidLastSave="{00000000-0000-0000-0000-000000000000}"/>
  <bookViews>
    <workbookView xWindow="-110" yWindow="-110" windowWidth="19420" windowHeight="10420" xr2:uid="{87D18F65-BE2C-49A4-99D8-DC05D71929D6}"/>
  </bookViews>
  <sheets>
    <sheet name="Report" sheetId="1" r:id="rId1"/>
    <sheet name="Blad2" sheetId="2"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 l="1"/>
  <c r="C20" i="1"/>
  <c r="C19" i="1"/>
  <c r="C18" i="1"/>
  <c r="C21" i="1" s="1"/>
  <c r="C13" i="1"/>
  <c r="C12" i="1"/>
  <c r="D22" i="1"/>
  <c r="D24" i="1"/>
  <c r="D14" i="1"/>
  <c r="D26" i="1"/>
  <c r="D19" i="1"/>
  <c r="D23" i="1"/>
  <c r="D13" i="1"/>
  <c r="D25" i="1"/>
  <c r="D20" i="1"/>
  <c r="D18" i="1"/>
  <c r="D15" i="1"/>
  <c r="D12" i="1"/>
  <c r="D16" i="1" l="1"/>
  <c r="F12" i="1"/>
  <c r="F15" i="1"/>
  <c r="E15" i="1"/>
  <c r="D21" i="1"/>
  <c r="F21" i="1" s="1"/>
  <c r="F18" i="1"/>
  <c r="F20" i="1"/>
  <c r="F25" i="1"/>
  <c r="E25" i="1"/>
  <c r="F13" i="1"/>
  <c r="E13" i="1"/>
  <c r="F23" i="1"/>
  <c r="E23" i="1"/>
  <c r="F19" i="1"/>
  <c r="F26" i="1"/>
  <c r="E26" i="1"/>
  <c r="F14" i="1"/>
  <c r="E14" i="1"/>
  <c r="F24" i="1"/>
  <c r="E24" i="1"/>
  <c r="D27" i="1"/>
  <c r="F27" i="1" s="1"/>
  <c r="F22" i="1"/>
  <c r="E22" i="1"/>
  <c r="E12" i="1"/>
  <c r="E16" i="1" s="1"/>
  <c r="E19" i="1"/>
  <c r="E20" i="1"/>
  <c r="E18" i="1"/>
  <c r="E21" i="1" s="1"/>
  <c r="C16" i="1"/>
  <c r="C28" i="1" s="1"/>
  <c r="E27" i="1" l="1"/>
  <c r="E28" i="1" s="1"/>
  <c r="C29" i="1"/>
  <c r="C30" i="1" s="1"/>
  <c r="D28" i="1"/>
  <c r="F16" i="1"/>
  <c r="E29" i="1" l="1"/>
  <c r="E30" i="1" s="1"/>
  <c r="D29" i="1"/>
  <c r="F29" i="1" s="1"/>
  <c r="F28" i="1"/>
  <c r="D30" i="1" l="1"/>
  <c r="C40" i="1" l="1"/>
  <c r="C41" i="1" s="1"/>
  <c r="F30" i="1"/>
</calcChain>
</file>

<file path=xl/sharedStrings.xml><?xml version="1.0" encoding="utf-8"?>
<sst xmlns="http://schemas.openxmlformats.org/spreadsheetml/2006/main" count="56" uniqueCount="53">
  <si>
    <t xml:space="preserve">Annex D - PBF Project Budget </t>
  </si>
  <si>
    <t>CSO Version</t>
  </si>
  <si>
    <t>Table 1 - PBF project budget by outcome, output and activity</t>
  </si>
  <si>
    <t>MPTFO Project number:</t>
  </si>
  <si>
    <t>00125938</t>
  </si>
  <si>
    <t>NUNO Project reference:</t>
  </si>
  <si>
    <t>PBF/IRF-411</t>
  </si>
  <si>
    <t>Reporting Period:</t>
  </si>
  <si>
    <t>February 2021- August 2022</t>
  </si>
  <si>
    <t>Budget line</t>
  </si>
  <si>
    <t>Description (Text)</t>
  </si>
  <si>
    <t>Total Budget (Contractual Budget)</t>
  </si>
  <si>
    <t>Expenditure for the period August 10, USD $</t>
  </si>
  <si>
    <t>Variance USD $</t>
  </si>
  <si>
    <t>Spending burn rate %</t>
  </si>
  <si>
    <t xml:space="preserve">OUTCOME 1: </t>
  </si>
  <si>
    <t xml:space="preserve">Strengthened protection and resilience of Women Rights Defenders and LGBTQI Rights Defenders to safely claim human rights for all and challenge current patriarchal structures. </t>
  </si>
  <si>
    <t>Output 1.1:</t>
  </si>
  <si>
    <t xml:space="preserve">WHRD and LGBTQI Rights Defenders are provided with tools to understand and assess risks, vulnerabilities and capacities as well as with strategies for integrated wellness to safely and effectively claim their space and defend right-holders’ rights. 					</t>
  </si>
  <si>
    <t>Activity 1.1.1:</t>
  </si>
  <si>
    <t>Integrated security workshops for WHRDs and LGBTQI RDs</t>
  </si>
  <si>
    <t>Activity 1.1.2:</t>
  </si>
  <si>
    <t>Networking and exchange between HRDs</t>
  </si>
  <si>
    <t>Activity 1.1.3:</t>
  </si>
  <si>
    <t>Capacity building of partner organisations</t>
  </si>
  <si>
    <t>Activity 1.1.4</t>
  </si>
  <si>
    <t>Small grants to HRDs protection</t>
  </si>
  <si>
    <t>Output Total</t>
  </si>
  <si>
    <t>Direct Partner support</t>
  </si>
  <si>
    <t>Chi</t>
  </si>
  <si>
    <t>1/3 payments</t>
  </si>
  <si>
    <t>Lesbians &amp; Gays Association of Liberia Inc</t>
  </si>
  <si>
    <t>Liwen</t>
  </si>
  <si>
    <t>Additional personnel costs</t>
  </si>
  <si>
    <t>Finance officer part-time</t>
  </si>
  <si>
    <t>Additional operational costs</t>
  </si>
  <si>
    <t>Contribution to banking and documentation costs</t>
  </si>
  <si>
    <t>Monitoring budget</t>
  </si>
  <si>
    <t xml:space="preserve">Monitoring visits to partners dialogue sessions. </t>
  </si>
  <si>
    <t>Budget for independent final evaluation</t>
  </si>
  <si>
    <t>Budget for independent audit</t>
  </si>
  <si>
    <t>Total Additional Costs</t>
  </si>
  <si>
    <t>Total as per actvities lines</t>
  </si>
  <si>
    <t>7% Overhead cost</t>
  </si>
  <si>
    <r>
      <t>Total accepted</t>
    </r>
    <r>
      <rPr>
        <b/>
        <vertAlign val="superscript"/>
        <sz val="11"/>
        <rFont val="Calibri"/>
        <family val="2"/>
        <scheme val="minor"/>
      </rPr>
      <t xml:space="preserve">11 </t>
    </r>
    <r>
      <rPr>
        <b/>
        <sz val="11"/>
        <rFont val="Calibri"/>
        <family val="2"/>
        <scheme val="minor"/>
      </rPr>
      <t>costs of the Action (11+12)</t>
    </r>
  </si>
  <si>
    <t>Disbursement from UN February 16, 2021</t>
  </si>
  <si>
    <t>Disbursement from UN August 27, 2021</t>
  </si>
  <si>
    <t>Disbursement from UN , April 7, 2022</t>
  </si>
  <si>
    <t xml:space="preserve">Outcome February 2021 - August 2022 </t>
  </si>
  <si>
    <t>Spending burn rate for Kvinna till Kvinna</t>
  </si>
  <si>
    <t>Stockholm, October 31, 2022</t>
  </si>
  <si>
    <t>Charina S. Hallberg</t>
  </si>
  <si>
    <t>Head of the Finance &amp; Administration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</si>
</sst>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 &quot;kr&quot;_-;\-* #,##0.00\ &quot;kr&quot;_-;_-* &quot;-&quot;??\ &quot;kr&quot;_-;_-@_-"/>
    <numFmt numFmtId="165" formatCode="_(&quot;$&quot;* #,##0_);_(&quot;$&quot;* \(#,##0\);_(&quot;$&quot;* &quot;-&quot;??_);_(@_)"/>
  </numFmts>
  <fonts count="15">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b/>
      <sz val="10"/>
      <name val="Calibri"/>
      <family val="2"/>
      <scheme val="minor"/>
    </font>
    <font>
      <b/>
      <sz val="11"/>
      <name val="Arial"/>
      <family val="2"/>
    </font>
    <font>
      <b/>
      <sz val="12"/>
      <color rgb="FF00B0F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1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0" fillId="2" borderId="0" xfId="0" applyFill="1"/>
    <xf numFmtId="0" fontId="3" fillId="2" borderId="0" xfId="0" applyFont="1" applyFill="1" applyAlignment="1">
      <alignment vertical="top" wrapText="1"/>
    </xf>
    <xf numFmtId="0" fontId="4" fillId="2"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6" fillId="2" borderId="0" xfId="0" applyFont="1" applyFill="1" applyAlignment="1">
      <alignment wrapText="1"/>
    </xf>
    <xf numFmtId="0" fontId="0" fillId="2" borderId="0" xfId="0" applyFill="1" applyAlignment="1">
      <alignment wrapText="1"/>
    </xf>
    <xf numFmtId="0" fontId="7" fillId="2" borderId="1" xfId="0" applyFont="1" applyFill="1" applyBorder="1" applyAlignment="1">
      <alignment wrapText="1"/>
    </xf>
    <xf numFmtId="0" fontId="7" fillId="2" borderId="0" xfId="0" applyFont="1" applyFill="1" applyAlignment="1">
      <alignment wrapText="1"/>
    </xf>
    <xf numFmtId="49" fontId="4" fillId="2" borderId="0" xfId="0" applyNumberFormat="1" applyFont="1" applyFill="1"/>
    <xf numFmtId="0" fontId="5" fillId="2" borderId="0" xfId="0" applyFont="1" applyFill="1"/>
    <xf numFmtId="0" fontId="5" fillId="2" borderId="0" xfId="0" quotePrefix="1" applyFont="1" applyFill="1" applyAlignment="1" applyProtection="1">
      <alignment horizontal="left"/>
      <protection locked="0"/>
    </xf>
    <xf numFmtId="0" fontId="7" fillId="2" borderId="0" xfId="0" applyFont="1" applyFill="1" applyAlignment="1">
      <alignment horizontal="left" wrapText="1"/>
    </xf>
    <xf numFmtId="0" fontId="5" fillId="2" borderId="0" xfId="0" applyFont="1" applyFill="1" applyAlignment="1" applyProtection="1">
      <alignment horizontal="center"/>
      <protection locked="0"/>
    </xf>
    <xf numFmtId="0" fontId="8" fillId="2" borderId="0" xfId="0" applyFont="1" applyFill="1" applyAlignment="1">
      <alignment horizontal="left" wrapText="1"/>
    </xf>
    <xf numFmtId="0" fontId="4" fillId="2" borderId="0" xfId="0" applyFont="1" applyFill="1"/>
    <xf numFmtId="0" fontId="9" fillId="2" borderId="0" xfId="0" applyFont="1" applyFill="1" applyAlignment="1">
      <alignment wrapText="1"/>
    </xf>
    <xf numFmtId="0" fontId="5" fillId="0" borderId="0" xfId="0" applyFont="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3" xfId="0"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2" fillId="2" borderId="5" xfId="0" applyFont="1" applyFill="1" applyBorder="1" applyAlignment="1">
      <alignment vertical="center" wrapText="1"/>
    </xf>
    <xf numFmtId="0" fontId="0" fillId="2" borderId="5" xfId="0" applyFill="1" applyBorder="1" applyAlignment="1">
      <alignment vertical="center" wrapText="1"/>
    </xf>
    <xf numFmtId="0" fontId="0" fillId="0" borderId="6" xfId="0" applyBorder="1" applyAlignment="1" applyProtection="1">
      <alignment horizontal="left" vertical="top" wrapText="1"/>
      <protection locked="0"/>
    </xf>
    <xf numFmtId="165" fontId="0" fillId="0" borderId="6" xfId="1" applyNumberFormat="1" applyFont="1" applyBorder="1" applyAlignment="1" applyProtection="1">
      <alignment horizontal="center" vertical="center" wrapText="1"/>
      <protection locked="0"/>
    </xf>
    <xf numFmtId="9" fontId="0" fillId="0" borderId="7" xfId="2" applyFont="1" applyFill="1" applyBorder="1" applyAlignment="1" applyProtection="1">
      <alignment horizontal="center" vertical="center" wrapText="1"/>
    </xf>
    <xf numFmtId="44" fontId="0" fillId="0" borderId="0" xfId="0" applyNumberFormat="1"/>
    <xf numFmtId="0" fontId="0" fillId="2" borderId="8" xfId="0" applyFill="1" applyBorder="1" applyAlignment="1">
      <alignment wrapText="1"/>
    </xf>
    <xf numFmtId="0" fontId="2" fillId="3" borderId="6" xfId="0" applyFont="1" applyFill="1" applyBorder="1" applyAlignment="1">
      <alignment vertical="center" wrapText="1"/>
    </xf>
    <xf numFmtId="165" fontId="2" fillId="3" borderId="6" xfId="1" applyNumberFormat="1" applyFont="1" applyFill="1" applyBorder="1" applyAlignment="1" applyProtection="1">
      <alignment horizontal="center" vertical="center" wrapText="1"/>
    </xf>
    <xf numFmtId="9" fontId="0" fillId="3" borderId="7" xfId="2" applyFont="1" applyFill="1" applyBorder="1" applyAlignment="1" applyProtection="1">
      <alignment horizontal="center" vertical="center" wrapText="1"/>
    </xf>
    <xf numFmtId="165" fontId="0" fillId="5" borderId="6" xfId="1" applyNumberFormat="1" applyFont="1" applyFill="1" applyBorder="1" applyAlignment="1" applyProtection="1">
      <alignment horizontal="center" vertical="center" wrapText="1"/>
      <protection locked="0"/>
    </xf>
    <xf numFmtId="44" fontId="0" fillId="2" borderId="0" xfId="0" applyNumberFormat="1" applyFill="1"/>
    <xf numFmtId="9" fontId="0" fillId="0" borderId="0" xfId="2" applyFont="1"/>
    <xf numFmtId="165" fontId="10" fillId="0" borderId="6" xfId="1" applyNumberFormat="1" applyFont="1" applyBorder="1" applyAlignment="1" applyProtection="1">
      <alignment horizontal="center" vertical="center" wrapText="1"/>
      <protection locked="0"/>
    </xf>
    <xf numFmtId="4" fontId="0" fillId="0" borderId="0" xfId="0" applyNumberFormat="1"/>
    <xf numFmtId="165" fontId="2" fillId="3" borderId="9" xfId="1" applyNumberFormat="1" applyFont="1" applyFill="1" applyBorder="1" applyAlignment="1" applyProtection="1">
      <alignment horizontal="center" vertical="center" wrapText="1"/>
    </xf>
    <xf numFmtId="9" fontId="2" fillId="3" borderId="7" xfId="2" applyFont="1" applyFill="1" applyBorder="1" applyAlignment="1" applyProtection="1">
      <alignment horizontal="center" vertical="center" wrapText="1"/>
    </xf>
    <xf numFmtId="0" fontId="0" fillId="2" borderId="6"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2" fillId="2" borderId="11" xfId="0" applyFont="1" applyFill="1" applyBorder="1" applyAlignment="1">
      <alignment vertical="center" wrapText="1"/>
    </xf>
    <xf numFmtId="0" fontId="2" fillId="3" borderId="6" xfId="0" applyFont="1" applyFill="1" applyBorder="1" applyAlignment="1" applyProtection="1">
      <alignment vertical="center" wrapText="1"/>
      <protection locked="0"/>
    </xf>
    <xf numFmtId="165" fontId="2" fillId="3" borderId="6" xfId="1" applyNumberFormat="1" applyFont="1" applyFill="1" applyBorder="1" applyAlignment="1" applyProtection="1">
      <alignmen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vertical="center" wrapText="1"/>
    </xf>
    <xf numFmtId="165" fontId="11" fillId="6" borderId="6" xfId="0" applyNumberFormat="1" applyFont="1" applyFill="1" applyBorder="1" applyAlignment="1">
      <alignment horizontal="right"/>
    </xf>
    <xf numFmtId="9" fontId="11" fillId="6" borderId="7" xfId="2" applyFont="1" applyFill="1" applyBorder="1" applyAlignment="1">
      <alignment horizontal="center"/>
    </xf>
    <xf numFmtId="0" fontId="10" fillId="6" borderId="6" xfId="0" applyFont="1" applyFill="1" applyBorder="1" applyAlignment="1">
      <alignment vertical="center" wrapText="1"/>
    </xf>
    <xf numFmtId="9" fontId="11" fillId="6" borderId="7" xfId="2" applyFont="1" applyFill="1" applyBorder="1" applyAlignment="1" applyProtection="1">
      <alignment horizontal="center"/>
      <protection locked="0"/>
    </xf>
    <xf numFmtId="0" fontId="11" fillId="6" borderId="12" xfId="0" applyFont="1" applyFill="1" applyBorder="1" applyAlignment="1">
      <alignment horizontal="left" vertical="center" wrapText="1"/>
    </xf>
    <xf numFmtId="0" fontId="11" fillId="6" borderId="13" xfId="0" applyFont="1" applyFill="1" applyBorder="1" applyAlignment="1">
      <alignment vertical="center" wrapText="1"/>
    </xf>
    <xf numFmtId="165" fontId="11" fillId="6" borderId="13" xfId="0" applyNumberFormat="1" applyFont="1" applyFill="1" applyBorder="1" applyAlignment="1">
      <alignment horizontal="right"/>
    </xf>
    <xf numFmtId="9" fontId="11" fillId="6" borderId="14" xfId="2" applyFont="1" applyFill="1" applyBorder="1" applyAlignment="1" applyProtection="1">
      <alignment horizontal="center"/>
      <protection locked="0"/>
    </xf>
    <xf numFmtId="0" fontId="13" fillId="2" borderId="0" xfId="0" applyFont="1" applyFill="1" applyAlignment="1">
      <alignment vertical="center" wrapText="1"/>
    </xf>
    <xf numFmtId="0" fontId="14" fillId="2" borderId="0" xfId="0" applyFont="1" applyFill="1" applyAlignment="1" applyProtection="1">
      <alignment vertical="center" wrapText="1"/>
      <protection locked="0"/>
    </xf>
    <xf numFmtId="164" fontId="14" fillId="2" borderId="0" xfId="1" applyFont="1" applyFill="1" applyBorder="1" applyAlignment="1" applyProtection="1">
      <alignment vertical="center" wrapText="1"/>
      <protection locked="0"/>
    </xf>
    <xf numFmtId="0" fontId="0" fillId="0" borderId="0" xfId="0" applyAlignment="1">
      <alignment horizontal="center" vertical="center"/>
    </xf>
    <xf numFmtId="4" fontId="0" fillId="0" borderId="0" xfId="0" applyNumberFormat="1" applyAlignment="1">
      <alignment horizontal="center" vertical="center"/>
    </xf>
    <xf numFmtId="165" fontId="0" fillId="2" borderId="0" xfId="1" applyNumberFormat="1" applyFont="1" applyFill="1" applyAlignment="1"/>
    <xf numFmtId="9" fontId="1" fillId="2" borderId="0" xfId="2" applyFont="1" applyFill="1" applyAlignment="1"/>
    <xf numFmtId="164" fontId="0" fillId="2" borderId="0" xfId="1" applyFont="1" applyFill="1"/>
    <xf numFmtId="0" fontId="0" fillId="2" borderId="0" xfId="0" applyFill="1" applyAlignment="1">
      <alignment horizontal="left" indent="6"/>
    </xf>
    <xf numFmtId="0" fontId="14" fillId="2" borderId="0" xfId="0" applyFont="1" applyFill="1"/>
    <xf numFmtId="0" fontId="14" fillId="2" borderId="15" xfId="0" applyFont="1" applyFill="1" applyBorder="1" applyAlignment="1">
      <alignment horizontal="center"/>
    </xf>
    <xf numFmtId="0" fontId="14" fillId="2" borderId="0" xfId="0" applyFont="1" applyFill="1" applyAlignment="1">
      <alignment horizontal="center"/>
    </xf>
    <xf numFmtId="49" fontId="0" fillId="2" borderId="6" xfId="0" applyNumberFormat="1" applyFill="1" applyBorder="1" applyAlignment="1" applyProtection="1">
      <alignment horizontal="left" vertical="top"/>
      <protection locked="0"/>
    </xf>
    <xf numFmtId="49" fontId="0" fillId="2" borderId="7" xfId="0" applyNumberFormat="1" applyFill="1" applyBorder="1" applyAlignment="1" applyProtection="1">
      <alignment horizontal="left" vertical="top"/>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4" fillId="2" borderId="0" xfId="0" applyFont="1" applyFill="1" applyAlignment="1">
      <alignment horizontal="right"/>
    </xf>
    <xf numFmtId="49" fontId="0" fillId="4" borderId="6"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ants/africa/Grants/UND01%20(Liberia)/4.1%20Budget%20outcome/2022-08-12%20BUF%20UND01%20Fin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Report 10 August 2022"/>
      <sheetName val="Rough budget June"/>
      <sheetName val="Pivot tabel August 10"/>
      <sheetName val="Xledger data August 10"/>
      <sheetName val="Pivot tabel September"/>
      <sheetName val="Pivot Tabel"/>
      <sheetName val="Xledger data December"/>
      <sheetName val="Pivot table"/>
      <sheetName val="PIVOT 2"/>
      <sheetName val="XLedger Data Jan 2021-Mar 2022"/>
      <sheetName val="Category Xledger Jan-Aug 2022"/>
      <sheetName val="Category Xledger August 10"/>
      <sheetName val="KVINNA_MDFT_2021"/>
      <sheetName val="KVINNA_MDTF_2022"/>
      <sheetName val="Category budget 10 August 2022"/>
      <sheetName val="OLD Xledger data December"/>
      <sheetName val="Sheet4"/>
      <sheetName val="Xledger data"/>
      <sheetName val="LIWEN"/>
      <sheetName val="LEGAL"/>
      <sheetName val="CHI"/>
      <sheetName val="Sheet2"/>
    </sheetNames>
    <sheetDataSet>
      <sheetData sheetId="0"/>
      <sheetData sheetId="1"/>
      <sheetData sheetId="2">
        <row r="3">
          <cell r="A3" t="str">
            <v>Row Labels</v>
          </cell>
        </row>
        <row r="25">
          <cell r="G25">
            <v>43992.836894569067</v>
          </cell>
        </row>
        <row r="26">
          <cell r="G26">
            <v>14323.249221487604</v>
          </cell>
        </row>
        <row r="27">
          <cell r="G27">
            <v>9207.8030709563154</v>
          </cell>
        </row>
        <row r="28">
          <cell r="G28">
            <v>34785.03382361275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8D659-0F4D-4D43-A41F-99DD68847EF2}">
  <dimension ref="A1:N54"/>
  <sheetViews>
    <sheetView tabSelected="1" topLeftCell="A10" zoomScale="70" zoomScaleNormal="70" workbookViewId="0">
      <selection activeCell="H21" sqref="H21"/>
    </sheetView>
  </sheetViews>
  <sheetFormatPr defaultColWidth="9.42578125" defaultRowHeight="14.45"/>
  <cols>
    <col min="1" max="1" width="36.140625" customWidth="1"/>
    <col min="2" max="2" width="42.140625" customWidth="1"/>
    <col min="3" max="6" width="14.5703125" customWidth="1"/>
    <col min="9" max="9" width="8.42578125" customWidth="1"/>
    <col min="10" max="13" width="13.5703125" customWidth="1"/>
  </cols>
  <sheetData>
    <row r="1" spans="1:10" ht="30.95" customHeight="1">
      <c r="A1" s="2" t="s">
        <v>0</v>
      </c>
      <c r="B1" s="2"/>
      <c r="C1" s="71"/>
      <c r="D1" s="71"/>
      <c r="E1" s="3"/>
      <c r="F1" s="4"/>
      <c r="G1" s="4"/>
      <c r="H1" s="1"/>
    </row>
    <row r="2" spans="1:10" ht="15.6">
      <c r="A2" s="5" t="s">
        <v>1</v>
      </c>
      <c r="B2" s="6"/>
      <c r="C2" s="71"/>
      <c r="D2" s="71"/>
      <c r="E2" s="3"/>
      <c r="F2" s="4"/>
      <c r="G2" s="4"/>
      <c r="H2" s="1"/>
    </row>
    <row r="3" spans="1:10" ht="18.75" customHeight="1">
      <c r="A3" s="7" t="s">
        <v>2</v>
      </c>
      <c r="B3" s="8"/>
      <c r="C3" s="71" t="s">
        <v>3</v>
      </c>
      <c r="D3" s="71"/>
      <c r="E3" s="9" t="s">
        <v>4</v>
      </c>
      <c r="F3" s="10"/>
      <c r="G3" s="11"/>
      <c r="H3" s="1"/>
    </row>
    <row r="4" spans="1:10" ht="18.600000000000001">
      <c r="A4" s="12"/>
      <c r="B4" s="12"/>
      <c r="C4" s="71" t="s">
        <v>5</v>
      </c>
      <c r="D4" s="71"/>
      <c r="E4" s="3" t="s">
        <v>6</v>
      </c>
      <c r="F4" s="4"/>
      <c r="G4" s="4"/>
      <c r="H4" s="13"/>
    </row>
    <row r="5" spans="1:10" ht="18.600000000000001">
      <c r="A5" s="12"/>
      <c r="B5" s="12"/>
      <c r="C5" s="71" t="s">
        <v>7</v>
      </c>
      <c r="D5" s="71"/>
      <c r="E5" s="3" t="s">
        <v>8</v>
      </c>
      <c r="F5" s="4"/>
      <c r="G5" s="4"/>
      <c r="H5" s="13"/>
    </row>
    <row r="6" spans="1:10" ht="18.600000000000001">
      <c r="A6" s="12"/>
      <c r="B6" s="12"/>
      <c r="C6" s="14"/>
      <c r="D6" s="15"/>
      <c r="E6" s="16"/>
      <c r="F6" s="6"/>
      <c r="G6" s="1"/>
      <c r="H6" s="1"/>
    </row>
    <row r="7" spans="1:10" ht="18.600000000000001">
      <c r="A7" s="12"/>
      <c r="B7" s="12"/>
      <c r="C7" s="12"/>
      <c r="D7" s="17"/>
      <c r="E7" s="6"/>
      <c r="F7" s="6"/>
      <c r="G7" s="1"/>
      <c r="H7" s="1"/>
    </row>
    <row r="8" spans="1:10" ht="12.75" customHeight="1" thickBot="1">
      <c r="A8" s="12"/>
      <c r="B8" s="12"/>
      <c r="C8" s="12"/>
      <c r="D8" s="12"/>
      <c r="E8" s="6"/>
      <c r="F8" s="6"/>
      <c r="G8" s="1"/>
      <c r="H8" s="1"/>
    </row>
    <row r="9" spans="1:10" ht="57" customHeight="1">
      <c r="A9" s="18" t="s">
        <v>9</v>
      </c>
      <c r="B9" s="19" t="s">
        <v>10</v>
      </c>
      <c r="C9" s="20" t="s">
        <v>11</v>
      </c>
      <c r="D9" s="21" t="s">
        <v>12</v>
      </c>
      <c r="E9" s="21" t="s">
        <v>13</v>
      </c>
      <c r="F9" s="22" t="s">
        <v>14</v>
      </c>
      <c r="G9" s="1"/>
      <c r="H9" s="1"/>
    </row>
    <row r="10" spans="1:10" ht="39.75" customHeight="1">
      <c r="A10" s="23" t="s">
        <v>15</v>
      </c>
      <c r="B10" s="72" t="s">
        <v>16</v>
      </c>
      <c r="C10" s="72"/>
      <c r="D10" s="72"/>
      <c r="E10" s="72"/>
      <c r="F10" s="73"/>
      <c r="G10" s="1"/>
      <c r="H10" s="1"/>
    </row>
    <row r="11" spans="1:10">
      <c r="A11" s="23" t="s">
        <v>17</v>
      </c>
      <c r="B11" s="67" t="s">
        <v>18</v>
      </c>
      <c r="C11" s="67"/>
      <c r="D11" s="67"/>
      <c r="E11" s="67"/>
      <c r="F11" s="68"/>
      <c r="G11" s="1"/>
      <c r="H11" s="1"/>
    </row>
    <row r="12" spans="1:10" ht="29.1">
      <c r="A12" s="24" t="s">
        <v>19</v>
      </c>
      <c r="B12" s="25" t="s">
        <v>20</v>
      </c>
      <c r="C12" s="26">
        <f>69915.7841495155-1513.78</f>
        <v>68402.004149515502</v>
      </c>
      <c r="D12" s="26">
        <f>GETPIVOTDATA("Invoice in USD",'[1]Pivot tabel August 10'!$A$3,"Project","LR03UND01 - 1.1.1 - Integrated security workshops for WHRDs and LGBTQI RDs")+'[1]Pivot tabel August 10'!G25</f>
        <v>68342.949431256711</v>
      </c>
      <c r="E12" s="26">
        <f>C12-D12</f>
        <v>59.054718258790672</v>
      </c>
      <c r="F12" s="27">
        <f>D12/C12</f>
        <v>0.99913665222250347</v>
      </c>
      <c r="G12" s="1"/>
      <c r="H12" s="1"/>
    </row>
    <row r="13" spans="1:10">
      <c r="A13" s="24" t="s">
        <v>21</v>
      </c>
      <c r="B13" s="25" t="s">
        <v>22</v>
      </c>
      <c r="C13" s="26">
        <f>23336.2299330123-500</f>
        <v>22836.229933012299</v>
      </c>
      <c r="D13" s="26">
        <f>GETPIVOTDATA("Invoice in USD",'[1]Pivot tabel August 10'!$A$3,"Project","LR03UND01 - 1.1.2 - Networking and exchange between HRDs")+'[1]Pivot tabel August 10'!G26+8000</f>
        <v>23091.249221487604</v>
      </c>
      <c r="E13" s="26">
        <f t="shared" ref="E13:E15" si="0">C13-D13</f>
        <v>-255.01928847530507</v>
      </c>
      <c r="F13" s="27">
        <f t="shared" ref="F13:F16" si="1">D13/C13</f>
        <v>1.0111673112954012</v>
      </c>
      <c r="G13" s="1"/>
      <c r="H13" s="1"/>
    </row>
    <row r="14" spans="1:10">
      <c r="A14" s="24" t="s">
        <v>23</v>
      </c>
      <c r="B14" s="25" t="s">
        <v>24</v>
      </c>
      <c r="C14" s="26">
        <v>14525.369604502001</v>
      </c>
      <c r="D14" s="26">
        <f>GETPIVOTDATA("Invoice in USD",'[1]Pivot tabel August 10'!$A$3,"Project","LR03UND01 - 1.1.3 - Capacity building of partner organisations")+'[1]Pivot tabel August 10'!G27</f>
        <v>16571.803070956317</v>
      </c>
      <c r="E14" s="26">
        <f t="shared" si="0"/>
        <v>-2046.4334664543167</v>
      </c>
      <c r="F14" s="27">
        <f t="shared" si="1"/>
        <v>1.1408868429633656</v>
      </c>
      <c r="G14" s="1"/>
      <c r="H14" s="1"/>
      <c r="J14" s="28"/>
    </row>
    <row r="15" spans="1:10">
      <c r="A15" s="24" t="s">
        <v>25</v>
      </c>
      <c r="B15" s="25" t="s">
        <v>26</v>
      </c>
      <c r="C15" s="26">
        <v>54408.7763129702</v>
      </c>
      <c r="D15" s="26">
        <f>GETPIVOTDATA("Invoice in USD",'[1]Pivot tabel August 10'!$A$3,"Project","LR03UND01 - 1.1.4 - Small grants to HRDs protection")+'[1]Pivot tabel August 10'!G28</f>
        <v>51185.03382361275</v>
      </c>
      <c r="E15" s="26">
        <f t="shared" si="0"/>
        <v>3223.7424893574498</v>
      </c>
      <c r="F15" s="27">
        <f t="shared" si="1"/>
        <v>0.94074958659584929</v>
      </c>
      <c r="G15" s="1"/>
      <c r="H15" s="1"/>
    </row>
    <row r="16" spans="1:10">
      <c r="A16" s="29"/>
      <c r="B16" s="30" t="s">
        <v>27</v>
      </c>
      <c r="C16" s="31">
        <f>SUM(C12:C15)</f>
        <v>160172.38</v>
      </c>
      <c r="D16" s="31">
        <f>SUM(D12:D15)</f>
        <v>159191.0355473134</v>
      </c>
      <c r="E16" s="31">
        <f>SUM(E12:E15)</f>
        <v>981.34445268661875</v>
      </c>
      <c r="F16" s="32">
        <f t="shared" si="1"/>
        <v>0.99387319803397689</v>
      </c>
      <c r="G16" s="1"/>
      <c r="H16" s="1"/>
    </row>
    <row r="17" spans="1:14">
      <c r="A17" s="23" t="s">
        <v>28</v>
      </c>
      <c r="B17" s="69"/>
      <c r="C17" s="69"/>
      <c r="D17" s="69"/>
      <c r="E17" s="69"/>
      <c r="F17" s="70"/>
      <c r="G17" s="1"/>
      <c r="H17" s="1"/>
    </row>
    <row r="18" spans="1:14">
      <c r="A18" s="24" t="s">
        <v>29</v>
      </c>
      <c r="B18" s="25" t="s">
        <v>30</v>
      </c>
      <c r="C18" s="33">
        <f>100000-5</f>
        <v>99995</v>
      </c>
      <c r="D18" s="26">
        <f>GETPIVOTDATA("Invoice in USD",'[1]Pivot tabel August 10'!$A$3,"Project","LR01UND01-634 - Community Healthcare Initiative 2021-2022")-8000</f>
        <v>99950</v>
      </c>
      <c r="E18" s="26">
        <f>C18-D18</f>
        <v>45</v>
      </c>
      <c r="F18" s="27">
        <f>D18/C18</f>
        <v>0.99954997749887498</v>
      </c>
      <c r="G18" s="1"/>
      <c r="H18" s="34"/>
      <c r="I18" s="35"/>
    </row>
    <row r="19" spans="1:14">
      <c r="A19" s="24" t="s">
        <v>31</v>
      </c>
      <c r="B19" s="25" t="s">
        <v>30</v>
      </c>
      <c r="C19" s="33">
        <f>60000-5</f>
        <v>59995</v>
      </c>
      <c r="D19" s="26">
        <f>GETPIVOTDATA("Invoice in USD",'[1]Pivot tabel August 10'!$A$3,"Project","LR01UND01-123 -  Lesbians &amp; Gays Association of Liberia Inc 2021-2022")</f>
        <v>59732</v>
      </c>
      <c r="E19" s="36">
        <f>C19-D19</f>
        <v>263</v>
      </c>
      <c r="F19" s="27">
        <f>D19/C19</f>
        <v>0.99561630135844659</v>
      </c>
      <c r="G19" s="1"/>
      <c r="H19" s="34"/>
      <c r="I19" s="35"/>
    </row>
    <row r="20" spans="1:14">
      <c r="A20" s="24" t="s">
        <v>32</v>
      </c>
      <c r="B20" s="25" t="s">
        <v>30</v>
      </c>
      <c r="C20" s="33">
        <f>100000-5</f>
        <v>99995</v>
      </c>
      <c r="D20" s="26">
        <f>GETPIVOTDATA("Invoice in USD",'[1]Pivot tabel August 10'!$A$3,"Project","LR01UND01-623 - Liwen 2021-2022")</f>
        <v>99806</v>
      </c>
      <c r="E20" s="26">
        <f t="shared" ref="E20" si="2">C20-D20</f>
        <v>189</v>
      </c>
      <c r="F20" s="27">
        <f>D20/C20</f>
        <v>0.99810990549527479</v>
      </c>
      <c r="G20" s="1"/>
      <c r="H20" s="1"/>
      <c r="I20" s="35"/>
      <c r="K20" s="37"/>
      <c r="N20" s="28"/>
    </row>
    <row r="21" spans="1:14">
      <c r="A21" s="29"/>
      <c r="B21" s="30" t="s">
        <v>27</v>
      </c>
      <c r="C21" s="31">
        <f>SUM(C18:C20)</f>
        <v>259985</v>
      </c>
      <c r="D21" s="38">
        <f>SUM(D18:D20)</f>
        <v>259488</v>
      </c>
      <c r="E21" s="38">
        <f>SUM(E18:E20)</f>
        <v>497</v>
      </c>
      <c r="F21" s="39">
        <f>D21/C21</f>
        <v>0.99808835125103368</v>
      </c>
      <c r="G21" s="1"/>
      <c r="H21" s="1"/>
    </row>
    <row r="22" spans="1:14">
      <c r="A22" s="23" t="s">
        <v>33</v>
      </c>
      <c r="B22" s="40" t="s">
        <v>34</v>
      </c>
      <c r="C22" s="26">
        <v>5520</v>
      </c>
      <c r="D22" s="26">
        <f>GETPIVOTDATA("Invoice in USD",'[1]Pivot tabel August 10'!$A$3,"Project","LR88UND01 - Staff costs - Finance officer")</f>
        <v>6827.2000000000007</v>
      </c>
      <c r="E22" s="26">
        <f>C22-D22</f>
        <v>-1307.2000000000007</v>
      </c>
      <c r="F22" s="27">
        <f>D22/C22</f>
        <v>1.2368115942028988</v>
      </c>
      <c r="G22" s="1"/>
      <c r="H22" s="1"/>
    </row>
    <row r="23" spans="1:14" ht="29.1">
      <c r="A23" s="23" t="s">
        <v>35</v>
      </c>
      <c r="B23" s="40" t="s">
        <v>36</v>
      </c>
      <c r="C23" s="26">
        <v>2250</v>
      </c>
      <c r="D23" s="26">
        <f>GETPIVOTDATA("Invoice in USD",'[1]Pivot tabel August 10'!$A$3,"Project","LR87UND01 - Field Office Costs - Financial costs ")</f>
        <v>1550.6961045819512</v>
      </c>
      <c r="E23" s="26">
        <f>C23-D23</f>
        <v>699.3038954180488</v>
      </c>
      <c r="F23" s="27">
        <f t="shared" ref="F23:F26" si="3">D23/C23</f>
        <v>0.68919826870308942</v>
      </c>
      <c r="G23" s="1"/>
      <c r="H23" s="1"/>
    </row>
    <row r="24" spans="1:14">
      <c r="A24" s="23" t="s">
        <v>37</v>
      </c>
      <c r="B24" s="41" t="s">
        <v>38</v>
      </c>
      <c r="C24" s="26">
        <v>4635</v>
      </c>
      <c r="D24" s="26">
        <f>GETPIVOTDATA("Invoice in USD",'[1]Pivot tabel August 10'!$A$3,"Project","LR15UND01 - Monitoring and Evaluation - Visits to Partner Dialogue Sessions / trainings")</f>
        <v>4675</v>
      </c>
      <c r="E24" s="26">
        <f t="shared" ref="E24:E26" si="4">C24-D24</f>
        <v>-40</v>
      </c>
      <c r="F24" s="27">
        <f t="shared" si="3"/>
        <v>1.0086299892125135</v>
      </c>
      <c r="G24" s="1"/>
      <c r="H24" s="1"/>
    </row>
    <row r="25" spans="1:14">
      <c r="A25" s="42" t="s">
        <v>39</v>
      </c>
      <c r="B25" s="40"/>
      <c r="C25" s="26">
        <v>18500</v>
      </c>
      <c r="D25" s="26">
        <f>GETPIVOTDATA("Invoice in USD",'[1]Pivot tabel August 10'!$A$3,"Project","LR86UND01 - Local service costs - External evaluation")</f>
        <v>19384.849999999999</v>
      </c>
      <c r="E25" s="26">
        <f t="shared" si="4"/>
        <v>-884.84999999999854</v>
      </c>
      <c r="F25" s="27">
        <f t="shared" si="3"/>
        <v>1.0478297297297297</v>
      </c>
      <c r="G25" s="1"/>
      <c r="H25" s="1"/>
    </row>
    <row r="26" spans="1:14">
      <c r="A26" s="23" t="s">
        <v>40</v>
      </c>
      <c r="B26" s="40"/>
      <c r="C26" s="26">
        <v>11554.4524299065</v>
      </c>
      <c r="D26" s="26">
        <f>GETPIVOTDATA("Invoice in USD",'[1]Pivot tabel August 10'!$A$3,"Project","LR90UND01 - Programme Audit in Stockholm")</f>
        <v>11500</v>
      </c>
      <c r="E26" s="26">
        <f t="shared" si="4"/>
        <v>54.452429906499674</v>
      </c>
      <c r="F26" s="27">
        <f t="shared" si="3"/>
        <v>0.99528732060330616</v>
      </c>
      <c r="G26" s="1"/>
      <c r="H26" s="1"/>
    </row>
    <row r="27" spans="1:14">
      <c r="A27" s="23"/>
      <c r="B27" s="43" t="s">
        <v>41</v>
      </c>
      <c r="C27" s="44">
        <f>SUM(C22:C26)</f>
        <v>42459.452429906501</v>
      </c>
      <c r="D27" s="44">
        <f>SUM(D22:D26)</f>
        <v>43937.746104581951</v>
      </c>
      <c r="E27" s="44">
        <f>SUM(E22:E26)</f>
        <v>-1478.2936746754508</v>
      </c>
      <c r="F27" s="39">
        <f>D27/C27</f>
        <v>1.0348165977202808</v>
      </c>
      <c r="G27" s="1"/>
      <c r="H27" s="1"/>
    </row>
    <row r="28" spans="1:14">
      <c r="A28" s="45"/>
      <c r="B28" s="46" t="s">
        <v>42</v>
      </c>
      <c r="C28" s="47">
        <f>C16+C21+C27</f>
        <v>462616.83242990653</v>
      </c>
      <c r="D28" s="47">
        <f>D16+D21+D27</f>
        <v>462616.78165189538</v>
      </c>
      <c r="E28" s="47">
        <f>E16+E21+E27</f>
        <v>5.0778011167949444E-2</v>
      </c>
      <c r="F28" s="48">
        <f>D28/C28</f>
        <v>0.99999989023743285</v>
      </c>
      <c r="G28" s="1"/>
      <c r="H28" s="1"/>
    </row>
    <row r="29" spans="1:14">
      <c r="A29" s="45"/>
      <c r="B29" s="49" t="s">
        <v>43</v>
      </c>
      <c r="C29" s="47">
        <f>C28*7%</f>
        <v>32383.17827009346</v>
      </c>
      <c r="D29" s="47">
        <f>D28*7%</f>
        <v>32383.174715632678</v>
      </c>
      <c r="E29" s="47">
        <f>E28*7%</f>
        <v>3.5544607817564614E-3</v>
      </c>
      <c r="F29" s="50">
        <f>D29/C29</f>
        <v>0.99999989023743274</v>
      </c>
      <c r="G29" s="1"/>
      <c r="H29" s="1"/>
    </row>
    <row r="30" spans="1:14" ht="17.100000000000001" thickBot="1">
      <c r="A30" s="51"/>
      <c r="B30" s="52" t="s">
        <v>44</v>
      </c>
      <c r="C30" s="53">
        <f>C28+C29-0.01</f>
        <v>495000.00069999998</v>
      </c>
      <c r="D30" s="53">
        <f>D28+D29</f>
        <v>494999.95636752807</v>
      </c>
      <c r="E30" s="53">
        <f t="shared" ref="E30" si="5">E28+E29</f>
        <v>5.4332471949705904E-2</v>
      </c>
      <c r="F30" s="54">
        <f>D30/C30</f>
        <v>0.9999999104394508</v>
      </c>
      <c r="G30" s="1"/>
      <c r="H30" s="1"/>
    </row>
    <row r="31" spans="1:14" ht="15.6">
      <c r="A31" s="55"/>
      <c r="B31" s="56"/>
      <c r="C31" s="57"/>
      <c r="D31" s="57"/>
      <c r="E31" s="57"/>
      <c r="F31" s="57"/>
      <c r="G31" s="1"/>
      <c r="H31" s="1"/>
    </row>
    <row r="32" spans="1:14" ht="15.6">
      <c r="A32" s="55"/>
      <c r="B32" s="56"/>
      <c r="C32" s="57"/>
      <c r="D32" s="57"/>
      <c r="E32" s="57"/>
      <c r="F32" s="57"/>
      <c r="G32" s="1"/>
      <c r="H32" s="1"/>
      <c r="J32" s="28"/>
    </row>
    <row r="33" spans="1:13" ht="15.6">
      <c r="A33" s="55"/>
      <c r="B33" s="56"/>
      <c r="C33" s="57"/>
      <c r="D33" s="57"/>
      <c r="E33" s="57"/>
      <c r="F33" s="57"/>
      <c r="G33" s="1"/>
      <c r="H33" s="1"/>
    </row>
    <row r="34" spans="1:13" ht="15.6">
      <c r="A34" s="55"/>
      <c r="B34" s="56"/>
      <c r="C34" s="57"/>
      <c r="D34" s="57"/>
      <c r="E34" s="57"/>
      <c r="F34" s="57"/>
      <c r="G34" s="1"/>
      <c r="H34" s="1"/>
    </row>
    <row r="35" spans="1:13">
      <c r="A35" s="1"/>
      <c r="B35" s="1"/>
      <c r="C35" s="1"/>
      <c r="D35" s="1"/>
      <c r="E35" s="1"/>
      <c r="F35" s="1"/>
      <c r="G35" s="1"/>
      <c r="H35" s="1"/>
      <c r="K35" s="58"/>
      <c r="L35" s="58"/>
      <c r="M35" s="58"/>
    </row>
    <row r="36" spans="1:13">
      <c r="A36" s="1"/>
      <c r="B36" s="1"/>
      <c r="C36" s="1"/>
      <c r="D36" s="1"/>
      <c r="E36" s="1"/>
      <c r="F36" s="1"/>
      <c r="G36" s="1"/>
      <c r="H36" s="1"/>
      <c r="K36" s="59"/>
      <c r="L36" s="58"/>
      <c r="M36" s="59"/>
    </row>
    <row r="37" spans="1:13">
      <c r="A37" s="1"/>
      <c r="B37" s="1" t="s">
        <v>45</v>
      </c>
      <c r="C37" s="60">
        <v>173250</v>
      </c>
      <c r="D37" s="1"/>
      <c r="E37" s="1"/>
      <c r="F37" s="1"/>
      <c r="G37" s="1"/>
      <c r="H37" s="1"/>
      <c r="K37" s="59"/>
      <c r="L37" s="58"/>
      <c r="M37" s="59"/>
    </row>
    <row r="38" spans="1:13">
      <c r="A38" s="1"/>
      <c r="B38" s="1" t="s">
        <v>46</v>
      </c>
      <c r="C38" s="60">
        <v>173250</v>
      </c>
      <c r="D38" s="1"/>
      <c r="E38" s="1"/>
      <c r="F38" s="1"/>
      <c r="G38" s="1"/>
      <c r="H38" s="1"/>
      <c r="K38" s="59"/>
      <c r="L38" s="58"/>
      <c r="M38" s="59"/>
    </row>
    <row r="39" spans="1:13">
      <c r="A39" s="1"/>
      <c r="B39" s="1" t="s">
        <v>47</v>
      </c>
      <c r="C39" s="60">
        <v>148500</v>
      </c>
      <c r="D39" s="1"/>
      <c r="E39" s="1"/>
      <c r="F39" s="1"/>
      <c r="G39" s="1"/>
      <c r="H39" s="1"/>
    </row>
    <row r="40" spans="1:13">
      <c r="A40" s="1"/>
      <c r="B40" s="1" t="s">
        <v>48</v>
      </c>
      <c r="C40" s="60">
        <f>D30</f>
        <v>494999.95636752807</v>
      </c>
      <c r="D40" s="1"/>
      <c r="E40" s="1"/>
      <c r="F40" s="1"/>
      <c r="G40" s="1"/>
      <c r="H40" s="1"/>
    </row>
    <row r="41" spans="1:13">
      <c r="A41" s="1"/>
      <c r="B41" s="1" t="s">
        <v>49</v>
      </c>
      <c r="C41" s="61">
        <f>C40/(C37+C38+C39)</f>
        <v>0.99999991185359205</v>
      </c>
      <c r="D41" s="1"/>
      <c r="E41" s="34"/>
      <c r="F41" s="1"/>
      <c r="G41" s="1"/>
      <c r="H41" s="1"/>
    </row>
    <row r="42" spans="1:13">
      <c r="A42" s="62"/>
      <c r="B42" s="63"/>
      <c r="C42" s="34"/>
      <c r="D42" s="1"/>
      <c r="E42" s="1"/>
      <c r="F42" s="1"/>
      <c r="G42" s="1"/>
      <c r="H42" s="1"/>
    </row>
    <row r="43" spans="1:13">
      <c r="A43" s="62"/>
      <c r="B43" s="1"/>
      <c r="C43" s="1"/>
      <c r="D43" s="1"/>
      <c r="E43" s="1"/>
      <c r="F43" s="1"/>
      <c r="G43" s="1"/>
      <c r="H43" s="1"/>
    </row>
    <row r="44" spans="1:13" ht="15.6">
      <c r="A44" s="62"/>
      <c r="B44" s="64" t="s">
        <v>50</v>
      </c>
      <c r="C44" s="64"/>
      <c r="D44" s="64"/>
      <c r="E44" s="64"/>
      <c r="F44" s="64"/>
      <c r="G44" s="1"/>
      <c r="H44" s="1"/>
    </row>
    <row r="45" spans="1:13" ht="15.6">
      <c r="A45" s="62"/>
      <c r="B45" s="64"/>
      <c r="C45" s="64"/>
      <c r="D45" s="64"/>
      <c r="E45" s="64"/>
      <c r="F45" s="64"/>
      <c r="G45" s="1"/>
      <c r="H45" s="1"/>
    </row>
    <row r="46" spans="1:13" ht="15.6">
      <c r="A46" s="62"/>
      <c r="B46" s="64"/>
      <c r="C46" s="64"/>
      <c r="D46" s="64"/>
      <c r="E46" s="64"/>
      <c r="F46" s="64"/>
      <c r="G46" s="1"/>
      <c r="H46" s="1"/>
    </row>
    <row r="47" spans="1:13" ht="15.6">
      <c r="A47" s="1"/>
      <c r="B47" s="64"/>
      <c r="C47" s="64"/>
      <c r="D47" s="64"/>
      <c r="E47" s="64"/>
      <c r="F47" s="64"/>
      <c r="G47" s="1"/>
      <c r="H47" s="1"/>
    </row>
    <row r="48" spans="1:13" ht="15.95" thickBot="1">
      <c r="A48" s="1"/>
      <c r="B48" s="65"/>
      <c r="C48" s="65"/>
      <c r="D48" s="65"/>
      <c r="E48" s="66"/>
      <c r="F48" s="64"/>
      <c r="G48" s="1"/>
      <c r="H48" s="1"/>
    </row>
    <row r="49" spans="1:8" ht="15.6">
      <c r="A49" s="1"/>
      <c r="B49" s="64" t="s">
        <v>51</v>
      </c>
      <c r="C49" s="66"/>
      <c r="D49" s="66"/>
      <c r="E49" s="66"/>
      <c r="F49" s="64"/>
      <c r="G49" s="1"/>
      <c r="H49" s="1"/>
    </row>
    <row r="50" spans="1:8" ht="15.6">
      <c r="A50" s="1"/>
      <c r="B50" s="64" t="s">
        <v>52</v>
      </c>
      <c r="C50" s="66"/>
      <c r="D50" s="66"/>
      <c r="E50" s="66"/>
      <c r="F50" s="64"/>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sheetData>
  <mergeCells count="8">
    <mergeCell ref="B11:F11"/>
    <mergeCell ref="B17:F17"/>
    <mergeCell ref="C1:D1"/>
    <mergeCell ref="C2:D2"/>
    <mergeCell ref="C3:D3"/>
    <mergeCell ref="C4:D4"/>
    <mergeCell ref="C5:D5"/>
    <mergeCell ref="B10:F10"/>
  </mergeCells>
  <dataValidations count="3">
    <dataValidation allowBlank="1" showInputMessage="1" showErrorMessage="1" prompt="Insert *text* description of Activity here" sqref="B12 B18:B20" xr:uid="{AF68DC46-DB34-4552-A283-A62C620B1C09}"/>
    <dataValidation allowBlank="1" showInputMessage="1" showErrorMessage="1" prompt="Insert *text* description of Output here" sqref="B11 B17" xr:uid="{7DD32390-93E1-432C-A8E1-9A7F0CA35FBA}"/>
    <dataValidation allowBlank="1" showInputMessage="1" showErrorMessage="1" prompt="Insert *text* description of Outcome here" sqref="B10:F10" xr:uid="{846C054B-DBC7-47C1-B0F5-58E668F66C31}"/>
  </dataValidations>
  <pageMargins left="0.7" right="0.7" top="0.75" bottom="0.75" header="0.3" footer="0.3"/>
  <ignoredErrors>
    <ignoredError sqref="C12:C13 C18 C20 D14:E14 E12:E13 E15 E18:E1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DDDB-C52B-408B-B493-7B3A83D7094A}">
  <dimension ref="A1"/>
  <sheetViews>
    <sheetView workbookViewId="0">
      <selection activeCell="B15" sqref="B15"/>
    </sheetView>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MPTF_00006_00804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2022-12-09T08:00:00+00:00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AFB806F-778B-45FC-98F4-93F54B2808A1}"/>
</file>

<file path=customXml/itemProps2.xml><?xml version="1.0" encoding="utf-8"?>
<ds:datastoreItem xmlns:ds="http://schemas.openxmlformats.org/officeDocument/2006/customXml" ds:itemID="{9B8BEEDA-70D1-49DB-A30E-7D07F1CADDB2}"/>
</file>

<file path=customXml/itemProps3.xml><?xml version="1.0" encoding="utf-8"?>
<ds:datastoreItem xmlns:ds="http://schemas.openxmlformats.org/officeDocument/2006/customXml" ds:itemID="{2BC8C054-B9C9-4F51-B2B5-2BCC3235981B}"/>
</file>

<file path=customXml/itemProps4.xml><?xml version="1.0" encoding="utf-8"?>
<ds:datastoreItem xmlns:ds="http://schemas.openxmlformats.org/officeDocument/2006/customXml" ds:itemID="{34BEAC0E-FB1B-43EE-9C2E-DFFF2FE38C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Liberia_00125938_Finance Report_Nov22.xlsx</dc:title>
  <dc:subject/>
  <dc:creator>Katarina Inkinen</dc:creator>
  <cp:keywords/>
  <dc:description/>
  <cp:lastModifiedBy/>
  <cp:revision/>
  <dcterms:created xsi:type="dcterms:W3CDTF">2022-11-19T10:12:52Z</dcterms:created>
  <dcterms:modified xsi:type="dcterms:W3CDTF">2022-12-06T17:04:29Z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y fmtid="{D5CDD505-2E9C-101B-9397-08002B2CF9AE}" pid="4" name="_dlc_DocIdItemGuid">
    <vt:lpwstr>97aec568-7394-43e9-902a-c6014f047a80</vt:lpwstr>
  </property>
</Properties>
</file>