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pivotTables/pivotTable5.xml" ContentType="application/vnd.openxmlformats-officedocument.spreadsheetml.pivotTable+xml"/>
  <Override PartName="/xl/pivotTables/pivotTable6.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msicard\Desktop\"/>
    </mc:Choice>
  </mc:AlternateContent>
  <xr:revisionPtr revIDLastSave="0" documentId="8_{4776F3C0-ED2D-49FB-A5F5-932A06461D33}" xr6:coauthVersionLast="47" xr6:coauthVersionMax="47" xr10:uidLastSave="{00000000-0000-0000-0000-000000000000}"/>
  <bookViews>
    <workbookView xWindow="-110" yWindow="-110" windowWidth="19420" windowHeight="10420" activeTab="1" xr2:uid="{00000000-000D-0000-FFFF-FFFF00000000}"/>
  </bookViews>
  <sheets>
    <sheet name="1) Tableau rapport financier " sheetId="3" r:id="rId1"/>
    <sheet name="2) Tableau budgetaire 2" sheetId="2" r:id="rId2"/>
    <sheet name="RECAP" sheetId="5" r:id="rId3"/>
    <sheet name="zdsr" sheetId="6" state="hidden" r:id="rId4"/>
    <sheet name="Feuil6" sheetId="13" r:id="rId5"/>
    <sheet name="CS1041 0428" sheetId="11" r:id="rId6"/>
    <sheet name="Feuil4" sheetId="17" state="hidden" r:id="rId7"/>
    <sheet name="MPTF3" sheetId="18" r:id="rId8"/>
    <sheet name="MPTF4" sheetId="16" r:id="rId9"/>
    <sheet name="MPTF5" sheetId="19" r:id="rId10"/>
    <sheet name="MPTF6" sheetId="20" r:id="rId11"/>
    <sheet name="MPTF7" sheetId="15" r:id="rId12"/>
  </sheets>
  <externalReferences>
    <externalReference r:id="rId13"/>
    <externalReference r:id="rId14"/>
    <externalReference r:id="rId15"/>
    <externalReference r:id="rId16"/>
  </externalReferences>
  <definedNames>
    <definedName name="_xlnm._FilterDatabase" localSheetId="5" hidden="1">'CS1041 0428'!$A$2:$Z$44</definedName>
    <definedName name="_xlnm._FilterDatabase" localSheetId="3" hidden="1">zdsr!$A$1:$Z$44</definedName>
    <definedName name="_xlnm.Print_Area" localSheetId="0">'1) Tableau rapport financier '!$B$61:$C$64</definedName>
  </definedNames>
  <calcPr calcId="191029"/>
  <pivotCaches>
    <pivotCache cacheId="10" r:id="rId17"/>
    <pivotCache cacheId="11" r:id="rId18"/>
    <pivotCache cacheId="12" r:id="rId19"/>
    <pivotCache cacheId="13" r:id="rId20"/>
    <pivotCache cacheId="14" r:id="rId21"/>
    <pivotCache cacheId="15" r:id="rId22"/>
    <pivotCache cacheId="16" r:id="rId23"/>
    <pivotCache cacheId="17" r:id="rId24"/>
    <pivotCache cacheId="18" r:id="rId25"/>
    <pivotCache cacheId="19" r:id="rId2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2" i="3" l="1"/>
  <c r="S211" i="2" l="1"/>
  <c r="S209" i="2"/>
  <c r="C9" i="5"/>
  <c r="C11" i="5"/>
  <c r="R122" i="2"/>
  <c r="R119" i="2"/>
  <c r="R110" i="2"/>
  <c r="R111" i="2"/>
  <c r="R108" i="2"/>
  <c r="R63" i="2"/>
  <c r="R132" i="2"/>
  <c r="J3" i="20"/>
  <c r="R66" i="2"/>
  <c r="R143" i="2"/>
  <c r="G13" i="3"/>
  <c r="G55" i="3"/>
  <c r="R201" i="2"/>
  <c r="R199" i="2"/>
  <c r="R198" i="2"/>
  <c r="R65" i="2"/>
  <c r="L9" i="16"/>
  <c r="R197" i="2"/>
  <c r="R141" i="2"/>
  <c r="R142" i="2" l="1"/>
  <c r="R21" i="2"/>
  <c r="R123" i="2"/>
  <c r="R22" i="2"/>
  <c r="R112" i="2"/>
  <c r="R145" i="2"/>
  <c r="R131" i="2"/>
  <c r="R67" i="2"/>
  <c r="R134" i="2"/>
  <c r="R120" i="2"/>
  <c r="R109" i="2"/>
  <c r="R64" i="2"/>
  <c r="C10" i="5" l="1"/>
  <c r="C8" i="5"/>
  <c r="C6" i="5"/>
  <c r="B3" i="11" l="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2" i="11"/>
  <c r="G63" i="3"/>
  <c r="G42" i="3"/>
  <c r="G61" i="3"/>
  <c r="G27" i="3"/>
  <c r="G44" i="3"/>
  <c r="G64" i="3"/>
  <c r="G43" i="3"/>
  <c r="G62" i="3"/>
  <c r="G39" i="3"/>
  <c r="G53" i="3"/>
  <c r="G25" i="3"/>
  <c r="G49" i="3"/>
  <c r="G12" i="3"/>
  <c r="G47" i="3"/>
  <c r="G11" i="3"/>
  <c r="G45" i="11" l="1"/>
  <c r="I61" i="3" l="1"/>
  <c r="I62" i="3"/>
  <c r="I63" i="3"/>
  <c r="I64" i="3"/>
  <c r="S208" i="2"/>
  <c r="S207" i="2"/>
  <c r="S132" i="2"/>
  <c r="S210" i="2" l="1"/>
  <c r="S213" i="2"/>
  <c r="S34" i="2"/>
  <c r="H33" i="3"/>
  <c r="E7" i="5"/>
  <c r="R207" i="2"/>
  <c r="E6" i="5"/>
  <c r="T196" i="2"/>
  <c r="T197" i="2"/>
  <c r="T199" i="2"/>
  <c r="T200" i="2"/>
  <c r="T201" i="2"/>
  <c r="T195" i="2"/>
  <c r="T207" i="2" l="1"/>
  <c r="Q16" i="2"/>
  <c r="T198" i="2" l="1"/>
  <c r="T202" i="2" s="1"/>
  <c r="R210" i="2" l="1"/>
  <c r="R213" i="2"/>
  <c r="R212" i="2"/>
  <c r="R211" i="2"/>
  <c r="R209" i="2"/>
  <c r="R202" i="2"/>
  <c r="R146" i="2"/>
  <c r="R135" i="2"/>
  <c r="R124" i="2"/>
  <c r="T122" i="2"/>
  <c r="T145" i="2"/>
  <c r="T144" i="2"/>
  <c r="T143" i="2"/>
  <c r="T142" i="2"/>
  <c r="T141" i="2"/>
  <c r="T140" i="2"/>
  <c r="T139" i="2"/>
  <c r="T134" i="2"/>
  <c r="T133" i="2"/>
  <c r="T132" i="2"/>
  <c r="T131" i="2"/>
  <c r="T130" i="2"/>
  <c r="T129" i="2"/>
  <c r="T128" i="2"/>
  <c r="T123" i="2"/>
  <c r="T121" i="2"/>
  <c r="T120" i="2"/>
  <c r="T119" i="2"/>
  <c r="T118" i="2"/>
  <c r="T117" i="2"/>
  <c r="T112" i="2"/>
  <c r="T111" i="2"/>
  <c r="T110" i="2"/>
  <c r="T109" i="2"/>
  <c r="T108" i="2"/>
  <c r="T107" i="2"/>
  <c r="T106" i="2"/>
  <c r="T78" i="2"/>
  <c r="T77" i="2"/>
  <c r="T76" i="2"/>
  <c r="T75" i="2"/>
  <c r="T74" i="2"/>
  <c r="T73" i="2"/>
  <c r="T72" i="2"/>
  <c r="T67" i="2"/>
  <c r="T66" i="2"/>
  <c r="T65" i="2"/>
  <c r="T64" i="2"/>
  <c r="T63" i="2"/>
  <c r="T62" i="2"/>
  <c r="T61" i="2"/>
  <c r="T22" i="2"/>
  <c r="T21" i="2"/>
  <c r="T20" i="2"/>
  <c r="T19" i="2"/>
  <c r="T18" i="2"/>
  <c r="T17" i="2"/>
  <c r="T16" i="2"/>
  <c r="R68" i="2"/>
  <c r="R102" i="2" s="1"/>
  <c r="R23" i="2"/>
  <c r="R57" i="2" s="1"/>
  <c r="S23" i="2"/>
  <c r="S56" i="2"/>
  <c r="C7" i="5" l="1"/>
  <c r="T208" i="2"/>
  <c r="T113" i="2"/>
  <c r="R147" i="2"/>
  <c r="T79" i="2"/>
  <c r="T68" i="2"/>
  <c r="T124" i="2"/>
  <c r="T146" i="2"/>
  <c r="T135" i="2"/>
  <c r="T23" i="2"/>
  <c r="R214" i="2"/>
  <c r="S57" i="2"/>
  <c r="T57" i="2" s="1"/>
  <c r="G6" i="5"/>
  <c r="G7" i="5" l="1"/>
  <c r="C13" i="5"/>
  <c r="R215" i="2"/>
  <c r="S212" i="2"/>
  <c r="S202" i="2"/>
  <c r="S146" i="2"/>
  <c r="S135" i="2"/>
  <c r="S113" i="2"/>
  <c r="S79" i="2"/>
  <c r="S102" i="2" s="1"/>
  <c r="T102" i="2" s="1"/>
  <c r="E86" i="3"/>
  <c r="F85" i="3"/>
  <c r="F84" i="3"/>
  <c r="F83" i="3"/>
  <c r="E77" i="3"/>
  <c r="E78" i="3" s="1"/>
  <c r="D77" i="3"/>
  <c r="D78" i="3" s="1"/>
  <c r="F76" i="3"/>
  <c r="F77" i="3" s="1"/>
  <c r="E75" i="3"/>
  <c r="C74" i="3"/>
  <c r="H65" i="3"/>
  <c r="G65" i="3"/>
  <c r="E65" i="3"/>
  <c r="D65" i="3"/>
  <c r="F64" i="3"/>
  <c r="F63" i="3"/>
  <c r="F62" i="3"/>
  <c r="F61" i="3"/>
  <c r="H57" i="3"/>
  <c r="G57" i="3"/>
  <c r="E57" i="3"/>
  <c r="D57" i="3"/>
  <c r="I56" i="3"/>
  <c r="F56" i="3"/>
  <c r="I55" i="3"/>
  <c r="F55" i="3"/>
  <c r="I54" i="3"/>
  <c r="F54" i="3"/>
  <c r="I53" i="3"/>
  <c r="F53" i="3"/>
  <c r="H51" i="3"/>
  <c r="G51" i="3"/>
  <c r="E51" i="3"/>
  <c r="D51" i="3"/>
  <c r="I50" i="3"/>
  <c r="F50" i="3"/>
  <c r="I49" i="3"/>
  <c r="F49" i="3"/>
  <c r="I48" i="3"/>
  <c r="F48" i="3"/>
  <c r="I47" i="3"/>
  <c r="F47" i="3"/>
  <c r="G45" i="3"/>
  <c r="E45" i="3"/>
  <c r="D45" i="3"/>
  <c r="H44" i="3"/>
  <c r="I44" i="3" s="1"/>
  <c r="F44" i="3"/>
  <c r="I43" i="3"/>
  <c r="F43" i="3"/>
  <c r="I42" i="3"/>
  <c r="F42" i="3"/>
  <c r="H40" i="3"/>
  <c r="G40" i="3"/>
  <c r="E40" i="3"/>
  <c r="D40" i="3"/>
  <c r="I39" i="3"/>
  <c r="F39" i="3"/>
  <c r="I38" i="3"/>
  <c r="F38" i="3"/>
  <c r="G33" i="3"/>
  <c r="E33" i="3"/>
  <c r="D33" i="3"/>
  <c r="F32" i="3"/>
  <c r="I31" i="3"/>
  <c r="F31" i="3"/>
  <c r="I30" i="3"/>
  <c r="F30" i="3"/>
  <c r="H28" i="3"/>
  <c r="G28" i="3"/>
  <c r="E28" i="3"/>
  <c r="D28" i="3"/>
  <c r="I27" i="3"/>
  <c r="F27" i="3"/>
  <c r="I26" i="3"/>
  <c r="F26" i="3"/>
  <c r="I25" i="3"/>
  <c r="F25" i="3"/>
  <c r="H20" i="3"/>
  <c r="G20" i="3"/>
  <c r="E20" i="3"/>
  <c r="D20" i="3"/>
  <c r="I19" i="3"/>
  <c r="F19" i="3"/>
  <c r="I18" i="3"/>
  <c r="F18" i="3"/>
  <c r="I17" i="3"/>
  <c r="F17" i="3"/>
  <c r="H15" i="3"/>
  <c r="G15" i="3"/>
  <c r="E15" i="3"/>
  <c r="D15" i="3"/>
  <c r="I14" i="3"/>
  <c r="F14" i="3"/>
  <c r="I13" i="3"/>
  <c r="F13" i="3"/>
  <c r="I12" i="3"/>
  <c r="F12" i="3"/>
  <c r="I11" i="3"/>
  <c r="F11" i="3"/>
  <c r="C14" i="5" l="1"/>
  <c r="C15" i="5" s="1"/>
  <c r="G34" i="3"/>
  <c r="F86" i="3"/>
  <c r="J33" i="3"/>
  <c r="F20" i="3"/>
  <c r="R216" i="2"/>
  <c r="I45" i="3"/>
  <c r="G58" i="3"/>
  <c r="T209" i="2"/>
  <c r="E8" i="5"/>
  <c r="G8" i="5" s="1"/>
  <c r="E10" i="5"/>
  <c r="G10" i="5" s="1"/>
  <c r="T211" i="2"/>
  <c r="E12" i="5"/>
  <c r="G12" i="5" s="1"/>
  <c r="T213" i="2"/>
  <c r="T210" i="2"/>
  <c r="E9" i="5"/>
  <c r="G9" i="5" s="1"/>
  <c r="E11" i="5"/>
  <c r="G11" i="5" s="1"/>
  <c r="T212" i="2"/>
  <c r="H34" i="3"/>
  <c r="S147" i="2"/>
  <c r="T147" i="2" s="1"/>
  <c r="E34" i="3"/>
  <c r="J45" i="3"/>
  <c r="D21" i="3"/>
  <c r="J51" i="3"/>
  <c r="I51" i="3"/>
  <c r="F57" i="3"/>
  <c r="D58" i="3"/>
  <c r="H21" i="3"/>
  <c r="J40" i="3"/>
  <c r="D34" i="3"/>
  <c r="H45" i="3"/>
  <c r="H58" i="3" s="1"/>
  <c r="I20" i="3"/>
  <c r="J15" i="3"/>
  <c r="G21" i="3"/>
  <c r="I33" i="3"/>
  <c r="F40" i="3"/>
  <c r="I40" i="3"/>
  <c r="F45" i="3"/>
  <c r="J20" i="3"/>
  <c r="J28" i="3"/>
  <c r="F51" i="3"/>
  <c r="I28" i="3"/>
  <c r="I57" i="3"/>
  <c r="J65" i="3"/>
  <c r="I15" i="3"/>
  <c r="E21" i="3"/>
  <c r="F33" i="3"/>
  <c r="E58" i="3"/>
  <c r="J57" i="3"/>
  <c r="I65" i="3"/>
  <c r="S214" i="2"/>
  <c r="E13" i="5" s="1"/>
  <c r="F15" i="3"/>
  <c r="F21" i="3" s="1"/>
  <c r="F28" i="3"/>
  <c r="F65" i="3"/>
  <c r="F78" i="3"/>
  <c r="J34" i="3" l="1"/>
  <c r="E67" i="3"/>
  <c r="J58" i="3"/>
  <c r="G67" i="3"/>
  <c r="G76" i="3" s="1"/>
  <c r="G77" i="3" s="1"/>
  <c r="G78" i="3" s="1"/>
  <c r="F58" i="3"/>
  <c r="D67" i="3"/>
  <c r="G13" i="5"/>
  <c r="T214" i="2"/>
  <c r="H67" i="3"/>
  <c r="H76" i="3" s="1"/>
  <c r="H78" i="3" s="1"/>
  <c r="I34" i="3"/>
  <c r="I58" i="3"/>
  <c r="J21" i="3"/>
  <c r="I21" i="3"/>
  <c r="F34" i="3"/>
  <c r="F92" i="3"/>
  <c r="F89" i="3"/>
  <c r="F67" i="3" l="1"/>
  <c r="S216" i="2"/>
  <c r="T215" i="2"/>
  <c r="E14" i="5"/>
  <c r="G14" i="5" s="1"/>
  <c r="G15" i="5" s="1"/>
  <c r="I76" i="3"/>
  <c r="I77" i="3" s="1"/>
  <c r="I78" i="3" s="1"/>
  <c r="I67" i="3"/>
  <c r="E15" i="5" l="1"/>
  <c r="T216" i="2"/>
  <c r="N214" i="2"/>
  <c r="L214" i="2"/>
  <c r="L215" i="2" s="1"/>
  <c r="K214" i="2"/>
  <c r="K215" i="2" s="1"/>
  <c r="I213" i="2"/>
  <c r="F213" i="2"/>
  <c r="F212" i="2"/>
  <c r="E212" i="2"/>
  <c r="M212" i="2" s="1"/>
  <c r="D11" i="5" s="1"/>
  <c r="D212" i="2"/>
  <c r="I211" i="2"/>
  <c r="F211" i="2"/>
  <c r="E211" i="2"/>
  <c r="M211" i="2" s="1"/>
  <c r="D10" i="5" s="1"/>
  <c r="D211" i="2"/>
  <c r="F210" i="2"/>
  <c r="E210" i="2"/>
  <c r="M210" i="2" s="1"/>
  <c r="D9" i="5" s="1"/>
  <c r="D210" i="2"/>
  <c r="I209" i="2"/>
  <c r="H209" i="2"/>
  <c r="F209" i="2"/>
  <c r="E209" i="2"/>
  <c r="M209" i="2" s="1"/>
  <c r="D8" i="5" s="1"/>
  <c r="D209" i="2"/>
  <c r="I208" i="2"/>
  <c r="H208" i="2"/>
  <c r="F208" i="2"/>
  <c r="E208" i="2"/>
  <c r="M208" i="2" s="1"/>
  <c r="D7" i="5" s="1"/>
  <c r="D208" i="2"/>
  <c r="I207" i="2"/>
  <c r="F207" i="2"/>
  <c r="E207" i="2"/>
  <c r="M207" i="2" s="1"/>
  <c r="D6" i="5" s="1"/>
  <c r="D207" i="2"/>
  <c r="D206" i="2"/>
  <c r="N202" i="2"/>
  <c r="L202" i="2"/>
  <c r="L194" i="2" s="1"/>
  <c r="F202" i="2"/>
  <c r="E201" i="2"/>
  <c r="E202" i="2" s="1"/>
  <c r="D201" i="2"/>
  <c r="D202" i="2" s="1"/>
  <c r="M200" i="2"/>
  <c r="Q200" i="2" s="1"/>
  <c r="G200" i="2"/>
  <c r="M199" i="2"/>
  <c r="Q199" i="2" s="1"/>
  <c r="H199" i="2"/>
  <c r="G199" i="2"/>
  <c r="K198" i="2"/>
  <c r="K202" i="2" s="1"/>
  <c r="K194" i="2" s="1"/>
  <c r="I198" i="2"/>
  <c r="G198" i="2"/>
  <c r="M197" i="2"/>
  <c r="Q197" i="2" s="1"/>
  <c r="G197" i="2"/>
  <c r="M196" i="2"/>
  <c r="Q196" i="2" s="1"/>
  <c r="G196" i="2"/>
  <c r="M195" i="2"/>
  <c r="Q195" i="2" s="1"/>
  <c r="H195" i="2"/>
  <c r="H207" i="2" s="1"/>
  <c r="G195" i="2"/>
  <c r="F194" i="2"/>
  <c r="D194" i="2"/>
  <c r="N191" i="2"/>
  <c r="L191" i="2"/>
  <c r="L183" i="2" s="1"/>
  <c r="K191" i="2"/>
  <c r="K183" i="2" s="1"/>
  <c r="I191" i="2"/>
  <c r="I183" i="2" s="1"/>
  <c r="H191" i="2"/>
  <c r="H183" i="2" s="1"/>
  <c r="F191" i="2"/>
  <c r="E191" i="2"/>
  <c r="D191" i="2"/>
  <c r="M190" i="2"/>
  <c r="J190" i="2"/>
  <c r="G190" i="2"/>
  <c r="M189" i="2"/>
  <c r="J189" i="2"/>
  <c r="G189" i="2"/>
  <c r="M188" i="2"/>
  <c r="J188" i="2"/>
  <c r="G188" i="2"/>
  <c r="M187" i="2"/>
  <c r="J187" i="2"/>
  <c r="G187" i="2"/>
  <c r="M186" i="2"/>
  <c r="J186" i="2"/>
  <c r="G186" i="2"/>
  <c r="M185" i="2"/>
  <c r="J185" i="2"/>
  <c r="G185" i="2"/>
  <c r="M184" i="2"/>
  <c r="J184" i="2"/>
  <c r="G184" i="2"/>
  <c r="F183" i="2"/>
  <c r="E183" i="2"/>
  <c r="D183" i="2"/>
  <c r="N180" i="2"/>
  <c r="L180" i="2"/>
  <c r="L172" i="2" s="1"/>
  <c r="K180" i="2"/>
  <c r="K172" i="2" s="1"/>
  <c r="I180" i="2"/>
  <c r="I172" i="2" s="1"/>
  <c r="H180" i="2"/>
  <c r="H172" i="2" s="1"/>
  <c r="F180" i="2"/>
  <c r="E180" i="2"/>
  <c r="D180" i="2"/>
  <c r="M179" i="2"/>
  <c r="J179" i="2"/>
  <c r="G179" i="2"/>
  <c r="M178" i="2"/>
  <c r="J178" i="2"/>
  <c r="G178" i="2"/>
  <c r="M177" i="2"/>
  <c r="J177" i="2"/>
  <c r="G177" i="2"/>
  <c r="M176" i="2"/>
  <c r="J176" i="2"/>
  <c r="G176" i="2"/>
  <c r="M175" i="2"/>
  <c r="J175" i="2"/>
  <c r="G175" i="2"/>
  <c r="M174" i="2"/>
  <c r="J174" i="2"/>
  <c r="G174" i="2"/>
  <c r="M173" i="2"/>
  <c r="J173" i="2"/>
  <c r="G173" i="2"/>
  <c r="F172" i="2"/>
  <c r="E172" i="2"/>
  <c r="D172" i="2"/>
  <c r="N169" i="2"/>
  <c r="L169" i="2"/>
  <c r="L161" i="2" s="1"/>
  <c r="K169" i="2"/>
  <c r="K161" i="2" s="1"/>
  <c r="I169" i="2"/>
  <c r="I161" i="2" s="1"/>
  <c r="H169" i="2"/>
  <c r="H161" i="2" s="1"/>
  <c r="F169" i="2"/>
  <c r="E169" i="2"/>
  <c r="D169" i="2"/>
  <c r="M168" i="2"/>
  <c r="J168" i="2"/>
  <c r="G168" i="2"/>
  <c r="M167" i="2"/>
  <c r="J167" i="2"/>
  <c r="G167" i="2"/>
  <c r="M166" i="2"/>
  <c r="J166" i="2"/>
  <c r="G166" i="2"/>
  <c r="M165" i="2"/>
  <c r="J165" i="2"/>
  <c r="G165" i="2"/>
  <c r="M164" i="2"/>
  <c r="J164" i="2"/>
  <c r="G164" i="2"/>
  <c r="M163" i="2"/>
  <c r="J163" i="2"/>
  <c r="G163" i="2"/>
  <c r="M162" i="2"/>
  <c r="J162" i="2"/>
  <c r="G162" i="2"/>
  <c r="F161" i="2"/>
  <c r="E161" i="2"/>
  <c r="D161" i="2"/>
  <c r="N158" i="2"/>
  <c r="L158" i="2"/>
  <c r="L150" i="2" s="1"/>
  <c r="K158" i="2"/>
  <c r="K150" i="2" s="1"/>
  <c r="I158" i="2"/>
  <c r="I150" i="2" s="1"/>
  <c r="H158" i="2"/>
  <c r="H150" i="2" s="1"/>
  <c r="F158" i="2"/>
  <c r="E158" i="2"/>
  <c r="D158" i="2"/>
  <c r="M157" i="2"/>
  <c r="J157" i="2"/>
  <c r="G157" i="2"/>
  <c r="M156" i="2"/>
  <c r="J156" i="2"/>
  <c r="G156" i="2"/>
  <c r="M155" i="2"/>
  <c r="J155" i="2"/>
  <c r="G155" i="2"/>
  <c r="M154" i="2"/>
  <c r="J154" i="2"/>
  <c r="G154" i="2"/>
  <c r="M153" i="2"/>
  <c r="J153" i="2"/>
  <c r="G153" i="2"/>
  <c r="M152" i="2"/>
  <c r="J152" i="2"/>
  <c r="G152" i="2"/>
  <c r="M151" i="2"/>
  <c r="J151" i="2"/>
  <c r="G151" i="2"/>
  <c r="F150" i="2"/>
  <c r="E150" i="2"/>
  <c r="D150" i="2"/>
  <c r="N146" i="2"/>
  <c r="L146" i="2"/>
  <c r="L138" i="2" s="1"/>
  <c r="K146" i="2"/>
  <c r="K138" i="2" s="1"/>
  <c r="I146" i="2"/>
  <c r="H146" i="2"/>
  <c r="H138" i="2" s="1"/>
  <c r="F146" i="2"/>
  <c r="E146" i="2"/>
  <c r="D146" i="2"/>
  <c r="M145" i="2"/>
  <c r="Q145" i="2" s="1"/>
  <c r="G145" i="2"/>
  <c r="M144" i="2"/>
  <c r="Q144" i="2" s="1"/>
  <c r="G144" i="2"/>
  <c r="M143" i="2"/>
  <c r="Q143" i="2" s="1"/>
  <c r="G143" i="2"/>
  <c r="M142" i="2"/>
  <c r="Q142" i="2" s="1"/>
  <c r="G142" i="2"/>
  <c r="M141" i="2"/>
  <c r="Q141" i="2" s="1"/>
  <c r="G141" i="2"/>
  <c r="M140" i="2"/>
  <c r="Q140" i="2" s="1"/>
  <c r="G140" i="2"/>
  <c r="M139" i="2"/>
  <c r="Q139" i="2" s="1"/>
  <c r="G139" i="2"/>
  <c r="F138" i="2"/>
  <c r="D138" i="2"/>
  <c r="N135" i="2"/>
  <c r="L135" i="2"/>
  <c r="L127" i="2" s="1"/>
  <c r="K135" i="2"/>
  <c r="K127" i="2" s="1"/>
  <c r="I135" i="2"/>
  <c r="I127" i="2" s="1"/>
  <c r="H135" i="2"/>
  <c r="H127" i="2" s="1"/>
  <c r="F135" i="2"/>
  <c r="E135" i="2"/>
  <c r="D135" i="2"/>
  <c r="M134" i="2"/>
  <c r="Q134" i="2" s="1"/>
  <c r="G134" i="2"/>
  <c r="M133" i="2"/>
  <c r="J133" i="2"/>
  <c r="G133" i="2"/>
  <c r="M132" i="2"/>
  <c r="Q132" i="2" s="1"/>
  <c r="G132" i="2"/>
  <c r="M131" i="2"/>
  <c r="Q131" i="2" s="1"/>
  <c r="G131" i="2"/>
  <c r="M130" i="2"/>
  <c r="J130" i="2"/>
  <c r="G130" i="2"/>
  <c r="M129" i="2"/>
  <c r="J129" i="2"/>
  <c r="G129" i="2"/>
  <c r="M128" i="2"/>
  <c r="J128" i="2"/>
  <c r="G128" i="2"/>
  <c r="F127" i="2"/>
  <c r="D127" i="2"/>
  <c r="N124" i="2"/>
  <c r="L124" i="2"/>
  <c r="L116" i="2" s="1"/>
  <c r="K124" i="2"/>
  <c r="K116" i="2" s="1"/>
  <c r="I124" i="2"/>
  <c r="I116" i="2" s="1"/>
  <c r="F124" i="2"/>
  <c r="E124" i="2"/>
  <c r="D124" i="2"/>
  <c r="M123" i="2"/>
  <c r="Q123" i="2" s="1"/>
  <c r="G123" i="2"/>
  <c r="M122" i="2"/>
  <c r="Q122" i="2" s="1"/>
  <c r="H122" i="2"/>
  <c r="H124" i="2" s="1"/>
  <c r="H116" i="2" s="1"/>
  <c r="G122" i="2"/>
  <c r="M121" i="2"/>
  <c r="Q121" i="2" s="1"/>
  <c r="G121" i="2"/>
  <c r="M120" i="2"/>
  <c r="Q120" i="2" s="1"/>
  <c r="G120" i="2"/>
  <c r="M119" i="2"/>
  <c r="Q119" i="2" s="1"/>
  <c r="G119" i="2"/>
  <c r="M118" i="2"/>
  <c r="J118" i="2"/>
  <c r="G118" i="2"/>
  <c r="M117" i="2"/>
  <c r="J117" i="2"/>
  <c r="G117" i="2"/>
  <c r="F116" i="2"/>
  <c r="E116" i="2"/>
  <c r="D116" i="2"/>
  <c r="N113" i="2"/>
  <c r="L113" i="2"/>
  <c r="L105" i="2" s="1"/>
  <c r="K113" i="2"/>
  <c r="K105" i="2" s="1"/>
  <c r="I113" i="2"/>
  <c r="I105" i="2" s="1"/>
  <c r="H113" i="2"/>
  <c r="H105" i="2" s="1"/>
  <c r="F113" i="2"/>
  <c r="E113" i="2"/>
  <c r="D113" i="2"/>
  <c r="M112" i="2"/>
  <c r="Q112" i="2" s="1"/>
  <c r="G112" i="2"/>
  <c r="M111" i="2"/>
  <c r="J111" i="2"/>
  <c r="G111" i="2"/>
  <c r="M110" i="2"/>
  <c r="Q110" i="2" s="1"/>
  <c r="G110" i="2"/>
  <c r="M109" i="2"/>
  <c r="Q109" i="2" s="1"/>
  <c r="G109" i="2"/>
  <c r="M108" i="2"/>
  <c r="J108" i="2"/>
  <c r="G108" i="2"/>
  <c r="M107" i="2"/>
  <c r="J107" i="2"/>
  <c r="G107" i="2"/>
  <c r="M106" i="2"/>
  <c r="J106" i="2"/>
  <c r="G106" i="2"/>
  <c r="F105" i="2"/>
  <c r="D105" i="2"/>
  <c r="N101" i="2"/>
  <c r="L101" i="2"/>
  <c r="L93" i="2" s="1"/>
  <c r="K101" i="2"/>
  <c r="K93" i="2" s="1"/>
  <c r="I101" i="2"/>
  <c r="I93" i="2" s="1"/>
  <c r="H101" i="2"/>
  <c r="H93" i="2" s="1"/>
  <c r="F101" i="2"/>
  <c r="E101" i="2"/>
  <c r="D101" i="2"/>
  <c r="M100" i="2"/>
  <c r="J100" i="2"/>
  <c r="G100" i="2"/>
  <c r="M99" i="2"/>
  <c r="J99" i="2"/>
  <c r="G99" i="2"/>
  <c r="M98" i="2"/>
  <c r="J98" i="2"/>
  <c r="G98" i="2"/>
  <c r="M97" i="2"/>
  <c r="J97" i="2"/>
  <c r="G97" i="2"/>
  <c r="M96" i="2"/>
  <c r="J96" i="2"/>
  <c r="G96" i="2"/>
  <c r="M95" i="2"/>
  <c r="J95" i="2"/>
  <c r="G95" i="2"/>
  <c r="M94" i="2"/>
  <c r="J94" i="2"/>
  <c r="G94" i="2"/>
  <c r="F93" i="2"/>
  <c r="E93" i="2"/>
  <c r="D93" i="2"/>
  <c r="N90" i="2"/>
  <c r="L90" i="2"/>
  <c r="L82" i="2" s="1"/>
  <c r="K90" i="2"/>
  <c r="K82" i="2" s="1"/>
  <c r="I90" i="2"/>
  <c r="I82" i="2" s="1"/>
  <c r="H90" i="2"/>
  <c r="H82" i="2" s="1"/>
  <c r="F90" i="2"/>
  <c r="E90" i="2"/>
  <c r="D90" i="2"/>
  <c r="M89" i="2"/>
  <c r="J89" i="2"/>
  <c r="G89" i="2"/>
  <c r="M88" i="2"/>
  <c r="J88" i="2"/>
  <c r="G88" i="2"/>
  <c r="M87" i="2"/>
  <c r="J87" i="2"/>
  <c r="G87" i="2"/>
  <c r="M86" i="2"/>
  <c r="J86" i="2"/>
  <c r="G86" i="2"/>
  <c r="M85" i="2"/>
  <c r="J85" i="2"/>
  <c r="G85" i="2"/>
  <c r="M84" i="2"/>
  <c r="J84" i="2"/>
  <c r="G84" i="2"/>
  <c r="M83" i="2"/>
  <c r="J83" i="2"/>
  <c r="G83" i="2"/>
  <c r="F82" i="2"/>
  <c r="E82" i="2"/>
  <c r="D82" i="2"/>
  <c r="N79" i="2"/>
  <c r="L79" i="2"/>
  <c r="L71" i="2" s="1"/>
  <c r="K79" i="2"/>
  <c r="K71" i="2" s="1"/>
  <c r="I79" i="2"/>
  <c r="I71" i="2" s="1"/>
  <c r="H79" i="2"/>
  <c r="H71" i="2" s="1"/>
  <c r="F79" i="2"/>
  <c r="E79" i="2"/>
  <c r="D79" i="2"/>
  <c r="M78" i="2"/>
  <c r="J78" i="2"/>
  <c r="G78" i="2"/>
  <c r="M77" i="2"/>
  <c r="J77" i="2"/>
  <c r="G77" i="2"/>
  <c r="M76" i="2"/>
  <c r="J76" i="2"/>
  <c r="G76" i="2"/>
  <c r="M75" i="2"/>
  <c r="J75" i="2"/>
  <c r="G75" i="2"/>
  <c r="M74" i="2"/>
  <c r="J74" i="2"/>
  <c r="G74" i="2"/>
  <c r="M73" i="2"/>
  <c r="J73" i="2"/>
  <c r="G73" i="2"/>
  <c r="M72" i="2"/>
  <c r="J72" i="2"/>
  <c r="G72" i="2"/>
  <c r="F71" i="2"/>
  <c r="D71" i="2"/>
  <c r="N68" i="2"/>
  <c r="L68" i="2"/>
  <c r="L60" i="2" s="1"/>
  <c r="K68" i="2"/>
  <c r="K60" i="2" s="1"/>
  <c r="F68" i="2"/>
  <c r="E68" i="2"/>
  <c r="D68" i="2"/>
  <c r="M67" i="2"/>
  <c r="J67" i="2"/>
  <c r="G67" i="2"/>
  <c r="M66" i="2"/>
  <c r="Q66" i="2" s="1"/>
  <c r="I66" i="2"/>
  <c r="H66" i="2"/>
  <c r="G66" i="2"/>
  <c r="M65" i="2"/>
  <c r="Q65" i="2" s="1"/>
  <c r="H65" i="2"/>
  <c r="G65" i="2"/>
  <c r="M64" i="2"/>
  <c r="Q64" i="2" s="1"/>
  <c r="H64" i="2"/>
  <c r="H210" i="2" s="1"/>
  <c r="G64" i="2"/>
  <c r="M63" i="2"/>
  <c r="J63" i="2"/>
  <c r="G63" i="2"/>
  <c r="M62" i="2"/>
  <c r="J62" i="2"/>
  <c r="G62" i="2"/>
  <c r="M61" i="2"/>
  <c r="J61" i="2"/>
  <c r="G61" i="2"/>
  <c r="F60" i="2"/>
  <c r="E60" i="2"/>
  <c r="D60" i="2"/>
  <c r="N56" i="2"/>
  <c r="L56" i="2"/>
  <c r="L48" i="2" s="1"/>
  <c r="K56" i="2"/>
  <c r="K48" i="2" s="1"/>
  <c r="I56" i="2"/>
  <c r="I48" i="2" s="1"/>
  <c r="H56" i="2"/>
  <c r="H48" i="2" s="1"/>
  <c r="F56" i="2"/>
  <c r="E56" i="2"/>
  <c r="D56" i="2"/>
  <c r="M55" i="2"/>
  <c r="J55" i="2"/>
  <c r="G55" i="2"/>
  <c r="M54" i="2"/>
  <c r="J54" i="2"/>
  <c r="G54" i="2"/>
  <c r="M53" i="2"/>
  <c r="J53" i="2"/>
  <c r="G53" i="2"/>
  <c r="M52" i="2"/>
  <c r="J52" i="2"/>
  <c r="G52" i="2"/>
  <c r="M51" i="2"/>
  <c r="J51" i="2"/>
  <c r="G51" i="2"/>
  <c r="M50" i="2"/>
  <c r="J50" i="2"/>
  <c r="G50" i="2"/>
  <c r="M49" i="2"/>
  <c r="J49" i="2"/>
  <c r="G49" i="2"/>
  <c r="F48" i="2"/>
  <c r="E48" i="2"/>
  <c r="D48" i="2"/>
  <c r="N45" i="2"/>
  <c r="L45" i="2"/>
  <c r="L37" i="2" s="1"/>
  <c r="K45" i="2"/>
  <c r="K37" i="2" s="1"/>
  <c r="I45" i="2"/>
  <c r="I37" i="2" s="1"/>
  <c r="H45" i="2"/>
  <c r="F45" i="2"/>
  <c r="E45" i="2"/>
  <c r="D45" i="2"/>
  <c r="M44" i="2"/>
  <c r="J44" i="2"/>
  <c r="G44" i="2"/>
  <c r="M43" i="2"/>
  <c r="J43" i="2"/>
  <c r="G43" i="2"/>
  <c r="M42" i="2"/>
  <c r="J42" i="2"/>
  <c r="G42" i="2"/>
  <c r="M41" i="2"/>
  <c r="J41" i="2"/>
  <c r="G41" i="2"/>
  <c r="M40" i="2"/>
  <c r="J40" i="2"/>
  <c r="G40" i="2"/>
  <c r="M39" i="2"/>
  <c r="J39" i="2"/>
  <c r="G39" i="2"/>
  <c r="M38" i="2"/>
  <c r="J38" i="2"/>
  <c r="G38" i="2"/>
  <c r="F37" i="2"/>
  <c r="E37" i="2"/>
  <c r="D37" i="2"/>
  <c r="N34" i="2"/>
  <c r="L34" i="2"/>
  <c r="L26" i="2" s="1"/>
  <c r="K34" i="2"/>
  <c r="K26" i="2" s="1"/>
  <c r="H34" i="2"/>
  <c r="H26" i="2" s="1"/>
  <c r="F34" i="2"/>
  <c r="E34" i="2"/>
  <c r="D34" i="2"/>
  <c r="M33" i="2"/>
  <c r="Q33" i="2" s="1"/>
  <c r="G33" i="2"/>
  <c r="M32" i="2"/>
  <c r="Q32" i="2" s="1"/>
  <c r="G32" i="2"/>
  <c r="M31" i="2"/>
  <c r="Q31" i="2" s="1"/>
  <c r="G31" i="2"/>
  <c r="M30" i="2"/>
  <c r="Q30" i="2" s="1"/>
  <c r="I30" i="2"/>
  <c r="I34" i="2" s="1"/>
  <c r="G30" i="2"/>
  <c r="M29" i="2"/>
  <c r="J29" i="2"/>
  <c r="G29" i="2"/>
  <c r="M28" i="2"/>
  <c r="J28" i="2"/>
  <c r="G28" i="2"/>
  <c r="M27" i="2"/>
  <c r="J27" i="2"/>
  <c r="G27" i="2"/>
  <c r="F26" i="2"/>
  <c r="D26" i="2"/>
  <c r="N23" i="2"/>
  <c r="L23" i="2"/>
  <c r="L15" i="2" s="1"/>
  <c r="K23" i="2"/>
  <c r="K15" i="2" s="1"/>
  <c r="I23" i="2"/>
  <c r="I15" i="2" s="1"/>
  <c r="F23" i="2"/>
  <c r="E23" i="2"/>
  <c r="E15" i="2" s="1"/>
  <c r="D23" i="2"/>
  <c r="M22" i="2"/>
  <c r="Q22" i="2" s="1"/>
  <c r="H22" i="2"/>
  <c r="H23" i="2" s="1"/>
  <c r="H15" i="2" s="1"/>
  <c r="G22" i="2"/>
  <c r="M21" i="2"/>
  <c r="J21" i="2"/>
  <c r="G21" i="2"/>
  <c r="M20" i="2"/>
  <c r="J20" i="2"/>
  <c r="G20" i="2"/>
  <c r="M19" i="2"/>
  <c r="J19" i="2"/>
  <c r="G19" i="2"/>
  <c r="M18" i="2"/>
  <c r="J18" i="2"/>
  <c r="G18" i="2"/>
  <c r="M17" i="2"/>
  <c r="J17" i="2"/>
  <c r="G17" i="2"/>
  <c r="F15" i="2"/>
  <c r="D15" i="2"/>
  <c r="D12" i="2"/>
  <c r="Q187" i="2" l="1"/>
  <c r="G127" i="2"/>
  <c r="Q43" i="2"/>
  <c r="Q163" i="2"/>
  <c r="Q63" i="2"/>
  <c r="Q77" i="2"/>
  <c r="Q128" i="2"/>
  <c r="Q19" i="2"/>
  <c r="Q73" i="2"/>
  <c r="Q107" i="2"/>
  <c r="Q156" i="2"/>
  <c r="Q18" i="2"/>
  <c r="Q78" i="2"/>
  <c r="Q100" i="2"/>
  <c r="Q20" i="2"/>
  <c r="Q29" i="2"/>
  <c r="G90" i="2"/>
  <c r="Q108" i="2"/>
  <c r="Q154" i="2"/>
  <c r="Q189" i="2"/>
  <c r="M180" i="2"/>
  <c r="M172" i="2" s="1"/>
  <c r="Q151" i="2"/>
  <c r="M146" i="2"/>
  <c r="M138" i="2" s="1"/>
  <c r="Q17" i="2"/>
  <c r="Q28" i="2"/>
  <c r="Q62" i="2"/>
  <c r="Q67" i="2"/>
  <c r="Q76" i="2"/>
  <c r="Q106" i="2"/>
  <c r="Q118" i="2"/>
  <c r="G146" i="2"/>
  <c r="Q185" i="2"/>
  <c r="Q190" i="2"/>
  <c r="Q74" i="2"/>
  <c r="Q95" i="2"/>
  <c r="Q129" i="2"/>
  <c r="Q146" i="2"/>
  <c r="Q21" i="2"/>
  <c r="Q72" i="2"/>
  <c r="Q133" i="2"/>
  <c r="J209" i="2"/>
  <c r="Q27" i="2"/>
  <c r="J34" i="2"/>
  <c r="Q55" i="2"/>
  <c r="Q61" i="2"/>
  <c r="Q75" i="2"/>
  <c r="Q83" i="2"/>
  <c r="Q88" i="2"/>
  <c r="Q111" i="2"/>
  <c r="Q117" i="2"/>
  <c r="Q130" i="2"/>
  <c r="Q173" i="2"/>
  <c r="Q40" i="2"/>
  <c r="Q86" i="2"/>
  <c r="Q99" i="2"/>
  <c r="Q179" i="2"/>
  <c r="M56" i="2"/>
  <c r="M48" i="2" s="1"/>
  <c r="Q84" i="2"/>
  <c r="Q168" i="2"/>
  <c r="Q186" i="2"/>
  <c r="G191" i="2"/>
  <c r="Q39" i="2"/>
  <c r="Q49" i="2"/>
  <c r="Q85" i="2"/>
  <c r="Q98" i="2"/>
  <c r="M169" i="2"/>
  <c r="M161" i="2" s="1"/>
  <c r="Q177" i="2"/>
  <c r="G45" i="2"/>
  <c r="Q52" i="2"/>
  <c r="K57" i="2"/>
  <c r="Q164" i="2"/>
  <c r="Q155" i="2"/>
  <c r="E138" i="2"/>
  <c r="G138" i="2" s="1"/>
  <c r="G23" i="2"/>
  <c r="Q167" i="2"/>
  <c r="Q175" i="2"/>
  <c r="M198" i="2"/>
  <c r="Q198" i="2" s="1"/>
  <c r="G79" i="2"/>
  <c r="Q94" i="2"/>
  <c r="G124" i="2"/>
  <c r="Q157" i="2"/>
  <c r="Q165" i="2"/>
  <c r="I147" i="2"/>
  <c r="Q41" i="2"/>
  <c r="Q51" i="2"/>
  <c r="M90" i="2"/>
  <c r="M82" i="2" s="1"/>
  <c r="G169" i="2"/>
  <c r="Q174" i="2"/>
  <c r="J191" i="2"/>
  <c r="I210" i="2"/>
  <c r="J210" i="2" s="1"/>
  <c r="J207" i="2"/>
  <c r="M34" i="2"/>
  <c r="M26" i="2" s="1"/>
  <c r="Q44" i="2"/>
  <c r="Q54" i="2"/>
  <c r="Q97" i="2"/>
  <c r="Q162" i="2"/>
  <c r="Q188" i="2"/>
  <c r="G210" i="2"/>
  <c r="J48" i="2"/>
  <c r="M68" i="2"/>
  <c r="M60" i="2" s="1"/>
  <c r="M101" i="2"/>
  <c r="M93" i="2" s="1"/>
  <c r="Q152" i="2"/>
  <c r="G180" i="2"/>
  <c r="M191" i="2"/>
  <c r="M183" i="2" s="1"/>
  <c r="G113" i="2"/>
  <c r="E147" i="2"/>
  <c r="G158" i="2"/>
  <c r="Q50" i="2"/>
  <c r="Q89" i="2"/>
  <c r="Q96" i="2"/>
  <c r="F147" i="2"/>
  <c r="Q153" i="2"/>
  <c r="Q166" i="2"/>
  <c r="Q178" i="2"/>
  <c r="J208" i="2"/>
  <c r="Q38" i="2"/>
  <c r="Q53" i="2"/>
  <c r="Q87" i="2"/>
  <c r="Q176" i="2"/>
  <c r="G212" i="2"/>
  <c r="G207" i="2"/>
  <c r="H57" i="2"/>
  <c r="E57" i="2"/>
  <c r="G15" i="2"/>
  <c r="G150" i="2"/>
  <c r="G93" i="2"/>
  <c r="G116" i="2"/>
  <c r="J127" i="2"/>
  <c r="G161" i="2"/>
  <c r="G183" i="2"/>
  <c r="G60" i="2"/>
  <c r="G172" i="2"/>
  <c r="G37" i="2"/>
  <c r="G71" i="2"/>
  <c r="J82" i="2"/>
  <c r="J150" i="2"/>
  <c r="G82" i="2"/>
  <c r="G202" i="2"/>
  <c r="M202" i="2"/>
  <c r="M194" i="2" s="1"/>
  <c r="E194" i="2"/>
  <c r="G194" i="2" s="1"/>
  <c r="M79" i="2"/>
  <c r="M71" i="2" s="1"/>
  <c r="J23" i="2"/>
  <c r="G34" i="2"/>
  <c r="J45" i="2"/>
  <c r="G68" i="2"/>
  <c r="M113" i="2"/>
  <c r="M105" i="2" s="1"/>
  <c r="L147" i="2"/>
  <c r="J158" i="2"/>
  <c r="Q42" i="2"/>
  <c r="H68" i="2"/>
  <c r="H60" i="2" s="1"/>
  <c r="J93" i="2"/>
  <c r="K102" i="2"/>
  <c r="Q184" i="2"/>
  <c r="G209" i="2"/>
  <c r="G211" i="2"/>
  <c r="E26" i="2"/>
  <c r="G26" i="2" s="1"/>
  <c r="J172" i="2"/>
  <c r="Q172" i="2" s="1"/>
  <c r="J15" i="2"/>
  <c r="J101" i="2"/>
  <c r="L102" i="2"/>
  <c r="J116" i="2"/>
  <c r="J124" i="2"/>
  <c r="F214" i="2"/>
  <c r="M23" i="2"/>
  <c r="M15" i="2" s="1"/>
  <c r="M45" i="2"/>
  <c r="M37" i="2" s="1"/>
  <c r="E102" i="2"/>
  <c r="J79" i="2"/>
  <c r="J90" i="2"/>
  <c r="F102" i="2"/>
  <c r="J135" i="2"/>
  <c r="G135" i="2"/>
  <c r="D147" i="2"/>
  <c r="M158" i="2"/>
  <c r="M150" i="2" s="1"/>
  <c r="J161" i="2"/>
  <c r="J183" i="2"/>
  <c r="J56" i="2"/>
  <c r="D57" i="2"/>
  <c r="L57" i="2"/>
  <c r="J71" i="2"/>
  <c r="I138" i="2"/>
  <c r="J138" i="2" s="1"/>
  <c r="L216" i="2"/>
  <c r="I26" i="2"/>
  <c r="J26" i="2" s="1"/>
  <c r="J105" i="2"/>
  <c r="M135" i="2"/>
  <c r="M127" i="2" s="1"/>
  <c r="J169" i="2"/>
  <c r="J180" i="2"/>
  <c r="G208" i="2"/>
  <c r="H37" i="2"/>
  <c r="J37" i="2" s="1"/>
  <c r="G48" i="2"/>
  <c r="G56" i="2"/>
  <c r="G101" i="2"/>
  <c r="D102" i="2"/>
  <c r="G105" i="2"/>
  <c r="J113" i="2"/>
  <c r="M124" i="2"/>
  <c r="M116" i="2" s="1"/>
  <c r="H147" i="2"/>
  <c r="H201" i="2"/>
  <c r="G201" i="2"/>
  <c r="D213" i="2"/>
  <c r="D214" i="2" s="1"/>
  <c r="M201" i="2"/>
  <c r="Q201" i="2" s="1"/>
  <c r="E213" i="2"/>
  <c r="M213" i="2" s="1"/>
  <c r="D12" i="5" s="1"/>
  <c r="I57" i="2"/>
  <c r="I212" i="2"/>
  <c r="I68" i="2"/>
  <c r="J146" i="2"/>
  <c r="K147" i="2"/>
  <c r="N215" i="2"/>
  <c r="N216" i="2" s="1"/>
  <c r="K216" i="2"/>
  <c r="I202" i="2"/>
  <c r="I194" i="2" s="1"/>
  <c r="H211" i="2"/>
  <c r="J211" i="2" s="1"/>
  <c r="H212" i="2"/>
  <c r="Q180" i="2" l="1"/>
  <c r="Q138" i="2"/>
  <c r="Q34" i="2"/>
  <c r="Q26" i="2"/>
  <c r="Q207" i="2"/>
  <c r="B6" i="5"/>
  <c r="Q210" i="2"/>
  <c r="B9" i="5"/>
  <c r="F9" i="5" s="1"/>
  <c r="Q211" i="2"/>
  <c r="B10" i="5"/>
  <c r="F10" i="5" s="1"/>
  <c r="Q23" i="2"/>
  <c r="Q208" i="2"/>
  <c r="B7" i="5"/>
  <c r="F7" i="5" s="1"/>
  <c r="Q209" i="2"/>
  <c r="B8" i="5"/>
  <c r="F8" i="5" s="1"/>
  <c r="Q135" i="2"/>
  <c r="Q183" i="2"/>
  <c r="Q169" i="2"/>
  <c r="Q124" i="2"/>
  <c r="Q90" i="2"/>
  <c r="Q79" i="2"/>
  <c r="Q68" i="2"/>
  <c r="Q161" i="2"/>
  <c r="Q93" i="2"/>
  <c r="Q82" i="2"/>
  <c r="G147" i="2"/>
  <c r="Q113" i="2"/>
  <c r="I214" i="2"/>
  <c r="I215" i="2" s="1"/>
  <c r="I216" i="2" s="1"/>
  <c r="Q15" i="2"/>
  <c r="Q45" i="2"/>
  <c r="G102" i="2"/>
  <c r="Q105" i="2"/>
  <c r="G57" i="2"/>
  <c r="Q48" i="2"/>
  <c r="E214" i="2"/>
  <c r="G214" i="2" s="1"/>
  <c r="M57" i="2"/>
  <c r="H102" i="2"/>
  <c r="Q158" i="2"/>
  <c r="Q191" i="2"/>
  <c r="M102" i="2"/>
  <c r="Q127" i="2"/>
  <c r="Q150" i="2"/>
  <c r="Q56" i="2"/>
  <c r="J57" i="2"/>
  <c r="Q37" i="2"/>
  <c r="Q116" i="2"/>
  <c r="I60" i="2"/>
  <c r="J60" i="2" s="1"/>
  <c r="Q60" i="2" s="1"/>
  <c r="I102" i="2"/>
  <c r="H213" i="2"/>
  <c r="H214" i="2" s="1"/>
  <c r="H215" i="2" s="1"/>
  <c r="H202" i="2"/>
  <c r="F215" i="2"/>
  <c r="F216" i="2" s="1"/>
  <c r="M147" i="2"/>
  <c r="J68" i="2"/>
  <c r="D215" i="2"/>
  <c r="D216" i="2" s="1"/>
  <c r="J212" i="2"/>
  <c r="J147" i="2"/>
  <c r="G213" i="2"/>
  <c r="Q71" i="2"/>
  <c r="Q101" i="2"/>
  <c r="M214" i="2" l="1"/>
  <c r="D13" i="5" s="1"/>
  <c r="Q212" i="2"/>
  <c r="B11" i="5"/>
  <c r="F11" i="5" s="1"/>
  <c r="F6" i="5"/>
  <c r="E215" i="2"/>
  <c r="E216" i="2" s="1"/>
  <c r="Q102" i="2"/>
  <c r="U102" i="2" s="1"/>
  <c r="J213" i="2"/>
  <c r="B12" i="5" s="1"/>
  <c r="F12" i="5" s="1"/>
  <c r="H216" i="2"/>
  <c r="J214" i="2"/>
  <c r="H194" i="2"/>
  <c r="J194" i="2" s="1"/>
  <c r="Q194" i="2" s="1"/>
  <c r="J202" i="2"/>
  <c r="Q202" i="2" s="1"/>
  <c r="Q57" i="2"/>
  <c r="U57" i="2" s="1"/>
  <c r="G215" i="2"/>
  <c r="G216" i="2" s="1"/>
  <c r="Q147" i="2"/>
  <c r="U147" i="2" s="1"/>
  <c r="J102" i="2"/>
  <c r="M215" i="2" l="1"/>
  <c r="M216" i="2" s="1"/>
  <c r="D15" i="5" s="1"/>
  <c r="B13" i="5"/>
  <c r="Q213" i="2"/>
  <c r="Q214" i="2" s="1"/>
  <c r="Q215" i="2" s="1"/>
  <c r="J215" i="2"/>
  <c r="J216" i="2" s="1"/>
  <c r="D14" i="5" l="1"/>
  <c r="F14" i="5" s="1"/>
  <c r="B15" i="5"/>
  <c r="F15" i="5" s="1"/>
  <c r="F13" i="5"/>
  <c r="Q216" i="2"/>
</calcChain>
</file>

<file path=xl/sharedStrings.xml><?xml version="1.0" encoding="utf-8"?>
<sst xmlns="http://schemas.openxmlformats.org/spreadsheetml/2006/main" count="1454" uniqueCount="454">
  <si>
    <t>Instructions:</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</si>
  <si>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</si>
  <si>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</si>
  <si>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t>Budget initial (en USD)</t>
  </si>
  <si>
    <t>Budget revisé (en USD)</t>
  </si>
  <si>
    <t>Organisation recipiendiaire 1</t>
  </si>
  <si>
    <t>Organisation recipiendiaire 2</t>
  </si>
  <si>
    <t>Organisation recipiendiaire 3</t>
  </si>
  <si>
    <t>Total</t>
  </si>
  <si>
    <t>PNUD</t>
  </si>
  <si>
    <t>OIM</t>
  </si>
  <si>
    <t>RESULTAT 1</t>
  </si>
  <si>
    <t>En plus (+)</t>
  </si>
  <si>
    <t>En moins (-)</t>
  </si>
  <si>
    <t>Budget revisé</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</si>
  <si>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</si>
  <si>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</si>
  <si>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</si>
  <si>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</si>
  <si>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</si>
  <si>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</si>
  <si>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</si>
  <si>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</si>
  <si>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</si>
  <si>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</si>
  <si>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</si>
  <si>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</si>
  <si>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</si>
  <si>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</si>
  <si>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</si>
  <si>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</si>
  <si>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Total Résultat 1</t>
  </si>
  <si>
    <t>RESULTAT 2</t>
  </si>
  <si>
    <t>Produit 2.1</t>
  </si>
  <si>
    <t>Total pour produit 2.1 (du tableau 1)</t>
  </si>
  <si>
    <t>Produit 2.2</t>
  </si>
  <si>
    <t>Total pour produit 2.2 (du tableau 1)</t>
  </si>
  <si>
    <t>Produit 2.3</t>
  </si>
  <si>
    <t>Total pour produit 2.3 (du tableau 1)</t>
  </si>
  <si>
    <t>Produit 2.4</t>
  </si>
  <si>
    <t>Total pour produit 2.4 (du tableau 1)</t>
  </si>
  <si>
    <t>Total Résultat 2</t>
  </si>
  <si>
    <t>RESULTAT 3</t>
  </si>
  <si>
    <t>Produit 3.1</t>
  </si>
  <si>
    <t>Total pour produit 3.1 (du tableau 1)</t>
  </si>
  <si>
    <t>Produit 3.2</t>
  </si>
  <si>
    <t>Total pour produit 3.2 (du tableau 1)</t>
  </si>
  <si>
    <t>Produit 3.3</t>
  </si>
  <si>
    <t>Total pour produit 3.3 (du tableau 1)</t>
  </si>
  <si>
    <t>Produit 3.4</t>
  </si>
  <si>
    <t>Total pour produit 3.4 (du tableau 1)</t>
  </si>
  <si>
    <t>Total Résultat 3</t>
  </si>
  <si>
    <t>RESULTAT 4</t>
  </si>
  <si>
    <t>Produit 4.1</t>
  </si>
  <si>
    <t>Total pour produit 4.1 (du tableau 1)</t>
  </si>
  <si>
    <t>Produit 4.2</t>
  </si>
  <si>
    <t>Total pour produit 4.2 (du tableau 1)</t>
  </si>
  <si>
    <t>Produit 4.3</t>
  </si>
  <si>
    <t>Total pour produit 4.3 (du tableau 1)</t>
  </si>
  <si>
    <t>Produit 4.4</t>
  </si>
  <si>
    <t>Total pour produit 4.4 (du tableau 1)</t>
  </si>
  <si>
    <t xml:space="preserve">Coûts supplémentaires </t>
  </si>
  <si>
    <t>Total des coûts supplémentaires (du tableau 1)</t>
  </si>
  <si>
    <t>Totaux budget initial (en USD)</t>
  </si>
  <si>
    <t>Totaux budget revisé (en USD)</t>
  </si>
  <si>
    <t>Totaux nouveaux budget</t>
  </si>
  <si>
    <t>Totaux</t>
  </si>
  <si>
    <t>Budget revisé OIM</t>
  </si>
  <si>
    <t>Total nouveau budget OIM</t>
  </si>
  <si>
    <t>Budget revisé PNUD</t>
  </si>
  <si>
    <t>Total nouveau budget PNUD</t>
  </si>
  <si>
    <t>Sous-budget total du projet</t>
  </si>
  <si>
    <t>Coûts indirects (7%):</t>
  </si>
  <si>
    <t>TOTAL</t>
  </si>
  <si>
    <t>Tableau 1 - Rapport financier du Projet REAP par résultat, produit et activité</t>
  </si>
  <si>
    <t>Nombre de resultat/ produit</t>
  </si>
  <si>
    <t>Formulation du resultat/ produit/activite</t>
  </si>
  <si>
    <t xml:space="preserve">Budget revisé (en USD) </t>
  </si>
  <si>
    <t xml:space="preserve">Total nouveau budget revisé du projet </t>
  </si>
  <si>
    <t>Total dépenses du projet</t>
  </si>
  <si>
    <t xml:space="preserve">Pourcentage du budget pour chaque produit ou activite reserve pour action directe sur égalité des sexes et autonomisation des femmes (GEWE) (cas echeant) </t>
  </si>
  <si>
    <t>variation %</t>
  </si>
  <si>
    <t>Notes quelconque le cas echeant (.e.g sur types des entrants ou justification du budget)</t>
  </si>
  <si>
    <t xml:space="preserve">RESULTAT 1: </t>
  </si>
  <si>
    <t>Les femmes interviennent en tant que promotrices de la paix et de la cohésion sociale, dans la prévention et la mitigation des conflits et tensions locales liés aux ressources</t>
  </si>
  <si>
    <t>Produit 1.1:</t>
  </si>
  <si>
    <t>Des comités de femmes sont mis en place et ces comités disposent de capacités et ressources pour agir en promotion de la paix et de la cohésion sociale, et dans la prévention et mitigation des conflits et tensions locales</t>
  </si>
  <si>
    <t>Mise en place des comites de femmes - Menabe et Androy (sensibilisation et mobilisation communautaire)</t>
  </si>
  <si>
    <t>Session de renforcement de capacites comites de femmes et accompagnement et suivi continu par OSCs des comites de femmes (reunion regulieres comite, visite de suivi et echange, strategisation - Menabe et Androy</t>
  </si>
  <si>
    <t>Accompagnement des initiatives de cohesion sociale par les comites de femmes - Menabe et Androy</t>
  </si>
  <si>
    <t>Activite 1.1.4</t>
  </si>
  <si>
    <t>Appui à l'insertion des comités de femmes dans les dynamiques communales et régionales.</t>
  </si>
  <si>
    <t>Total pour produit 1.1</t>
  </si>
  <si>
    <t>Produit 1.2:</t>
  </si>
  <si>
    <t>Un programme pilote de préparation, facilitation et accompagnement au retour et à la réinsertion pour les ménages dans l’Androy est mis en place et disponible aux ménages migrants faisant volontairement le choix du retour</t>
  </si>
  <si>
    <t>Activite 1.2.1</t>
  </si>
  <si>
    <t>Atelier de consultation sur le parametrage du dispositif</t>
  </si>
  <si>
    <t>Activite 1.2.2</t>
  </si>
  <si>
    <t>Campagnes de sensibilisation sur le dispositif - Menabe et Androy</t>
  </si>
  <si>
    <t>Activite 1.2.3</t>
  </si>
  <si>
    <t>Mise en oeuvre du programme (pre depart) Menabe et mise en oeuvre du programme (post retour) Androy</t>
  </si>
  <si>
    <t>Total pour produit 1.2</t>
  </si>
  <si>
    <t xml:space="preserve">RESULTAT 2: </t>
  </si>
  <si>
    <t xml:space="preserve">Les femmes démontrent par l’exemple l’effectivité des activités génératrices de revenus, et de recherche de moyens de subsistance pérennes, rentables et respectueuses </t>
  </si>
  <si>
    <t>Un programme pilote de diversification des moyens de subsistance et de génération des revenus respectueux des ressources locales et de l’environnement est accessible aux femmes migrantes et aux femmes des communautés locales dans le Menabe</t>
  </si>
  <si>
    <t>Atelier de restitution et de consultation sur le programme - Menabe</t>
  </si>
  <si>
    <t>Campagnes de sensibilisation sur le programme - Menabe</t>
  </si>
  <si>
    <t>Mise en oeuvre du programme pilote - Menabe</t>
  </si>
  <si>
    <t>Total pour produit 2.1</t>
  </si>
  <si>
    <t>Un programme pilote de diversification des moyens de subsistance et de génération des revenus adaptés aux dégradations environnementales de l’Androy et permettant de stabiliser les populations et réduire le recours a la migration comme stratégie de survie est accessible aux femmes issues de ménages vulnérables</t>
  </si>
  <si>
    <t>Activite 2.2.1</t>
  </si>
  <si>
    <t>Atelier de restitution et de consultation sur le programme - Androy</t>
  </si>
  <si>
    <t>Activite' 2.2.2</t>
  </si>
  <si>
    <t>Campagnes de sensibilisation sur le programme - Androy</t>
  </si>
  <si>
    <t>Activite 2.2.3</t>
  </si>
  <si>
    <t>Mise en oeuvre du programme pilote - Androy</t>
  </si>
  <si>
    <t>Total pour produit 2.2</t>
  </si>
  <si>
    <t xml:space="preserve">RESULTAT 3: </t>
  </si>
  <si>
    <t>Les autorités au niveau national et régional disposent des capacités, outils et moyens de répondre proactivement et de manière inclusive aux menaces à la paix et à la cohésion sociale – en portant une attention particulière aux besoins, attentes spécifiques, et solutions innovantes portées par les femmes ainsi qu’a leur autonomisation</t>
  </si>
  <si>
    <t>Les autorités au niveau régional et central sont sensibilisées aux enjeux complexes et effets des migrations non maitrisées, par rapport à la vulnérabilité des populations et au genre ; et par rapport à la gouvernance du développement durable et inclusif, et à la protection de l’environnement</t>
  </si>
  <si>
    <t>Activite 3.1.1</t>
  </si>
  <si>
    <t>Atelier national de lancement de projet</t>
  </si>
  <si>
    <t>Symposium national de cloture de projet</t>
  </si>
  <si>
    <t>Total pour produit 3.1</t>
  </si>
  <si>
    <t>Produit 3.2:</t>
  </si>
  <si>
    <t>Un observatoire des migrations interne est établi des recherches multidisciplinaires portant sur la paix, la cohésion sociale, le genre, le développement durable, et la protection de l’environnement en rapport avec les migrations sont soutenues</t>
  </si>
  <si>
    <t>Mise en place de structure de type observatoire (equipement IT, software, mobilier, logo)</t>
  </si>
  <si>
    <t>Recherches multi-disciplinaires conduites et appuyees (etude de suivi des beneficiaires, etude d'impact, etc)</t>
  </si>
  <si>
    <t>Relais de diffusion</t>
  </si>
  <si>
    <t>Total pour produit 3.2</t>
  </si>
  <si>
    <t>Les régions Androy et Menabe disposent chacune d’une stratégie régionale de gestion des migrations sensibles à la dimension genre élaborées de manière participative et inclusive</t>
  </si>
  <si>
    <t>Atelier de renforcement de capacites - Menabe</t>
  </si>
  <si>
    <t>Activite 3.3.2</t>
  </si>
  <si>
    <t>Atelier de renforcement de capacites - Androy</t>
  </si>
  <si>
    <t>Publication/diffusion/vulgarisation de la strategie - Menabe</t>
  </si>
  <si>
    <t>Activite 3.3.4</t>
  </si>
  <si>
    <t>Publication/diffusion/vulgarisation de la strategie - Androy</t>
  </si>
  <si>
    <t>Total pour produit 3.3</t>
  </si>
  <si>
    <t>Les autorités régionales en Androy et dans le Menabe disposent d’un fonds de soutien pour la réalisation d’investissements en infrastructures communautaires et publiques soutenant la pérennisation des activités du projet et la cohésion sociale dans les zones d’intervention</t>
  </si>
  <si>
    <t>Session participative et inclusive d'identification des besoins d'investissements - Menabe</t>
  </si>
  <si>
    <t>Activite 3.4.2</t>
  </si>
  <si>
    <t>Session participative et inclusive d'identification des besoins d'investissements - Androy</t>
  </si>
  <si>
    <t>Investissement identifies soutenus - Menabe</t>
  </si>
  <si>
    <t>Activite 3.4.4</t>
  </si>
  <si>
    <t>investissement identifies soutenus - Androy</t>
  </si>
  <si>
    <t>Total pour produit 3.4</t>
  </si>
  <si>
    <t>Cout de personnel du projet si pas inclus dans les activites ci-dessus</t>
  </si>
  <si>
    <t>Couts operationnels si pas inclus dans les activites ci-dessus</t>
  </si>
  <si>
    <t xml:space="preserve"> </t>
  </si>
  <si>
    <t>Budget de suivi</t>
  </si>
  <si>
    <t>Budget pour l'évaluation finale indépendante</t>
  </si>
  <si>
    <t>Coûts supplémentaires total</t>
  </si>
  <si>
    <t xml:space="preserve">COUT TOTAL DU PROJET </t>
  </si>
  <si>
    <t>Totaux (inchangé)</t>
  </si>
  <si>
    <t>Organisation récipiendiaire 2</t>
  </si>
  <si>
    <t>Répartition des tranches basée sur la performance (inchangé)</t>
  </si>
  <si>
    <t>Tranche %</t>
  </si>
  <si>
    <t>Première tranche</t>
  </si>
  <si>
    <t>Deuxième tranche</t>
  </si>
  <si>
    <t>$ alloué à GEWE</t>
  </si>
  <si>
    <t>% alloué à GEWE</t>
  </si>
  <si>
    <t>$ alloué à S&amp;E</t>
  </si>
  <si>
    <t>% alloué à S&amp;E</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</si>
  <si>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</si>
  <si>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Tableau 1 - Budget de projet REAP par categorie de cout de l'ONU</t>
  </si>
  <si>
    <t>CATEGORIES</t>
  </si>
  <si>
    <t xml:space="preserve"> TOTAL PROJET</t>
  </si>
  <si>
    <t>Budget</t>
  </si>
  <si>
    <t>Dépense</t>
  </si>
  <si>
    <t>Sous-total</t>
  </si>
  <si>
    <t xml:space="preserve">8. Coûts indirects*  </t>
  </si>
  <si>
    <t>TOTAL Budget revisé</t>
  </si>
  <si>
    <t>Dépenses - rapport annuel novembre 2021 (en USD)</t>
  </si>
  <si>
    <t>TOTAL DEPENSES</t>
  </si>
  <si>
    <t>Annexe D - Rapport financier Annuel - Novembre 2021</t>
  </si>
  <si>
    <t>Annexe D - RAPPORT FINANCIER ANNUEL 2021 DU PROJET REAP</t>
  </si>
  <si>
    <t>Activite 1.1.3: CS.1041.MG10.D3.18.101 ; CS.1041.MG10.D3.18.102</t>
  </si>
  <si>
    <t>Activite 2.1.3 CS.1041.MG10.D3.18.001</t>
  </si>
  <si>
    <t>Activite 2.1.2 CS.1041.MG10.Q2.05.001</t>
  </si>
  <si>
    <t>Activite 2.1.1 CS.1041.MG10.N1.05.101 ; CS.1041.MG10.N1.05.152</t>
  </si>
  <si>
    <t>Activite 3.1.2 CS.1041.MG10.Q1.05.051 ; CS.1041.MG10.Q1.05.052 ; CS.1041.MG10.Q1.05.053</t>
  </si>
  <si>
    <t>Activite 3.2.1 CS.1041.MG10.N1.07.101 ; CS.1041.MG10.N1.07.102 ; CS.1041.MG10.N1.07.103 ; CS.1041.MG10.N1.07.104</t>
  </si>
  <si>
    <t xml:space="preserve">Activite 3.2.2 CS.1041.MG10.N1.07.051 ; </t>
  </si>
  <si>
    <t>Activite 3.2.3 CS.1041.MG10.N1.07.001</t>
  </si>
  <si>
    <t>Activite 3.3.3 CS.1041.MG10.Q2.02.001</t>
  </si>
  <si>
    <t>Activite 3.4.1 CS.1041.MG10.N1.05.155 ; CS.1041.MG10.N1.05.001</t>
  </si>
  <si>
    <t>Activite 3.4.3 CS.1041.MG10.D3.13.001</t>
  </si>
  <si>
    <t xml:space="preserve">Activite 3.3.1 CS.1041.MG10.N1.05.051 ; CS.1041.MG10.N1.05.153 ; CS.1041.MG10.N1.05.154 ; </t>
  </si>
  <si>
    <t xml:space="preserve">Activite 1.1.2:  CS.1041.MG10.D4.04.002 ; CS.1041.MG10.D4.04.001 </t>
  </si>
  <si>
    <t xml:space="preserve">Activite 1.1.1: CS.1041.MG10.D4.04.051 ; </t>
  </si>
  <si>
    <t>CS.1041.MG10.Q2.03.001</t>
  </si>
  <si>
    <t xml:space="preserve">CS.1041.MG10.Q1.05.001 ; CS.1041.MG10.Q1.03.001 ; </t>
  </si>
  <si>
    <t>CS.1041.MG10.10.01.001 ; CS.1041.MG10.10.02.001 ; CS.1041.MG10.11.01.001 ; CS.1041.MG10.11.01.002 ; CS.1041.MG10.11.04.001 ; CS.1041.MG10.11.04.002 ; CS.1041.MG10.11.06.001</t>
  </si>
  <si>
    <t xml:space="preserve"> CS.1041.MG10.12.01.002 ; CS.1041.MG10.12.01.001 ; CS.1041.MG10.12.03.001 ; CS.1041.MG10.12.04.001 ; CS.1041.MG10.12.06.001 ; CS.1041.MG10.12.07.001 ; CS.1041.MG10.12.09.001</t>
  </si>
  <si>
    <t xml:space="preserve">Project Structure: Description                    </t>
  </si>
  <si>
    <t xml:space="preserve">Description         </t>
  </si>
  <si>
    <t xml:space="preserve">Currency            </t>
  </si>
  <si>
    <t xml:space="preserve">Budget                                            </t>
  </si>
  <si>
    <t xml:space="preserve">Revenue                                           </t>
  </si>
  <si>
    <t xml:space="preserve">Expense             </t>
  </si>
  <si>
    <t xml:space="preserve">Pre-Commitment      </t>
  </si>
  <si>
    <t xml:space="preserve">Commitment          </t>
  </si>
  <si>
    <t xml:space="preserve">Available Balance   </t>
  </si>
  <si>
    <t xml:space="preserve">Project Balance     </t>
  </si>
  <si>
    <t>% Budget Consumption</t>
  </si>
  <si>
    <t xml:space="preserve">% Available Balance </t>
  </si>
  <si>
    <t xml:space="preserve">% Exp               </t>
  </si>
  <si>
    <t>% Exp &amp; Comm &amp; Pre-C</t>
  </si>
  <si>
    <t xml:space="preserve">Proj. Start         </t>
  </si>
  <si>
    <t xml:space="preserve">Proj. End           </t>
  </si>
  <si>
    <t xml:space="preserve">                    </t>
  </si>
  <si>
    <t>USD</t>
  </si>
  <si>
    <t>02.12.2019</t>
  </si>
  <si>
    <t>31.12.2021</t>
  </si>
  <si>
    <t>CS.1041.MG10.10.01.001</t>
  </si>
  <si>
    <t>Chief of Mission - P3</t>
  </si>
  <si>
    <t>7- %</t>
  </si>
  <si>
    <t>CS.1041.MG10.10.02.001</t>
  </si>
  <si>
    <t>Programme Coordinator - P2</t>
  </si>
  <si>
    <t>5- %</t>
  </si>
  <si>
    <t>CS.1041.MG10.11.01.001</t>
  </si>
  <si>
    <t>National Project Officer - NOA Menabe</t>
  </si>
  <si>
    <t>CS.1041.MG10.11.01.002</t>
  </si>
  <si>
    <t>Project Assistant - G5 Antananarivo</t>
  </si>
  <si>
    <t>CS.1041.MG10.11.04.001</t>
  </si>
  <si>
    <t>Admin and Finance Assistant - G6</t>
  </si>
  <si>
    <t>CS.1041.MG10.11.04.002</t>
  </si>
  <si>
    <t>Procurement and Logistics Assistant - G6</t>
  </si>
  <si>
    <t>CS.1041.MG10.11.06.001</t>
  </si>
  <si>
    <t>Driver - G3</t>
  </si>
  <si>
    <t>CS.1041.MG10.12.01.001</t>
  </si>
  <si>
    <t>Office rental - Antananarivo</t>
  </si>
  <si>
    <t>CS.1041.MG10.12.01.002</t>
  </si>
  <si>
    <t>Office rental - Morondava</t>
  </si>
  <si>
    <t>CS.1041.MG10.12.03.001</t>
  </si>
  <si>
    <t>Communication Costs</t>
  </si>
  <si>
    <t>CS.1041.MG10.12.04.001</t>
  </si>
  <si>
    <t>Vehicle Running Costs</t>
  </si>
  <si>
    <t>CS.1041.MG10.12.06.001</t>
  </si>
  <si>
    <t>Offices costs (inc. utilities, equipemen</t>
  </si>
  <si>
    <t>9- %</t>
  </si>
  <si>
    <t>CS.1041.MG10.12.07.001</t>
  </si>
  <si>
    <t>Staff Training Costs</t>
  </si>
  <si>
    <t>CS.1041.MG10.12.09.001</t>
  </si>
  <si>
    <t>Security Costs (compliance to UN MOSS/MO</t>
  </si>
  <si>
    <t>CS.1041.MG10.D3.13.001</t>
  </si>
  <si>
    <t>Financial support infrastructure investm</t>
  </si>
  <si>
    <t>CS.1041.MG10.D3.18.001</t>
  </si>
  <si>
    <t>Implementation livelihoods programme</t>
  </si>
  <si>
    <t>CS.1041.MG10.D3.18.101</t>
  </si>
  <si>
    <t>Social cohesion activities support - Men</t>
  </si>
  <si>
    <t>CS.1041.MG10.D3.18.102</t>
  </si>
  <si>
    <t>Soc. cohesion activities - Tshirts/meals</t>
  </si>
  <si>
    <t>CS.1041.MG10.D4.04.001</t>
  </si>
  <si>
    <t>Mentoring sessions women comitees - Mena</t>
  </si>
  <si>
    <t>CS.1041.MG10.D4.04.002</t>
  </si>
  <si>
    <t>Capacity buildings for women comitees -</t>
  </si>
  <si>
    <t>CS.1041.MG10.D4.04.051</t>
  </si>
  <si>
    <t>Setting up women comitees - Menabe</t>
  </si>
  <si>
    <t>CS.1041.MG10.N1.05.001</t>
  </si>
  <si>
    <t>Identification needs - venue catering Mo</t>
  </si>
  <si>
    <t>CS.1041.MG10.N1.05.051</t>
  </si>
  <si>
    <t>Capacity building workshops -venue cater</t>
  </si>
  <si>
    <t>539- %</t>
  </si>
  <si>
    <t>CS.1041.MG10.N1.05.101</t>
  </si>
  <si>
    <t>Workshop livelihoods program - venue cat</t>
  </si>
  <si>
    <t>CS.1041.MG10.N1.05.152</t>
  </si>
  <si>
    <t>Workshop livelihoods program - DSA and</t>
  </si>
  <si>
    <t>CS.1041.MG10.N1.05.153</t>
  </si>
  <si>
    <t>Capacity building workshops - consultant</t>
  </si>
  <si>
    <t>25- %</t>
  </si>
  <si>
    <t>CS.1041.MG10.N1.05.154</t>
  </si>
  <si>
    <t>Capacity building workshops - flight DSA</t>
  </si>
  <si>
    <t>171- %</t>
  </si>
  <si>
    <t>CS.1041.MG10.N1.05.155</t>
  </si>
  <si>
    <t>Identification needs - caterig field</t>
  </si>
  <si>
    <t>CS.1041.MG10.N1.07.001</t>
  </si>
  <si>
    <t>Support to diffusion research outputs</t>
  </si>
  <si>
    <t>CS.1041.MG10.N1.07.051</t>
  </si>
  <si>
    <t>Conduct of research</t>
  </si>
  <si>
    <t>CS.1041.MG10.N1.07.101</t>
  </si>
  <si>
    <t>Setting up Obersvatory - Transfer IP</t>
  </si>
  <si>
    <t>CS.1041.MG10.N1.07.102</t>
  </si>
  <si>
    <t>Setting up Obersvatory - equipment</t>
  </si>
  <si>
    <t>CS.1041.MG10.N1.07.103</t>
  </si>
  <si>
    <t>Setting up Obersvatory - inauguration</t>
  </si>
  <si>
    <t>CS.1041.MG10.N1.07.104</t>
  </si>
  <si>
    <t>Capacity building Observatory</t>
  </si>
  <si>
    <t>30- %</t>
  </si>
  <si>
    <t>CS.1041.MG10.OH</t>
  </si>
  <si>
    <t>Overhead</t>
  </si>
  <si>
    <t>CS.1041.MG10.Q1.03.001</t>
  </si>
  <si>
    <t>Preparatory assessments - Menabe</t>
  </si>
  <si>
    <t>CS.1041.MG10.Q1.05.001</t>
  </si>
  <si>
    <t>Travel costs monitoring</t>
  </si>
  <si>
    <t>CS.1041.MG10.Q1.05.051</t>
  </si>
  <si>
    <t>End of project symposium - venue cateri</t>
  </si>
  <si>
    <t>CS.1041.MG10.Q1.05.052</t>
  </si>
  <si>
    <t>End of project symposium - DSA flight</t>
  </si>
  <si>
    <t>4- %</t>
  </si>
  <si>
    <t>CS.1041.MG10.Q1.05.053</t>
  </si>
  <si>
    <t>End of project symposium - incidentials</t>
  </si>
  <si>
    <t>CS.1041.MG10.Q2.02.001</t>
  </si>
  <si>
    <t>Printing and dissemination costs</t>
  </si>
  <si>
    <t>Final Evaluation</t>
  </si>
  <si>
    <t>CS.1041.MG10.Q2.05.001</t>
  </si>
  <si>
    <t>Awareness raising campaigns livelihoods</t>
  </si>
  <si>
    <t>activité</t>
  </si>
  <si>
    <t>staff</t>
  </si>
  <si>
    <t>office</t>
  </si>
  <si>
    <t>suivi</t>
  </si>
  <si>
    <t>eval</t>
  </si>
  <si>
    <t>Activite 1.1.1</t>
  </si>
  <si>
    <t>Activite 1.1.2</t>
  </si>
  <si>
    <t>Activite 1.1.3</t>
  </si>
  <si>
    <t>Activite 2.1.1</t>
  </si>
  <si>
    <t>Activite 2.1.2</t>
  </si>
  <si>
    <t>Activite 2.1.3</t>
  </si>
  <si>
    <t>Activite 3.1.2</t>
  </si>
  <si>
    <t>Activite 3.2.1</t>
  </si>
  <si>
    <t>oh</t>
  </si>
  <si>
    <t>Activite 3.2.2</t>
  </si>
  <si>
    <t>Activite 3.2.3</t>
  </si>
  <si>
    <t>Activite 3.3.1</t>
  </si>
  <si>
    <t>Activite 3.3.3</t>
  </si>
  <si>
    <t>Activite 3.4.1</t>
  </si>
  <si>
    <t>Activite 3.4.3</t>
  </si>
  <si>
    <t>Étiquettes de lignes</t>
  </si>
  <si>
    <t>Total général</t>
  </si>
  <si>
    <t xml:space="preserve">Somme de Expense             </t>
  </si>
  <si>
    <t>0.00</t>
  </si>
  <si>
    <t>40,032.00</t>
  </si>
  <si>
    <t>-2,834.32</t>
  </si>
  <si>
    <t>86,472.00</t>
  </si>
  <si>
    <t>-4,734.43</t>
  </si>
  <si>
    <t>30,585.72</t>
  </si>
  <si>
    <t>3,223.13</t>
  </si>
  <si>
    <t>13,805.66</t>
  </si>
  <si>
    <t>899.08</t>
  </si>
  <si>
    <t>5,400.00</t>
  </si>
  <si>
    <t>1,163.00</t>
  </si>
  <si>
    <t>7,970.40</t>
  </si>
  <si>
    <t>1,956.85</t>
  </si>
  <si>
    <t>1,399.68</t>
  </si>
  <si>
    <t>99.20</t>
  </si>
  <si>
    <t>14,646.00</t>
  </si>
  <si>
    <t>-957.06</t>
  </si>
  <si>
    <t>3,388.80</t>
  </si>
  <si>
    <t>3.07</t>
  </si>
  <si>
    <t>10,800.00</t>
  </si>
  <si>
    <t>2,967.58</t>
  </si>
  <si>
    <t>5,130.00</t>
  </si>
  <si>
    <t>3,322.01</t>
  </si>
  <si>
    <t>5,940.00</t>
  </si>
  <si>
    <t>-528.99</t>
  </si>
  <si>
    <t>3,000.14</t>
  </si>
  <si>
    <t>2,883.14</t>
  </si>
  <si>
    <t>11,289.60</t>
  </si>
  <si>
    <t>2,695.01</t>
  </si>
  <si>
    <t>84,000.00</t>
  </si>
  <si>
    <t>9,705.31</t>
  </si>
  <si>
    <t>150,000.00</t>
  </si>
  <si>
    <t>12,973.32</t>
  </si>
  <si>
    <t>63,000.00</t>
  </si>
  <si>
    <t>2,624.93</t>
  </si>
  <si>
    <t>2,000.00</t>
  </si>
  <si>
    <t>562.16</t>
  </si>
  <si>
    <t>9,807.00</t>
  </si>
  <si>
    <t>69.43</t>
  </si>
  <si>
    <t>30,393.00</t>
  </si>
  <si>
    <t>1,278.80</t>
  </si>
  <si>
    <t>4,903.00</t>
  </si>
  <si>
    <t>-0.26</t>
  </si>
  <si>
    <t>500.00</t>
  </si>
  <si>
    <t>497.69</t>
  </si>
  <si>
    <t>1,000.00</t>
  </si>
  <si>
    <t>-5,393.28</t>
  </si>
  <si>
    <t>550.00</t>
  </si>
  <si>
    <t>3,050.00</t>
  </si>
  <si>
    <t>49.67</t>
  </si>
  <si>
    <t>7,000.00</t>
  </si>
  <si>
    <t>-1,746.25</t>
  </si>
  <si>
    <t>1,300.00</t>
  </si>
  <si>
    <t>-2,219.03</t>
  </si>
  <si>
    <t>700.00</t>
  </si>
  <si>
    <t>663.37</t>
  </si>
  <si>
    <t>6,000.00</t>
  </si>
  <si>
    <t>232.25</t>
  </si>
  <si>
    <t>48,250.00</t>
  </si>
  <si>
    <t>6,192.25</t>
  </si>
  <si>
    <t>10,600.00</t>
  </si>
  <si>
    <t>3,280.40</t>
  </si>
  <si>
    <t>10,348.00</t>
  </si>
  <si>
    <t>-22.42</t>
  </si>
  <si>
    <t>1,235.00</t>
  </si>
  <si>
    <t>51.71</t>
  </si>
  <si>
    <t>1,183.00</t>
  </si>
  <si>
    <t>-359.23</t>
  </si>
  <si>
    <t>52,343.92</t>
  </si>
  <si>
    <t>4,979.50</t>
  </si>
  <si>
    <t>11,623.00</t>
  </si>
  <si>
    <t>834.87</t>
  </si>
  <si>
    <t>11,968.00</t>
  </si>
  <si>
    <t>89.37</t>
  </si>
  <si>
    <t>4,000.00</t>
  </si>
  <si>
    <t>2,048.59</t>
  </si>
  <si>
    <t>10,200.00</t>
  </si>
  <si>
    <t>-394.04</t>
  </si>
  <si>
    <t>800.00</t>
  </si>
  <si>
    <t>789.40</t>
  </si>
  <si>
    <t>8.78</t>
  </si>
  <si>
    <t>30,000.00</t>
  </si>
  <si>
    <t>1,382.04</t>
  </si>
  <si>
    <t>3,000.00</t>
  </si>
  <si>
    <t>ACTIVITE</t>
  </si>
  <si>
    <t>Somme de Amt in IOM Currency</t>
  </si>
  <si>
    <t>CS.1041.MG10.N1.05.151</t>
  </si>
  <si>
    <t>(vide)</t>
  </si>
  <si>
    <t>COUT OP</t>
  </si>
  <si>
    <t>Suivi</t>
  </si>
  <si>
    <t>Grant (Donor Contr)</t>
  </si>
  <si>
    <t>Fund (Funding Source)</t>
  </si>
  <si>
    <t>Project ID (Funded Program)</t>
  </si>
  <si>
    <t>Donor Budget Line(Sponsored Programs)</t>
  </si>
  <si>
    <t>Donor Budget Lines Description</t>
  </si>
  <si>
    <t>WBS Element</t>
  </si>
  <si>
    <t>WBS Description</t>
  </si>
  <si>
    <t>Grant</t>
  </si>
  <si>
    <t>GL Account</t>
  </si>
  <si>
    <t>G/L Description</t>
  </si>
  <si>
    <t>Text</t>
  </si>
  <si>
    <t>Document Number</t>
  </si>
  <si>
    <t>Reference Document Number</t>
  </si>
  <si>
    <t>Ref Doc Line</t>
  </si>
  <si>
    <t>Posting Date</t>
  </si>
  <si>
    <t>Amt Grant Currency</t>
  </si>
  <si>
    <t>Grant Currency</t>
  </si>
  <si>
    <t>Amt in IOM Currency</t>
  </si>
  <si>
    <t>IOM Currency (USD)</t>
  </si>
  <si>
    <t>Amt Trans Currency</t>
  </si>
  <si>
    <t>Trans Currency</t>
  </si>
  <si>
    <t>Value Type</t>
  </si>
  <si>
    <t>Username</t>
  </si>
  <si>
    <t>Accounting Document</t>
  </si>
  <si>
    <t>Refkey1 (Orig. Mission)</t>
  </si>
  <si>
    <t>PRODUIT</t>
  </si>
  <si>
    <t>MONTANT</t>
  </si>
  <si>
    <t>Somme de MONTANT</t>
  </si>
  <si>
    <t>produit</t>
  </si>
  <si>
    <t>montant</t>
  </si>
  <si>
    <t>Somme de montant</t>
  </si>
  <si>
    <t>Somme de Somme de MONTANT</t>
  </si>
  <si>
    <t>PROD</t>
  </si>
  <si>
    <t>Dépenses - rapport annuel (en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</si>
</sst>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0_-;\-* #,##0.00_-;_-* &quot;-&quot;??_-;_-@_-"/>
    <numFmt numFmtId="165" formatCode="_-* #,##0.00\ &quot;€&quot;_-;\-* #,##0.00\ &quot;€&quot;_-;_-* &quot;-&quot;??\ &quot;€&quot;_-;_-@_-"/>
    <numFmt numFmtId="166" formatCode="_-* #,##0.00\ _€_-;\-* #,##0.00\ _€_-;_-* &quot;-&quot;??\ _€_-;_-@_-"/>
    <numFmt numFmtId="167" formatCode="_(* #,##0_);_(* \(#,##0\);_(* &quot;-&quot;??_);_(@_)"/>
    <numFmt numFmtId="168" formatCode="_(&quot;$&quot;* #,##0.0000_);_(&quot;$&quot;* \(#,##0.0000\);_(&quot;$&quot;* &quot;-&quot;??_);_(@_)"/>
  </numFmts>
  <fonts count="33" x14ac:knownFonts="1">
    <font>
      <sz val="11"/>
      <color theme="1"/>
      <name val="Calibri"/>
      <family val="2"/>
      <scheme val="minor"/>
    </font>
    <font>
      <sz val="11"/>
      <color theme="1"/>
      <name val="Calibri"/>
      <family val="2"/>
      <scheme val="minor"/>
    </font>
    <font>
      <sz val="12"/>
      <color theme="1"/>
      <name val="Calibri"/>
      <family val="2"/>
      <scheme val="minor"/>
    </font>
    <font>
      <b/>
      <sz val="24"/>
      <color rgb="FF00B0F0"/>
      <name val="Calibri"/>
      <family val="2"/>
      <scheme val="minor"/>
    </font>
    <font>
      <sz val="12"/>
      <name val="Calibri"/>
      <family val="2"/>
      <scheme val="minor"/>
    </font>
    <font>
      <b/>
      <sz val="12"/>
      <name val="Calibri"/>
      <family val="2"/>
      <scheme val="minor"/>
    </font>
    <font>
      <b/>
      <sz val="36"/>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28"/>
      <color theme="1"/>
      <name val="Calibri"/>
      <family val="2"/>
      <scheme val="minor"/>
    </font>
    <font>
      <b/>
      <sz val="16"/>
      <color theme="1"/>
      <name val="Calibri"/>
      <family val="2"/>
      <scheme val="minor"/>
    </font>
    <font>
      <b/>
      <sz val="16"/>
      <color rgb="FFFF0000"/>
      <name val="Calibri"/>
      <family val="2"/>
      <scheme val="minor"/>
    </font>
    <font>
      <b/>
      <sz val="20"/>
      <color theme="1"/>
      <name val="Calibri"/>
      <family val="2"/>
      <scheme val="minor"/>
    </font>
    <font>
      <sz val="12"/>
      <color theme="1"/>
      <name val="Calibri"/>
      <family val="2"/>
    </font>
    <font>
      <b/>
      <sz val="12"/>
      <color rgb="FFFF0000"/>
      <name val="Calibri"/>
      <family val="2"/>
      <scheme val="minor"/>
    </font>
    <font>
      <b/>
      <sz val="12"/>
      <color theme="1"/>
      <name val="Calibri"/>
      <family val="2"/>
    </font>
    <font>
      <i/>
      <sz val="12"/>
      <color theme="1"/>
      <name val="Calibri"/>
      <family val="2"/>
      <scheme val="minor"/>
    </font>
    <font>
      <i/>
      <sz val="12"/>
      <name val="Calibri"/>
      <family val="2"/>
      <scheme val="minor"/>
    </font>
    <font>
      <b/>
      <i/>
      <sz val="12"/>
      <name val="Calibri"/>
      <family val="2"/>
      <scheme val="minor"/>
    </font>
    <font>
      <b/>
      <i/>
      <sz val="12"/>
      <color theme="1"/>
      <name val="Calibri"/>
      <family val="2"/>
      <scheme val="minor"/>
    </font>
    <font>
      <sz val="11"/>
      <color rgb="FFFF0000"/>
      <name val="Calibri"/>
      <family val="2"/>
      <scheme val="minor"/>
    </font>
    <font>
      <b/>
      <sz val="11"/>
      <color theme="1"/>
      <name val="Calibri"/>
      <family val="2"/>
      <scheme val="minor"/>
    </font>
    <font>
      <b/>
      <sz val="36"/>
      <color rgb="FF00B0F0"/>
      <name val="Calibri"/>
      <family val="2"/>
      <scheme val="minor"/>
    </font>
    <font>
      <b/>
      <sz val="12"/>
      <color rgb="FF00B0F0"/>
      <name val="Calibri"/>
      <family val="2"/>
      <scheme val="minor"/>
    </font>
    <font>
      <sz val="12"/>
      <color rgb="FFFF0000"/>
      <name val="Calibri"/>
      <family val="2"/>
      <scheme val="minor"/>
    </font>
    <font>
      <b/>
      <sz val="14"/>
      <color theme="1"/>
      <name val="Calibri"/>
      <family val="2"/>
      <scheme val="minor"/>
    </font>
    <font>
      <sz val="12"/>
      <color theme="1"/>
      <name val="Times New Roman"/>
      <family val="1"/>
    </font>
    <font>
      <i/>
      <sz val="12"/>
      <color theme="1"/>
      <name val="Times New Roman"/>
      <family val="1"/>
    </font>
    <font>
      <b/>
      <sz val="12"/>
      <color theme="1"/>
      <name val="Times New Roman"/>
      <family val="1"/>
    </font>
    <font>
      <i/>
      <sz val="12"/>
      <color theme="1"/>
      <name val="Calibri"/>
      <family val="2"/>
    </font>
    <font>
      <sz val="10"/>
      <name val="Arial"/>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
      <patternFill patternType="solid">
        <fgColor theme="7" tint="0.39997558519241921"/>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92D050"/>
        <bgColor indexed="64"/>
      </patternFill>
    </fill>
    <fill>
      <patternFill patternType="solid">
        <fgColor rgb="FFFF0000"/>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auto="1"/>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top/>
      <bottom style="thin">
        <color auto="1"/>
      </bottom>
      <diagonal/>
    </border>
    <border>
      <left style="medium">
        <color indexed="64"/>
      </left>
      <right/>
      <top style="thin">
        <color indexed="64"/>
      </top>
      <bottom style="medium">
        <color indexed="64"/>
      </bottom>
      <diagonal/>
    </border>
    <border>
      <left style="thin">
        <color auto="1"/>
      </left>
      <right/>
      <top/>
      <bottom/>
      <diagonal/>
    </border>
    <border>
      <left/>
      <right style="medium">
        <color auto="1"/>
      </right>
      <top/>
      <bottom/>
      <diagonal/>
    </border>
    <border>
      <left style="medium">
        <color auto="1"/>
      </left>
      <right/>
      <top style="medium">
        <color auto="1"/>
      </top>
      <bottom style="thin">
        <color auto="1"/>
      </bottom>
      <diagonal/>
    </border>
    <border>
      <left/>
      <right style="medium">
        <color auto="1"/>
      </right>
      <top/>
      <bottom style="thin">
        <color auto="1"/>
      </bottom>
      <diagonal/>
    </border>
    <border>
      <left style="medium">
        <color auto="1"/>
      </left>
      <right style="medium">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auto="1"/>
      </right>
      <top style="medium">
        <color auto="1"/>
      </top>
      <bottom style="thin">
        <color auto="1"/>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auto="1"/>
      </left>
      <right style="medium">
        <color auto="1"/>
      </right>
      <top style="thin">
        <color auto="1"/>
      </top>
      <bottom style="medium">
        <color auto="1"/>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auto="1"/>
      </top>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indexed="64"/>
      </left>
      <right style="thin">
        <color indexed="64"/>
      </right>
      <top/>
      <bottom/>
      <diagonal/>
    </border>
    <border>
      <left style="thin">
        <color auto="1"/>
      </left>
      <right style="medium">
        <color auto="1"/>
      </right>
      <top/>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31" fillId="0" borderId="0"/>
  </cellStyleXfs>
  <cellXfs count="506">
    <xf numFmtId="0" fontId="0" fillId="0" borderId="0" xfId="0"/>
    <xf numFmtId="0" fontId="2" fillId="0" borderId="0" xfId="0" applyFont="1" applyAlignment="1">
      <alignment wrapText="1"/>
    </xf>
    <xf numFmtId="0" fontId="4" fillId="2" borderId="0" xfId="0" applyFont="1" applyFill="1" applyBorder="1" applyAlignment="1">
      <alignment wrapText="1"/>
    </xf>
    <xf numFmtId="43" fontId="4" fillId="2" borderId="0" xfId="0" applyNumberFormat="1" applyFont="1" applyFill="1" applyBorder="1" applyAlignment="1">
      <alignment wrapText="1"/>
    </xf>
    <xf numFmtId="0" fontId="5" fillId="2" borderId="0" xfId="0" applyFont="1" applyFill="1" applyBorder="1" applyAlignment="1">
      <alignment wrapText="1"/>
    </xf>
    <xf numFmtId="0" fontId="6" fillId="0" borderId="0" xfId="0" applyFont="1" applyAlignment="1">
      <alignment wrapText="1"/>
    </xf>
    <xf numFmtId="0" fontId="7" fillId="0" borderId="0" xfId="0" applyFont="1" applyAlignment="1">
      <alignment wrapText="1"/>
    </xf>
    <xf numFmtId="0" fontId="0" fillId="0" borderId="0" xfId="0" applyAlignment="1">
      <alignment wrapText="1"/>
    </xf>
    <xf numFmtId="0" fontId="8" fillId="0" borderId="0" xfId="0" applyFont="1" applyAlignment="1">
      <alignment wrapText="1"/>
    </xf>
    <xf numFmtId="43" fontId="8" fillId="0" borderId="0" xfId="0" applyNumberFormat="1" applyFont="1" applyAlignment="1">
      <alignment wrapText="1"/>
    </xf>
    <xf numFmtId="0" fontId="9" fillId="0" borderId="0" xfId="0" applyFont="1" applyAlignment="1">
      <alignment wrapText="1"/>
    </xf>
    <xf numFmtId="0" fontId="0" fillId="0" borderId="0" xfId="0" applyFont="1" applyBorder="1" applyAlignment="1">
      <alignment wrapText="1"/>
    </xf>
    <xf numFmtId="0" fontId="8" fillId="0" borderId="0" xfId="0" applyFont="1" applyBorder="1" applyAlignment="1">
      <alignment wrapText="1"/>
    </xf>
    <xf numFmtId="43" fontId="8" fillId="0" borderId="0" xfId="0" applyNumberFormat="1" applyFont="1" applyBorder="1" applyAlignment="1">
      <alignment wrapText="1"/>
    </xf>
    <xf numFmtId="0" fontId="9" fillId="0" borderId="0" xfId="0" applyFont="1" applyBorder="1" applyAlignment="1">
      <alignment wrapText="1"/>
    </xf>
    <xf numFmtId="0" fontId="10" fillId="0" borderId="0" xfId="0" applyFont="1" applyAlignment="1">
      <alignment horizontal="left" wrapText="1"/>
    </xf>
    <xf numFmtId="0" fontId="11" fillId="0" borderId="0" xfId="0" applyFont="1" applyAlignment="1">
      <alignment horizontal="left" vertical="center" wrapText="1"/>
    </xf>
    <xf numFmtId="0" fontId="7" fillId="2" borderId="0" xfId="0" applyFont="1" applyFill="1" applyAlignment="1">
      <alignment horizontal="left" wrapText="1"/>
    </xf>
    <xf numFmtId="0" fontId="5" fillId="0" borderId="0" xfId="0" applyFont="1" applyAlignment="1">
      <alignment horizontal="left" wrapText="1"/>
    </xf>
    <xf numFmtId="43" fontId="5" fillId="0" borderId="0" xfId="0" applyNumberFormat="1" applyFont="1" applyAlignment="1">
      <alignment horizontal="left" wrapText="1"/>
    </xf>
    <xf numFmtId="0" fontId="7" fillId="0" borderId="0" xfId="0" applyFont="1" applyAlignment="1">
      <alignment horizontal="left" wrapText="1"/>
    </xf>
    <xf numFmtId="0" fontId="13" fillId="0" borderId="0" xfId="0" applyFont="1" applyAlignment="1">
      <alignment horizontal="left" wrapText="1"/>
    </xf>
    <xf numFmtId="0" fontId="4" fillId="0" borderId="0" xfId="0" applyFont="1" applyAlignment="1">
      <alignment wrapText="1"/>
    </xf>
    <xf numFmtId="43" fontId="4" fillId="0" borderId="0" xfId="0" applyNumberFormat="1" applyFont="1" applyAlignment="1">
      <alignment wrapText="1"/>
    </xf>
    <xf numFmtId="0" fontId="5" fillId="0" borderId="0" xfId="0" applyFont="1" applyAlignment="1">
      <alignment wrapText="1"/>
    </xf>
    <xf numFmtId="0" fontId="0" fillId="0" borderId="13" xfId="0" applyBorder="1"/>
    <xf numFmtId="0" fontId="7" fillId="6" borderId="19" xfId="1" applyNumberFormat="1" applyFont="1" applyFill="1" applyBorder="1" applyAlignment="1" applyProtection="1">
      <alignment horizontal="center" vertical="center" wrapText="1"/>
    </xf>
    <xf numFmtId="0" fontId="7" fillId="6" borderId="20" xfId="1" applyNumberFormat="1" applyFont="1" applyFill="1" applyBorder="1" applyAlignment="1">
      <alignment horizontal="center" vertical="center" wrapText="1"/>
    </xf>
    <xf numFmtId="0" fontId="7" fillId="6" borderId="17" xfId="0" applyFont="1" applyFill="1" applyBorder="1" applyAlignment="1">
      <alignment horizontal="left" wrapText="1"/>
    </xf>
    <xf numFmtId="0" fontId="7" fillId="6" borderId="28" xfId="0" applyFont="1" applyFill="1" applyBorder="1" applyAlignment="1">
      <alignment horizontal="left" wrapText="1"/>
    </xf>
    <xf numFmtId="0" fontId="7" fillId="6" borderId="34" xfId="0" applyFont="1" applyFill="1" applyBorder="1" applyAlignment="1">
      <alignment horizontal="left" wrapText="1"/>
    </xf>
    <xf numFmtId="44" fontId="7" fillId="6" borderId="9" xfId="0" applyNumberFormat="1" applyFont="1" applyFill="1" applyBorder="1" applyAlignment="1">
      <alignment horizontal="center" wrapText="1"/>
    </xf>
    <xf numFmtId="44" fontId="7" fillId="6" borderId="10" xfId="0" applyNumberFormat="1" applyFont="1" applyFill="1" applyBorder="1" applyAlignment="1">
      <alignment horizontal="center" wrapText="1"/>
    </xf>
    <xf numFmtId="44" fontId="7" fillId="6" borderId="11" xfId="0" applyNumberFormat="1" applyFont="1" applyFill="1" applyBorder="1" applyAlignment="1">
      <alignment wrapText="1"/>
    </xf>
    <xf numFmtId="44" fontId="5" fillId="7" borderId="14" xfId="0" applyNumberFormat="1" applyFont="1" applyFill="1" applyBorder="1" applyAlignment="1">
      <alignment horizontal="center" wrapText="1"/>
    </xf>
    <xf numFmtId="43" fontId="5" fillId="7" borderId="15" xfId="0" applyNumberFormat="1" applyFont="1" applyFill="1" applyBorder="1" applyAlignment="1">
      <alignment horizontal="center" wrapText="1"/>
    </xf>
    <xf numFmtId="0" fontId="0" fillId="0" borderId="18" xfId="0" applyBorder="1"/>
    <xf numFmtId="0" fontId="14" fillId="6" borderId="36" xfId="0" applyFont="1" applyFill="1" applyBorder="1" applyAlignment="1">
      <alignment vertical="center" wrapText="1"/>
    </xf>
    <xf numFmtId="44" fontId="2" fillId="0" borderId="14" xfId="0" applyNumberFormat="1" applyFont="1" applyBorder="1" applyAlignment="1" applyProtection="1">
      <alignment wrapText="1"/>
      <protection locked="0"/>
    </xf>
    <xf numFmtId="44" fontId="2" fillId="2" borderId="15" xfId="1" applyNumberFormat="1" applyFont="1" applyFill="1" applyBorder="1" applyAlignment="1" applyProtection="1">
      <alignment horizontal="center" vertical="center" wrapText="1"/>
      <protection locked="0"/>
    </xf>
    <xf numFmtId="44" fontId="7" fillId="6" borderId="16" xfId="0" applyNumberFormat="1" applyFont="1" applyFill="1" applyBorder="1" applyAlignment="1">
      <alignment wrapText="1"/>
    </xf>
    <xf numFmtId="44" fontId="4" fillId="0" borderId="14" xfId="0" applyNumberFormat="1" applyFont="1" applyFill="1" applyBorder="1" applyAlignment="1" applyProtection="1">
      <alignment wrapText="1"/>
      <protection locked="0"/>
    </xf>
    <xf numFmtId="43" fontId="4" fillId="0" borderId="15" xfId="0" applyNumberFormat="1" applyFont="1" applyFill="1" applyBorder="1" applyAlignment="1" applyProtection="1">
      <alignment wrapText="1"/>
      <protection locked="0"/>
    </xf>
    <xf numFmtId="44" fontId="2" fillId="0" borderId="15" xfId="0" applyNumberFormat="1" applyFont="1" applyBorder="1" applyAlignment="1" applyProtection="1">
      <alignment wrapText="1"/>
      <protection locked="0"/>
    </xf>
    <xf numFmtId="0" fontId="14" fillId="6" borderId="23" xfId="0" applyFont="1" applyFill="1" applyBorder="1" applyAlignment="1">
      <alignment vertical="center" wrapText="1"/>
    </xf>
    <xf numFmtId="0" fontId="14" fillId="6" borderId="23" xfId="0" applyFont="1" applyFill="1" applyBorder="1" applyAlignment="1" applyProtection="1">
      <alignment vertical="center" wrapText="1"/>
      <protection locked="0"/>
    </xf>
    <xf numFmtId="44" fontId="4" fillId="2" borderId="15" xfId="0" applyNumberFormat="1" applyFont="1" applyFill="1" applyBorder="1" applyAlignment="1" applyProtection="1">
      <alignment wrapText="1"/>
      <protection locked="0"/>
    </xf>
    <xf numFmtId="165" fontId="7" fillId="10" borderId="23" xfId="1" applyFont="1" applyFill="1" applyBorder="1" applyAlignment="1">
      <alignment wrapText="1"/>
    </xf>
    <xf numFmtId="44" fontId="7" fillId="10" borderId="19" xfId="1" applyNumberFormat="1" applyFont="1" applyFill="1" applyBorder="1" applyAlignment="1">
      <alignment wrapText="1"/>
    </xf>
    <xf numFmtId="44" fontId="7" fillId="10" borderId="20" xfId="1" applyNumberFormat="1" applyFont="1" applyFill="1" applyBorder="1" applyAlignment="1">
      <alignment wrapText="1"/>
    </xf>
    <xf numFmtId="44" fontId="7" fillId="10" borderId="21" xfId="1" applyNumberFormat="1" applyFont="1" applyFill="1" applyBorder="1" applyAlignment="1">
      <alignment wrapText="1"/>
    </xf>
    <xf numFmtId="44" fontId="5" fillId="7" borderId="19" xfId="1" applyNumberFormat="1" applyFont="1" applyFill="1" applyBorder="1" applyAlignment="1">
      <alignment wrapText="1"/>
    </xf>
    <xf numFmtId="43" fontId="5" fillId="7" borderId="20" xfId="1" applyNumberFormat="1" applyFont="1" applyFill="1" applyBorder="1" applyAlignment="1">
      <alignment wrapText="1"/>
    </xf>
    <xf numFmtId="0" fontId="2" fillId="2" borderId="0" xfId="0" applyFont="1" applyFill="1" applyAlignment="1">
      <alignment wrapText="1"/>
    </xf>
    <xf numFmtId="0" fontId="7" fillId="6" borderId="37" xfId="0" applyFont="1" applyFill="1" applyBorder="1" applyAlignment="1">
      <alignment horizontal="left" wrapText="1"/>
    </xf>
    <xf numFmtId="0" fontId="14" fillId="6" borderId="33" xfId="0" applyFont="1" applyFill="1" applyBorder="1" applyAlignment="1">
      <alignment vertical="center" wrapText="1"/>
    </xf>
    <xf numFmtId="0" fontId="14" fillId="6" borderId="35" xfId="0" applyFont="1" applyFill="1" applyBorder="1" applyAlignment="1">
      <alignment vertical="center" wrapText="1"/>
    </xf>
    <xf numFmtId="44" fontId="2" fillId="2" borderId="15" xfId="0" applyNumberFormat="1" applyFont="1" applyFill="1" applyBorder="1" applyAlignment="1" applyProtection="1">
      <alignment wrapText="1"/>
      <protection locked="0"/>
    </xf>
    <xf numFmtId="0" fontId="14" fillId="6" borderId="35" xfId="0" applyFont="1" applyFill="1" applyBorder="1" applyAlignment="1" applyProtection="1">
      <alignment vertical="center" wrapText="1"/>
      <protection locked="0"/>
    </xf>
    <xf numFmtId="165" fontId="7" fillId="10" borderId="37" xfId="1" applyFont="1" applyFill="1" applyBorder="1" applyAlignment="1">
      <alignment wrapText="1"/>
    </xf>
    <xf numFmtId="165" fontId="7" fillId="2" borderId="38" xfId="1" applyFont="1" applyFill="1" applyBorder="1" applyAlignment="1">
      <alignment wrapText="1"/>
    </xf>
    <xf numFmtId="0" fontId="7" fillId="6" borderId="14" xfId="0" applyFont="1" applyFill="1" applyBorder="1" applyAlignment="1">
      <alignment horizontal="left" wrapText="1"/>
    </xf>
    <xf numFmtId="44" fontId="7" fillId="6" borderId="15" xfId="0" applyNumberFormat="1" applyFont="1" applyFill="1" applyBorder="1" applyAlignment="1">
      <alignment horizontal="center" wrapText="1"/>
    </xf>
    <xf numFmtId="44" fontId="7" fillId="6" borderId="15" xfId="0" applyNumberFormat="1" applyFont="1" applyFill="1" applyBorder="1" applyAlignment="1">
      <alignment wrapText="1"/>
    </xf>
    <xf numFmtId="0" fontId="14" fillId="6" borderId="14" xfId="0" applyFont="1" applyFill="1" applyBorder="1" applyAlignment="1">
      <alignment vertical="center" wrapText="1"/>
    </xf>
    <xf numFmtId="44" fontId="2" fillId="0" borderId="15" xfId="0" applyNumberFormat="1" applyFont="1" applyFill="1" applyBorder="1" applyAlignment="1" applyProtection="1">
      <alignment wrapText="1"/>
      <protection locked="0"/>
    </xf>
    <xf numFmtId="0" fontId="14" fillId="6" borderId="14" xfId="0" applyFont="1" applyFill="1" applyBorder="1" applyAlignment="1" applyProtection="1">
      <alignment vertical="center" wrapText="1"/>
      <protection locked="0"/>
    </xf>
    <xf numFmtId="44" fontId="4" fillId="0" borderId="15" xfId="0" applyNumberFormat="1" applyFont="1" applyFill="1" applyBorder="1" applyAlignment="1" applyProtection="1">
      <alignment wrapText="1"/>
      <protection locked="0"/>
    </xf>
    <xf numFmtId="165" fontId="7" fillId="10" borderId="19" xfId="1" applyFont="1" applyFill="1" applyBorder="1" applyAlignment="1">
      <alignment wrapText="1"/>
    </xf>
    <xf numFmtId="44" fontId="7" fillId="6" borderId="20" xfId="0" applyNumberFormat="1" applyFont="1" applyFill="1" applyBorder="1" applyAlignment="1">
      <alignment wrapText="1"/>
    </xf>
    <xf numFmtId="44" fontId="7" fillId="6" borderId="20" xfId="0" applyNumberFormat="1" applyFont="1" applyFill="1" applyBorder="1" applyAlignment="1">
      <alignment horizontal="center" wrapText="1"/>
    </xf>
    <xf numFmtId="44" fontId="2" fillId="0" borderId="30" xfId="0" applyNumberFormat="1" applyFont="1" applyBorder="1" applyAlignment="1" applyProtection="1">
      <alignment wrapText="1"/>
      <protection locked="0"/>
    </xf>
    <xf numFmtId="165" fontId="7" fillId="10" borderId="32" xfId="1" applyFont="1" applyFill="1" applyBorder="1" applyAlignment="1">
      <alignment wrapText="1"/>
    </xf>
    <xf numFmtId="44" fontId="7" fillId="10" borderId="26" xfId="1" applyNumberFormat="1" applyFont="1" applyFill="1" applyBorder="1" applyAlignment="1">
      <alignment wrapText="1"/>
    </xf>
    <xf numFmtId="44" fontId="7" fillId="6" borderId="27" xfId="0" applyNumberFormat="1" applyFont="1" applyFill="1" applyBorder="1" applyAlignment="1">
      <alignment wrapText="1"/>
    </xf>
    <xf numFmtId="44" fontId="5" fillId="7" borderId="25" xfId="1" applyNumberFormat="1" applyFont="1" applyFill="1" applyBorder="1" applyAlignment="1">
      <alignment wrapText="1"/>
    </xf>
    <xf numFmtId="43" fontId="5" fillId="7" borderId="26" xfId="1" applyNumberFormat="1" applyFont="1" applyFill="1" applyBorder="1" applyAlignment="1">
      <alignment wrapText="1"/>
    </xf>
    <xf numFmtId="0" fontId="0" fillId="0" borderId="42" xfId="0" applyBorder="1"/>
    <xf numFmtId="0" fontId="7" fillId="9" borderId="43" xfId="0" applyFont="1" applyFill="1" applyBorder="1" applyAlignment="1" applyProtection="1">
      <alignment vertical="center" wrapText="1"/>
    </xf>
    <xf numFmtId="44" fontId="7" fillId="9" borderId="44" xfId="0" applyNumberFormat="1" applyFont="1" applyFill="1" applyBorder="1" applyAlignment="1" applyProtection="1">
      <alignment vertical="center" wrapText="1"/>
    </xf>
    <xf numFmtId="4" fontId="15" fillId="9" borderId="45" xfId="2" applyNumberFormat="1" applyFont="1" applyFill="1" applyBorder="1" applyAlignment="1" applyProtection="1">
      <alignment horizontal="center" vertical="center" wrapText="1"/>
    </xf>
    <xf numFmtId="44" fontId="7" fillId="10" borderId="15" xfId="1" applyNumberFormat="1" applyFont="1" applyFill="1" applyBorder="1" applyAlignment="1">
      <alignment wrapText="1"/>
    </xf>
    <xf numFmtId="44" fontId="7" fillId="10" borderId="16" xfId="1" applyNumberFormat="1" applyFont="1" applyFill="1" applyBorder="1" applyAlignment="1">
      <alignment wrapText="1"/>
    </xf>
    <xf numFmtId="44" fontId="2" fillId="2" borderId="30" xfId="1" applyNumberFormat="1" applyFont="1" applyFill="1" applyBorder="1" applyAlignment="1" applyProtection="1">
      <alignment horizontal="center" vertical="center" wrapText="1"/>
      <protection locked="0"/>
    </xf>
    <xf numFmtId="0" fontId="7" fillId="9" borderId="43" xfId="0" applyFont="1" applyFill="1" applyBorder="1" applyAlignment="1">
      <alignment wrapText="1"/>
    </xf>
    <xf numFmtId="43" fontId="4" fillId="0" borderId="14" xfId="0" applyNumberFormat="1" applyFont="1" applyFill="1" applyBorder="1" applyAlignment="1" applyProtection="1">
      <alignment wrapText="1"/>
      <protection locked="0"/>
    </xf>
    <xf numFmtId="44" fontId="7" fillId="10" borderId="27" xfId="1" applyNumberFormat="1" applyFont="1" applyFill="1" applyBorder="1" applyAlignment="1">
      <alignment wrapText="1"/>
    </xf>
    <xf numFmtId="0" fontId="7" fillId="9" borderId="43" xfId="0" applyFont="1" applyFill="1" applyBorder="1" applyAlignment="1">
      <alignment vertical="center" wrapText="1"/>
    </xf>
    <xf numFmtId="44" fontId="0" fillId="0" borderId="18" xfId="0" applyNumberFormat="1" applyBorder="1"/>
    <xf numFmtId="44" fontId="0" fillId="0" borderId="0" xfId="0" applyNumberFormat="1"/>
    <xf numFmtId="0" fontId="7" fillId="6" borderId="3" xfId="0" applyFont="1" applyFill="1" applyBorder="1" applyAlignment="1">
      <alignment horizontal="center" wrapText="1"/>
    </xf>
    <xf numFmtId="165" fontId="7" fillId="6" borderId="15" xfId="1" applyFont="1" applyFill="1" applyBorder="1" applyAlignment="1" applyProtection="1">
      <alignment horizontal="center" vertical="center" wrapText="1"/>
    </xf>
    <xf numFmtId="165" fontId="7" fillId="6" borderId="10" xfId="1" applyFont="1" applyFill="1" applyBorder="1" applyAlignment="1">
      <alignment horizontal="center" vertical="center" wrapText="1"/>
    </xf>
    <xf numFmtId="0" fontId="7" fillId="6" borderId="33" xfId="0" applyFont="1" applyFill="1" applyBorder="1" applyAlignment="1">
      <alignment horizontal="center" wrapText="1"/>
    </xf>
    <xf numFmtId="44" fontId="5" fillId="5" borderId="14" xfId="0" applyNumberFormat="1" applyFont="1" applyFill="1" applyBorder="1" applyAlignment="1">
      <alignment horizontal="center" wrapText="1"/>
    </xf>
    <xf numFmtId="43" fontId="5" fillId="5" borderId="15" xfId="0" applyNumberFormat="1" applyFont="1" applyFill="1" applyBorder="1" applyAlignment="1">
      <alignment horizontal="center" wrapText="1"/>
    </xf>
    <xf numFmtId="44" fontId="5" fillId="5" borderId="15" xfId="0" applyNumberFormat="1" applyFont="1" applyFill="1" applyBorder="1" applyAlignment="1">
      <alignment horizontal="center" wrapText="1"/>
    </xf>
    <xf numFmtId="0" fontId="16" fillId="6" borderId="33" xfId="0" applyFont="1" applyFill="1" applyBorder="1" applyAlignment="1">
      <alignment vertical="center" wrapText="1"/>
    </xf>
    <xf numFmtId="44" fontId="2" fillId="6" borderId="30" xfId="0" applyNumberFormat="1" applyFont="1" applyFill="1" applyBorder="1" applyAlignment="1">
      <alignment wrapText="1"/>
    </xf>
    <xf numFmtId="44" fontId="2" fillId="6" borderId="15" xfId="0" applyNumberFormat="1" applyFont="1" applyFill="1" applyBorder="1" applyAlignment="1">
      <alignment wrapText="1"/>
    </xf>
    <xf numFmtId="0" fontId="16" fillId="6" borderId="35" xfId="0" applyFont="1" applyFill="1" applyBorder="1" applyAlignment="1">
      <alignment vertical="center" wrapText="1"/>
    </xf>
    <xf numFmtId="0" fontId="16" fillId="6" borderId="35" xfId="0" applyFont="1" applyFill="1" applyBorder="1" applyAlignment="1" applyProtection="1">
      <alignment vertical="center" wrapText="1"/>
      <protection locked="0"/>
    </xf>
    <xf numFmtId="166" fontId="0" fillId="0" borderId="0" xfId="0" applyNumberFormat="1"/>
    <xf numFmtId="0" fontId="17" fillId="6" borderId="35" xfId="0" applyFont="1" applyFill="1" applyBorder="1" applyAlignment="1">
      <alignment vertical="center" wrapText="1"/>
    </xf>
    <xf numFmtId="44" fontId="2" fillId="6" borderId="15" xfId="1" applyNumberFormat="1" applyFont="1" applyFill="1" applyBorder="1" applyAlignment="1">
      <alignment wrapText="1"/>
    </xf>
    <xf numFmtId="44" fontId="17" fillId="6" borderId="15" xfId="1" applyNumberFormat="1" applyFont="1" applyFill="1" applyBorder="1" applyAlignment="1">
      <alignment wrapText="1"/>
    </xf>
    <xf numFmtId="44" fontId="17" fillId="6" borderId="16" xfId="0" applyNumberFormat="1" applyFont="1" applyFill="1" applyBorder="1" applyAlignment="1">
      <alignment wrapText="1"/>
    </xf>
    <xf numFmtId="44" fontId="2" fillId="6" borderId="20" xfId="0" applyNumberFormat="1" applyFont="1" applyFill="1" applyBorder="1" applyAlignment="1">
      <alignment wrapText="1"/>
    </xf>
    <xf numFmtId="44" fontId="17" fillId="6" borderId="26" xfId="0" applyNumberFormat="1" applyFont="1" applyFill="1" applyBorder="1" applyAlignment="1">
      <alignment wrapText="1"/>
    </xf>
    <xf numFmtId="44" fontId="17" fillId="6" borderId="27" xfId="0" applyNumberFormat="1" applyFont="1" applyFill="1" applyBorder="1" applyAlignment="1">
      <alignment wrapText="1"/>
    </xf>
    <xf numFmtId="0" fontId="7" fillId="6" borderId="4" xfId="0" applyFont="1" applyFill="1" applyBorder="1" applyAlignment="1">
      <alignment wrapText="1"/>
    </xf>
    <xf numFmtId="44" fontId="7" fillId="6" borderId="48" xfId="0" applyNumberFormat="1" applyFont="1" applyFill="1" applyBorder="1" applyAlignment="1">
      <alignment wrapText="1"/>
    </xf>
    <xf numFmtId="44" fontId="7" fillId="6" borderId="44" xfId="0" applyNumberFormat="1" applyFont="1" applyFill="1" applyBorder="1" applyAlignment="1">
      <alignment wrapText="1"/>
    </xf>
    <xf numFmtId="44" fontId="7" fillId="6" borderId="45" xfId="0" applyNumberFormat="1" applyFont="1" applyFill="1" applyBorder="1" applyAlignment="1">
      <alignment wrapText="1"/>
    </xf>
    <xf numFmtId="0" fontId="0" fillId="0" borderId="50" xfId="0" applyBorder="1"/>
    <xf numFmtId="0" fontId="2" fillId="2" borderId="0" xfId="0" applyFont="1" applyFill="1" applyBorder="1" applyAlignment="1">
      <alignment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65" fontId="0" fillId="2" borderId="0" xfId="1" applyFont="1" applyFill="1" applyBorder="1" applyAlignment="1">
      <alignment wrapText="1"/>
    </xf>
    <xf numFmtId="0" fontId="23" fillId="2" borderId="0" xfId="0" applyFont="1" applyFill="1" applyBorder="1" applyAlignment="1">
      <alignment vertical="top" wrapText="1"/>
    </xf>
    <xf numFmtId="0" fontId="24" fillId="2" borderId="0" xfId="0" applyFont="1" applyFill="1" applyBorder="1" applyAlignment="1">
      <alignment wrapText="1"/>
    </xf>
    <xf numFmtId="0" fontId="13" fillId="3" borderId="7" xfId="0" applyFont="1" applyFill="1" applyBorder="1" applyAlignment="1">
      <alignment wrapText="1"/>
    </xf>
    <xf numFmtId="0" fontId="13" fillId="3" borderId="8" xfId="0" applyFont="1" applyFill="1" applyBorder="1" applyAlignment="1">
      <alignment wrapText="1"/>
    </xf>
    <xf numFmtId="0" fontId="15" fillId="2" borderId="0" xfId="0" applyFont="1" applyFill="1" applyBorder="1" applyAlignment="1" applyProtection="1">
      <alignment horizontal="center" vertical="center" wrapText="1"/>
    </xf>
    <xf numFmtId="0" fontId="7" fillId="12" borderId="15" xfId="0" applyFont="1" applyFill="1" applyBorder="1" applyAlignment="1" applyProtection="1">
      <alignment vertical="center" wrapText="1"/>
    </xf>
    <xf numFmtId="165" fontId="25" fillId="2" borderId="0" xfId="1" applyFont="1" applyFill="1" applyBorder="1" applyAlignment="1" applyProtection="1">
      <alignment vertical="center" wrapText="1"/>
    </xf>
    <xf numFmtId="165" fontId="7" fillId="2" borderId="0" xfId="1" applyFont="1" applyFill="1" applyBorder="1" applyAlignment="1" applyProtection="1">
      <alignment vertical="center" wrapText="1"/>
    </xf>
    <xf numFmtId="0" fontId="2" fillId="12" borderId="15" xfId="0" applyFont="1" applyFill="1" applyBorder="1" applyAlignment="1" applyProtection="1">
      <alignment vertical="center" wrapText="1"/>
    </xf>
    <xf numFmtId="0" fontId="2" fillId="0" borderId="15" xfId="0" applyFont="1" applyBorder="1" applyAlignment="1" applyProtection="1">
      <alignment horizontal="left" vertical="top" wrapText="1"/>
      <protection locked="0"/>
    </xf>
    <xf numFmtId="9" fontId="2" fillId="0" borderId="15" xfId="3" applyFont="1" applyBorder="1" applyAlignment="1" applyProtection="1">
      <alignment horizontal="center" vertical="center" wrapText="1"/>
      <protection locked="0"/>
    </xf>
    <xf numFmtId="165" fontId="2" fillId="0" borderId="15" xfId="1" applyFont="1" applyBorder="1" applyAlignment="1" applyProtection="1">
      <alignment horizontal="center" vertical="center" wrapText="1"/>
      <protection locked="0"/>
    </xf>
    <xf numFmtId="49" fontId="2" fillId="0" borderId="15" xfId="1" applyNumberFormat="1" applyFont="1" applyBorder="1" applyAlignment="1" applyProtection="1">
      <alignment horizontal="left" wrapText="1"/>
      <protection locked="0"/>
    </xf>
    <xf numFmtId="44" fontId="2" fillId="2" borderId="0" xfId="1" applyNumberFormat="1" applyFont="1" applyFill="1" applyBorder="1" applyAlignment="1" applyProtection="1">
      <alignment horizontal="center" vertical="center" wrapText="1"/>
    </xf>
    <xf numFmtId="0" fontId="7" fillId="6" borderId="15" xfId="0" applyFont="1" applyFill="1" applyBorder="1" applyAlignment="1" applyProtection="1">
      <alignment vertical="center" wrapText="1"/>
    </xf>
    <xf numFmtId="49" fontId="2" fillId="2" borderId="15" xfId="1" applyNumberFormat="1" applyFont="1" applyFill="1" applyBorder="1" applyAlignment="1" applyProtection="1">
      <alignment horizontal="left" wrapText="1"/>
      <protection locked="0"/>
    </xf>
    <xf numFmtId="165" fontId="7" fillId="2" borderId="0" xfId="1" applyFont="1" applyFill="1" applyBorder="1" applyAlignment="1" applyProtection="1">
      <alignment horizontal="center" vertical="center" wrapText="1"/>
    </xf>
    <xf numFmtId="0" fontId="2" fillId="0" borderId="15" xfId="0" applyFont="1" applyFill="1" applyBorder="1" applyAlignment="1" applyProtection="1">
      <alignment horizontal="left" vertical="top" wrapText="1"/>
      <protection locked="0"/>
    </xf>
    <xf numFmtId="0" fontId="7" fillId="6" borderId="26" xfId="0" applyFont="1" applyFill="1" applyBorder="1" applyAlignment="1" applyProtection="1">
      <alignment vertical="center" wrapText="1"/>
    </xf>
    <xf numFmtId="49" fontId="2" fillId="2" borderId="26" xfId="1" applyNumberFormat="1" applyFont="1" applyFill="1" applyBorder="1" applyAlignment="1" applyProtection="1">
      <alignment horizontal="left" wrapText="1"/>
      <protection locked="0"/>
    </xf>
    <xf numFmtId="0" fontId="0" fillId="9" borderId="15" xfId="0" applyFont="1" applyFill="1" applyBorder="1" applyAlignment="1">
      <alignment wrapText="1"/>
    </xf>
    <xf numFmtId="0" fontId="7" fillId="9" borderId="15" xfId="0" applyFont="1" applyFill="1" applyBorder="1" applyAlignment="1" applyProtection="1">
      <alignment vertical="center" wrapText="1"/>
    </xf>
    <xf numFmtId="44" fontId="7" fillId="9" borderId="15" xfId="0" applyNumberFormat="1" applyFont="1" applyFill="1" applyBorder="1" applyAlignment="1" applyProtection="1">
      <alignment vertical="center" wrapText="1"/>
    </xf>
    <xf numFmtId="4" fontId="15" fillId="9" borderId="15" xfId="2" applyNumberFormat="1" applyFont="1" applyFill="1" applyBorder="1" applyAlignment="1" applyProtection="1">
      <alignment horizontal="center" vertical="center" wrapText="1"/>
    </xf>
    <xf numFmtId="0" fontId="2" fillId="2" borderId="0" xfId="0" applyFont="1" applyFill="1" applyBorder="1" applyAlignment="1" applyProtection="1">
      <alignment vertical="center" wrapText="1"/>
      <protection locked="0"/>
    </xf>
    <xf numFmtId="0" fontId="2" fillId="2" borderId="0" xfId="0" applyFont="1" applyFill="1" applyBorder="1" applyAlignment="1" applyProtection="1">
      <alignment horizontal="left" vertical="top" wrapText="1"/>
      <protection locked="0"/>
    </xf>
    <xf numFmtId="165" fontId="2" fillId="2" borderId="0" xfId="1" applyFont="1" applyFill="1" applyBorder="1" applyAlignment="1" applyProtection="1">
      <alignment horizontal="center" vertical="center" wrapText="1"/>
      <protection locked="0"/>
    </xf>
    <xf numFmtId="165" fontId="2" fillId="2" borderId="0" xfId="1" applyFont="1" applyFill="1" applyBorder="1" applyAlignment="1" applyProtection="1">
      <alignment horizontal="center" vertical="center" wrapText="1"/>
    </xf>
    <xf numFmtId="44" fontId="2" fillId="0" borderId="15" xfId="1" applyNumberFormat="1" applyFont="1" applyFill="1" applyBorder="1" applyAlignment="1" applyProtection="1">
      <alignment horizontal="center" vertical="center" wrapText="1"/>
      <protection locked="0"/>
    </xf>
    <xf numFmtId="0" fontId="22" fillId="2" borderId="0" xfId="0" applyFont="1" applyFill="1" applyBorder="1" applyAlignment="1">
      <alignment wrapText="1"/>
    </xf>
    <xf numFmtId="0" fontId="22" fillId="9" borderId="15" xfId="0" applyFont="1" applyFill="1" applyBorder="1" applyAlignment="1">
      <alignment wrapText="1"/>
    </xf>
    <xf numFmtId="49" fontId="7" fillId="2" borderId="15" xfId="1" applyNumberFormat="1" applyFont="1" applyFill="1" applyBorder="1" applyAlignment="1" applyProtection="1">
      <alignment horizontal="left" wrapText="1"/>
      <protection locked="0"/>
    </xf>
    <xf numFmtId="0" fontId="22" fillId="0" borderId="0" xfId="0" applyFont="1" applyBorder="1" applyAlignment="1">
      <alignment wrapText="1"/>
    </xf>
    <xf numFmtId="0" fontId="7" fillId="2" borderId="0" xfId="0" applyFont="1" applyFill="1" applyBorder="1" applyAlignment="1" applyProtection="1">
      <alignment vertical="center" wrapText="1"/>
    </xf>
    <xf numFmtId="165" fontId="2" fillId="2" borderId="0" xfId="1"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4" fillId="0" borderId="30" xfId="0" applyFont="1" applyFill="1" applyBorder="1" applyAlignment="1" applyProtection="1">
      <alignment horizontal="left" wrapText="1"/>
      <protection locked="0"/>
    </xf>
    <xf numFmtId="0" fontId="4" fillId="0" borderId="30" xfId="0" applyFont="1" applyFill="1" applyBorder="1" applyAlignment="1" applyProtection="1">
      <alignment horizontal="left"/>
      <protection locked="0"/>
    </xf>
    <xf numFmtId="0" fontId="7" fillId="9" borderId="15" xfId="0" applyFont="1" applyFill="1" applyBorder="1" applyAlignment="1" applyProtection="1">
      <alignment vertical="center" wrapText="1"/>
      <protection locked="0"/>
    </xf>
    <xf numFmtId="166" fontId="7" fillId="9" borderId="15" xfId="0" applyNumberFormat="1" applyFont="1" applyFill="1" applyBorder="1" applyAlignment="1" applyProtection="1">
      <alignment horizontal="right" vertical="center" wrapText="1"/>
      <protection locked="0"/>
    </xf>
    <xf numFmtId="0" fontId="7" fillId="2" borderId="15" xfId="0" applyFont="1" applyFill="1" applyBorder="1" applyAlignment="1" applyProtection="1">
      <alignment vertical="center" wrapText="1"/>
      <protection locked="0"/>
    </xf>
    <xf numFmtId="165" fontId="2" fillId="0" borderId="15" xfId="1" applyFont="1" applyBorder="1" applyAlignment="1" applyProtection="1">
      <alignment vertical="center" wrapText="1"/>
      <protection locked="0"/>
    </xf>
    <xf numFmtId="49" fontId="2" fillId="0" borderId="15" xfId="0" applyNumberFormat="1" applyFont="1" applyBorder="1" applyAlignment="1" applyProtection="1">
      <alignment horizontal="left" wrapText="1"/>
      <protection locked="0"/>
    </xf>
    <xf numFmtId="0" fontId="7" fillId="6" borderId="30" xfId="0" applyFont="1" applyFill="1" applyBorder="1" applyAlignment="1" applyProtection="1">
      <alignment vertical="center" wrapText="1"/>
    </xf>
    <xf numFmtId="0" fontId="2" fillId="2" borderId="15" xfId="0" applyFont="1" applyFill="1" applyBorder="1" applyAlignment="1" applyProtection="1">
      <alignment vertical="center" wrapText="1"/>
      <protection locked="0"/>
    </xf>
    <xf numFmtId="0" fontId="7" fillId="10" borderId="15" xfId="0" applyFont="1" applyFill="1" applyBorder="1" applyAlignment="1" applyProtection="1">
      <alignment vertical="center" wrapText="1"/>
      <protection locked="0"/>
    </xf>
    <xf numFmtId="44" fontId="7" fillId="6" borderId="15" xfId="0" applyNumberFormat="1" applyFont="1" applyFill="1" applyBorder="1" applyAlignment="1" applyProtection="1">
      <alignment vertical="center" wrapText="1"/>
      <protection locked="0"/>
    </xf>
    <xf numFmtId="0" fontId="26" fillId="5" borderId="43" xfId="0" applyFont="1" applyFill="1" applyBorder="1" applyAlignment="1" applyProtection="1">
      <alignment vertical="center" wrapText="1"/>
      <protection locked="0"/>
    </xf>
    <xf numFmtId="44" fontId="7" fillId="5" borderId="44" xfId="1" applyNumberFormat="1" applyFont="1" applyFill="1" applyBorder="1" applyAlignment="1" applyProtection="1">
      <alignment horizontal="center" vertical="center" wrapText="1"/>
    </xf>
    <xf numFmtId="0" fontId="26" fillId="5" borderId="45" xfId="0" applyFont="1" applyFill="1" applyBorder="1" applyAlignment="1" applyProtection="1">
      <alignment vertical="center" wrapText="1"/>
      <protection locked="0"/>
    </xf>
    <xf numFmtId="0" fontId="7" fillId="2" borderId="0" xfId="0" applyFont="1" applyFill="1" applyBorder="1" applyAlignment="1" applyProtection="1">
      <alignment horizontal="center" vertical="center" wrapText="1"/>
      <protection locked="0"/>
    </xf>
    <xf numFmtId="165" fontId="7" fillId="2" borderId="0" xfId="1" applyFont="1" applyFill="1" applyBorder="1" applyAlignment="1" applyProtection="1">
      <alignment vertical="center" wrapText="1"/>
      <protection locked="0"/>
    </xf>
    <xf numFmtId="0" fontId="2" fillId="2" borderId="0" xfId="0" applyFont="1" applyFill="1" applyBorder="1" applyAlignment="1" applyProtection="1">
      <alignment vertical="center" wrapText="1"/>
    </xf>
    <xf numFmtId="0" fontId="2" fillId="6" borderId="14" xfId="0" applyFont="1" applyFill="1" applyBorder="1" applyAlignment="1" applyProtection="1">
      <alignment vertical="center" wrapText="1"/>
    </xf>
    <xf numFmtId="0" fontId="7" fillId="6" borderId="19" xfId="0" applyFont="1" applyFill="1" applyBorder="1" applyAlignment="1" applyProtection="1">
      <alignment vertical="center" wrapText="1"/>
    </xf>
    <xf numFmtId="0" fontId="2" fillId="2" borderId="0" xfId="0" applyFont="1" applyFill="1" applyBorder="1" applyAlignment="1">
      <alignment vertical="center" wrapText="1"/>
    </xf>
    <xf numFmtId="0" fontId="7" fillId="2" borderId="0" xfId="0" applyFont="1" applyFill="1" applyBorder="1" applyAlignment="1">
      <alignment vertical="center" wrapText="1"/>
    </xf>
    <xf numFmtId="0" fontId="7" fillId="6" borderId="14" xfId="0" applyFont="1" applyFill="1" applyBorder="1" applyAlignment="1" applyProtection="1">
      <alignment horizontal="center" vertical="center" wrapText="1"/>
    </xf>
    <xf numFmtId="0" fontId="7" fillId="6" borderId="14" xfId="0" applyFont="1" applyFill="1" applyBorder="1" applyAlignment="1" applyProtection="1">
      <alignment vertical="center" wrapText="1"/>
    </xf>
    <xf numFmtId="0" fontId="7" fillId="6" borderId="25" xfId="0" applyFont="1" applyFill="1" applyBorder="1" applyAlignment="1" applyProtection="1">
      <alignment vertical="center" wrapText="1"/>
    </xf>
    <xf numFmtId="0" fontId="7" fillId="0" borderId="0" xfId="0" applyFont="1" applyFill="1" applyBorder="1" applyAlignment="1">
      <alignment vertical="center" wrapText="1"/>
    </xf>
    <xf numFmtId="44" fontId="7" fillId="2" borderId="0" xfId="0" applyNumberFormat="1" applyFont="1" applyFill="1" applyBorder="1" applyAlignment="1">
      <alignment vertical="center" wrapText="1"/>
    </xf>
    <xf numFmtId="44" fontId="7" fillId="0" borderId="0" xfId="0" applyNumberFormat="1" applyFont="1" applyFill="1" applyBorder="1" applyAlignment="1">
      <alignment vertical="center" wrapText="1"/>
    </xf>
    <xf numFmtId="0" fontId="22" fillId="6" borderId="9" xfId="0" applyFont="1" applyFill="1" applyBorder="1" applyAlignment="1" applyProtection="1">
      <alignment horizontal="left" vertical="center" wrapText="1"/>
    </xf>
    <xf numFmtId="0" fontId="22" fillId="6" borderId="51" xfId="0" applyFont="1" applyFill="1" applyBorder="1" applyAlignment="1" applyProtection="1">
      <alignment horizontal="left" vertical="center" wrapText="1"/>
    </xf>
    <xf numFmtId="44" fontId="7" fillId="6" borderId="11" xfId="0" applyNumberFormat="1" applyFont="1" applyFill="1" applyBorder="1" applyAlignment="1" applyProtection="1">
      <alignment vertical="center" wrapText="1"/>
    </xf>
    <xf numFmtId="0" fontId="22" fillId="6" borderId="14" xfId="0" applyFont="1" applyFill="1" applyBorder="1" applyAlignment="1" applyProtection="1">
      <alignment horizontal="left" vertical="center" wrapText="1"/>
    </xf>
    <xf numFmtId="0" fontId="22" fillId="6" borderId="17" xfId="0" applyFont="1" applyFill="1" applyBorder="1" applyAlignment="1" applyProtection="1">
      <alignment horizontal="left" vertical="center" wrapText="1"/>
    </xf>
    <xf numFmtId="9" fontId="7" fillId="6" borderId="16" xfId="3" applyFont="1" applyFill="1" applyBorder="1" applyAlignment="1" applyProtection="1">
      <alignment wrapText="1"/>
    </xf>
    <xf numFmtId="0" fontId="22" fillId="6" borderId="35" xfId="0" applyFont="1" applyFill="1" applyBorder="1" applyAlignment="1" applyProtection="1">
      <alignment horizontal="center" vertical="center" wrapText="1"/>
    </xf>
    <xf numFmtId="0" fontId="22" fillId="6" borderId="17" xfId="0" applyFont="1" applyFill="1" applyBorder="1" applyAlignment="1" applyProtection="1">
      <alignment vertical="center" wrapText="1"/>
    </xf>
    <xf numFmtId="0" fontId="22" fillId="6" borderId="46" xfId="0" applyFont="1" applyFill="1" applyBorder="1" applyAlignment="1" applyProtection="1">
      <alignment vertical="center" wrapText="1"/>
    </xf>
    <xf numFmtId="44" fontId="7" fillId="6" borderId="16" xfId="3" applyNumberFormat="1" applyFont="1" applyFill="1" applyBorder="1" applyAlignment="1" applyProtection="1">
      <alignment wrapText="1"/>
    </xf>
    <xf numFmtId="9" fontId="7" fillId="6" borderId="16" xfId="3" applyNumberFormat="1" applyFont="1" applyFill="1" applyBorder="1" applyAlignment="1" applyProtection="1">
      <alignment wrapText="1"/>
    </xf>
    <xf numFmtId="0" fontId="0" fillId="0" borderId="0" xfId="0" applyFont="1" applyFill="1" applyBorder="1" applyAlignment="1">
      <alignment wrapText="1"/>
    </xf>
    <xf numFmtId="0" fontId="0" fillId="0" borderId="0" xfId="0" applyFont="1" applyBorder="1" applyAlignment="1">
      <alignment horizontal="center" wrapText="1"/>
    </xf>
    <xf numFmtId="165" fontId="0" fillId="0" borderId="0" xfId="1" applyFont="1" applyBorder="1" applyAlignment="1">
      <alignment wrapText="1"/>
    </xf>
    <xf numFmtId="44" fontId="5" fillId="5" borderId="20" xfId="1" applyNumberFormat="1" applyFont="1" applyFill="1" applyBorder="1" applyAlignment="1">
      <alignment wrapText="1"/>
    </xf>
    <xf numFmtId="0" fontId="7" fillId="0" borderId="0" xfId="0" applyFont="1"/>
    <xf numFmtId="0" fontId="7" fillId="6" borderId="28" xfId="0" applyFont="1" applyFill="1" applyBorder="1" applyAlignment="1">
      <alignment horizontal="left" wrapText="1"/>
    </xf>
    <xf numFmtId="0" fontId="7" fillId="6" borderId="21" xfId="0" applyFont="1" applyFill="1" applyBorder="1" applyAlignment="1">
      <alignment horizontal="center" vertical="center" wrapText="1"/>
    </xf>
    <xf numFmtId="0" fontId="7" fillId="5" borderId="15" xfId="0" applyFont="1" applyFill="1" applyBorder="1" applyAlignment="1" applyProtection="1">
      <alignment horizontal="center" vertical="center" wrapText="1"/>
      <protection locked="0"/>
    </xf>
    <xf numFmtId="44" fontId="2" fillId="5" borderId="15" xfId="1" applyNumberFormat="1" applyFont="1" applyFill="1" applyBorder="1" applyAlignment="1" applyProtection="1">
      <alignment horizontal="center" vertical="center" wrapText="1"/>
    </xf>
    <xf numFmtId="44" fontId="7" fillId="5" borderId="15" xfId="0" applyNumberFormat="1" applyFont="1" applyFill="1" applyBorder="1" applyAlignment="1" applyProtection="1">
      <alignment vertical="center" wrapText="1"/>
    </xf>
    <xf numFmtId="44" fontId="7" fillId="5" borderId="15" xfId="1" applyNumberFormat="1" applyFont="1" applyFill="1" applyBorder="1" applyAlignment="1" applyProtection="1">
      <alignment horizontal="center" vertical="center" wrapText="1"/>
    </xf>
    <xf numFmtId="0" fontId="2" fillId="5" borderId="15" xfId="0" applyFont="1" applyFill="1" applyBorder="1" applyAlignment="1" applyProtection="1">
      <alignment horizontal="left" vertical="top" wrapText="1"/>
      <protection locked="0"/>
    </xf>
    <xf numFmtId="44" fontId="7" fillId="5" borderId="26" xfId="0" applyNumberFormat="1" applyFont="1" applyFill="1" applyBorder="1" applyAlignment="1" applyProtection="1">
      <alignment vertical="center" wrapText="1"/>
    </xf>
    <xf numFmtId="44" fontId="2" fillId="5" borderId="15" xfId="1" applyNumberFormat="1" applyFont="1" applyFill="1" applyBorder="1" applyAlignment="1" applyProtection="1">
      <alignment horizontal="center" vertical="center" wrapText="1"/>
      <protection locked="0"/>
    </xf>
    <xf numFmtId="44" fontId="7" fillId="5" borderId="26" xfId="1" applyNumberFormat="1" applyFont="1" applyFill="1" applyBorder="1" applyAlignment="1" applyProtection="1">
      <alignment horizontal="center" vertical="center" wrapText="1"/>
    </xf>
    <xf numFmtId="0" fontId="0" fillId="5" borderId="15" xfId="0" applyFill="1" applyBorder="1" applyAlignment="1" applyProtection="1">
      <alignment wrapText="1"/>
      <protection locked="0"/>
    </xf>
    <xf numFmtId="44" fontId="25" fillId="5" borderId="15" xfId="1" applyNumberFormat="1" applyFont="1" applyFill="1" applyBorder="1" applyAlignment="1" applyProtection="1">
      <alignment horizontal="center" vertical="center" wrapText="1"/>
    </xf>
    <xf numFmtId="44" fontId="4" fillId="5" borderId="15" xfId="1" applyNumberFormat="1" applyFont="1" applyFill="1" applyBorder="1" applyAlignment="1" applyProtection="1">
      <alignment horizontal="center" vertical="center" wrapText="1"/>
    </xf>
    <xf numFmtId="44" fontId="5" fillId="5" borderId="26" xfId="1" applyNumberFormat="1" applyFont="1" applyFill="1" applyBorder="1" applyAlignment="1" applyProtection="1">
      <alignment horizontal="center" vertical="center" wrapText="1"/>
    </xf>
    <xf numFmtId="166" fontId="7" fillId="5" borderId="15" xfId="0" applyNumberFormat="1" applyFont="1" applyFill="1" applyBorder="1" applyAlignment="1" applyProtection="1">
      <alignment horizontal="right" vertical="center" wrapText="1"/>
      <protection locked="0"/>
    </xf>
    <xf numFmtId="44" fontId="7" fillId="5" borderId="15" xfId="0" applyNumberFormat="1" applyFont="1" applyFill="1" applyBorder="1" applyAlignment="1" applyProtection="1">
      <alignment vertical="center" wrapText="1"/>
      <protection locked="0"/>
    </xf>
    <xf numFmtId="165" fontId="7" fillId="5" borderId="15" xfId="1" applyFont="1" applyFill="1" applyBorder="1" applyAlignment="1" applyProtection="1">
      <alignment horizontal="center" vertical="center" wrapText="1"/>
    </xf>
    <xf numFmtId="0" fontId="7" fillId="5" borderId="15" xfId="1" applyNumberFormat="1" applyFont="1" applyFill="1" applyBorder="1" applyAlignment="1" applyProtection="1">
      <alignment horizontal="center" vertical="center" wrapText="1"/>
    </xf>
    <xf numFmtId="44" fontId="2" fillId="5" borderId="15" xfId="0" applyNumberFormat="1" applyFont="1" applyFill="1" applyBorder="1" applyAlignment="1" applyProtection="1">
      <alignment vertical="center" wrapText="1"/>
    </xf>
    <xf numFmtId="44" fontId="7" fillId="5" borderId="20" xfId="0" applyNumberFormat="1" applyFont="1" applyFill="1" applyBorder="1" applyAlignment="1" applyProtection="1">
      <alignment vertical="center" wrapText="1"/>
    </xf>
    <xf numFmtId="0" fontId="7" fillId="5" borderId="15" xfId="0" applyFont="1" applyFill="1" applyBorder="1" applyAlignment="1" applyProtection="1">
      <alignment horizontal="center" vertical="center" wrapText="1"/>
    </xf>
    <xf numFmtId="44" fontId="7" fillId="5" borderId="26" xfId="1" applyNumberFormat="1" applyFont="1" applyFill="1" applyBorder="1" applyAlignment="1" applyProtection="1">
      <alignment vertical="center" wrapText="1"/>
    </xf>
    <xf numFmtId="44" fontId="7" fillId="5" borderId="20" xfId="1" applyNumberFormat="1" applyFont="1" applyFill="1" applyBorder="1" applyAlignment="1" applyProtection="1">
      <alignment vertical="center" wrapText="1"/>
    </xf>
    <xf numFmtId="44" fontId="7" fillId="5" borderId="52" xfId="0" applyNumberFormat="1" applyFont="1" applyFill="1" applyBorder="1" applyAlignment="1" applyProtection="1">
      <alignment vertical="center" wrapText="1"/>
    </xf>
    <xf numFmtId="0" fontId="7" fillId="17" borderId="15" xfId="0" applyFont="1" applyFill="1" applyBorder="1" applyAlignment="1" applyProtection="1">
      <alignment horizontal="center" vertical="center" wrapText="1"/>
    </xf>
    <xf numFmtId="44" fontId="2" fillId="17" borderId="15" xfId="1" applyNumberFormat="1" applyFont="1" applyFill="1" applyBorder="1" applyAlignment="1" applyProtection="1">
      <alignment horizontal="center" vertical="center" wrapText="1"/>
    </xf>
    <xf numFmtId="44" fontId="7" fillId="17" borderId="15" xfId="1" applyNumberFormat="1" applyFont="1" applyFill="1" applyBorder="1" applyAlignment="1" applyProtection="1">
      <alignment horizontal="center" vertical="center" wrapText="1"/>
    </xf>
    <xf numFmtId="44" fontId="7" fillId="17" borderId="26" xfId="0" applyNumberFormat="1" applyFont="1" applyFill="1" applyBorder="1" applyAlignment="1" applyProtection="1">
      <alignment vertical="center" wrapText="1"/>
    </xf>
    <xf numFmtId="44" fontId="7" fillId="17" borderId="15" xfId="0" applyNumberFormat="1" applyFont="1" applyFill="1" applyBorder="1" applyAlignment="1" applyProtection="1">
      <alignment vertical="center" wrapText="1"/>
    </xf>
    <xf numFmtId="44" fontId="7" fillId="17" borderId="26" xfId="1" applyNumberFormat="1" applyFont="1" applyFill="1" applyBorder="1" applyAlignment="1" applyProtection="1">
      <alignment horizontal="center" vertical="center" wrapText="1"/>
    </xf>
    <xf numFmtId="166" fontId="7" fillId="17" borderId="15" xfId="0" applyNumberFormat="1" applyFont="1" applyFill="1" applyBorder="1" applyAlignment="1" applyProtection="1">
      <alignment horizontal="right" vertical="center" wrapText="1"/>
      <protection locked="0"/>
    </xf>
    <xf numFmtId="44" fontId="7" fillId="17" borderId="15" xfId="0" applyNumberFormat="1" applyFont="1" applyFill="1" applyBorder="1" applyAlignment="1" applyProtection="1">
      <alignment vertical="center" wrapText="1"/>
      <protection locked="0"/>
    </xf>
    <xf numFmtId="44" fontId="7" fillId="17" borderId="44" xfId="1" applyNumberFormat="1" applyFont="1" applyFill="1" applyBorder="1" applyAlignment="1" applyProtection="1">
      <alignment horizontal="center" vertical="center" wrapText="1"/>
    </xf>
    <xf numFmtId="165" fontId="7" fillId="17" borderId="15" xfId="1" applyFont="1" applyFill="1" applyBorder="1" applyAlignment="1" applyProtection="1">
      <alignment horizontal="center" vertical="center" wrapText="1"/>
    </xf>
    <xf numFmtId="0" fontId="7" fillId="5" borderId="10" xfId="0" applyFont="1" applyFill="1" applyBorder="1" applyAlignment="1">
      <alignment horizontal="center" wrapText="1"/>
    </xf>
    <xf numFmtId="44" fontId="5" fillId="17" borderId="19" xfId="1" applyNumberFormat="1" applyFont="1" applyFill="1" applyBorder="1" applyAlignment="1">
      <alignment wrapText="1"/>
    </xf>
    <xf numFmtId="44" fontId="5" fillId="17" borderId="21" xfId="1" applyNumberFormat="1" applyFont="1" applyFill="1" applyBorder="1" applyAlignment="1">
      <alignment wrapText="1"/>
    </xf>
    <xf numFmtId="44" fontId="7" fillId="5" borderId="15" xfId="0" applyNumberFormat="1" applyFont="1" applyFill="1" applyBorder="1" applyAlignment="1">
      <alignment horizontal="center" wrapText="1"/>
    </xf>
    <xf numFmtId="44" fontId="4" fillId="5" borderId="14" xfId="0" applyNumberFormat="1" applyFont="1" applyFill="1" applyBorder="1" applyAlignment="1" applyProtection="1">
      <alignment wrapText="1"/>
      <protection locked="0"/>
    </xf>
    <xf numFmtId="43" fontId="4" fillId="5" borderId="15" xfId="0" applyNumberFormat="1" applyFont="1" applyFill="1" applyBorder="1" applyAlignment="1" applyProtection="1">
      <alignment wrapText="1"/>
      <protection locked="0"/>
    </xf>
    <xf numFmtId="44" fontId="2" fillId="5" borderId="15" xfId="0" applyNumberFormat="1" applyFont="1" applyFill="1" applyBorder="1" applyAlignment="1" applyProtection="1">
      <alignment wrapText="1"/>
      <protection locked="0"/>
    </xf>
    <xf numFmtId="44" fontId="4" fillId="5" borderId="15" xfId="0" applyNumberFormat="1" applyFont="1" applyFill="1" applyBorder="1" applyAlignment="1" applyProtection="1">
      <alignment wrapText="1"/>
      <protection locked="0"/>
    </xf>
    <xf numFmtId="44" fontId="5" fillId="5" borderId="19" xfId="1" applyNumberFormat="1" applyFont="1" applyFill="1" applyBorder="1" applyAlignment="1">
      <alignment wrapText="1"/>
    </xf>
    <xf numFmtId="43" fontId="5" fillId="5" borderId="20" xfId="1" applyNumberFormat="1" applyFont="1" applyFill="1" applyBorder="1" applyAlignment="1">
      <alignment wrapText="1"/>
    </xf>
    <xf numFmtId="44" fontId="5" fillId="5" borderId="21" xfId="1" applyNumberFormat="1" applyFont="1" applyFill="1" applyBorder="1" applyAlignment="1">
      <alignment wrapText="1"/>
    </xf>
    <xf numFmtId="44" fontId="7" fillId="5" borderId="20" xfId="1" applyNumberFormat="1" applyFont="1" applyFill="1" applyBorder="1" applyAlignment="1">
      <alignment wrapText="1"/>
    </xf>
    <xf numFmtId="0" fontId="7" fillId="5" borderId="15" xfId="1" applyNumberFormat="1" applyFont="1" applyFill="1" applyBorder="1" applyAlignment="1">
      <alignment horizontal="center" vertical="center" wrapText="1"/>
    </xf>
    <xf numFmtId="0" fontId="5" fillId="5" borderId="15" xfId="0" applyFont="1" applyFill="1" applyBorder="1" applyAlignment="1">
      <alignment horizontal="center" wrapText="1"/>
    </xf>
    <xf numFmtId="0" fontId="7" fillId="5" borderId="15" xfId="0" applyFont="1" applyFill="1" applyBorder="1" applyAlignment="1">
      <alignment horizontal="left" wrapText="1"/>
    </xf>
    <xf numFmtId="44" fontId="7" fillId="5" borderId="16" xfId="0" applyNumberFormat="1" applyFont="1" applyFill="1" applyBorder="1" applyAlignment="1">
      <alignment wrapText="1"/>
    </xf>
    <xf numFmtId="44" fontId="5" fillId="17" borderId="20" xfId="1" applyNumberFormat="1" applyFont="1" applyFill="1" applyBorder="1" applyAlignment="1">
      <alignment wrapText="1"/>
    </xf>
    <xf numFmtId="44" fontId="7" fillId="17" borderId="14" xfId="0" applyNumberFormat="1" applyFont="1" applyFill="1" applyBorder="1" applyAlignment="1">
      <alignment wrapText="1"/>
    </xf>
    <xf numFmtId="44" fontId="7" fillId="17" borderId="15" xfId="0" applyNumberFormat="1" applyFont="1" applyFill="1" applyBorder="1" applyAlignment="1">
      <alignment wrapText="1"/>
    </xf>
    <xf numFmtId="44" fontId="7" fillId="17" borderId="16" xfId="0" applyNumberFormat="1" applyFont="1" applyFill="1" applyBorder="1" applyAlignment="1">
      <alignment wrapText="1"/>
    </xf>
    <xf numFmtId="43" fontId="5" fillId="7" borderId="23" xfId="0" applyNumberFormat="1" applyFont="1" applyFill="1" applyBorder="1" applyAlignment="1">
      <alignment horizontal="center" wrapText="1"/>
    </xf>
    <xf numFmtId="43" fontId="4" fillId="0" borderId="23" xfId="0" applyNumberFormat="1" applyFont="1" applyFill="1" applyBorder="1" applyAlignment="1" applyProtection="1">
      <alignment wrapText="1"/>
      <protection locked="0"/>
    </xf>
    <xf numFmtId="43" fontId="5" fillId="7" borderId="34" xfId="1" applyNumberFormat="1" applyFont="1" applyFill="1" applyBorder="1" applyAlignment="1">
      <alignment wrapText="1"/>
    </xf>
    <xf numFmtId="44" fontId="7" fillId="5" borderId="10" xfId="0" applyNumberFormat="1" applyFont="1" applyFill="1" applyBorder="1" applyAlignment="1">
      <alignment horizontal="center" wrapText="1"/>
    </xf>
    <xf numFmtId="44" fontId="7" fillId="5" borderId="11" xfId="0" applyNumberFormat="1" applyFont="1" applyFill="1" applyBorder="1" applyAlignment="1">
      <alignment wrapText="1"/>
    </xf>
    <xf numFmtId="44" fontId="7" fillId="0" borderId="16" xfId="0" applyNumberFormat="1" applyFont="1" applyFill="1" applyBorder="1" applyAlignment="1">
      <alignment wrapText="1"/>
    </xf>
    <xf numFmtId="44" fontId="5" fillId="5" borderId="9" xfId="0" applyNumberFormat="1" applyFont="1" applyFill="1" applyBorder="1" applyAlignment="1">
      <alignment horizontal="center" wrapText="1"/>
    </xf>
    <xf numFmtId="44" fontId="5" fillId="5" borderId="14" xfId="0" applyNumberFormat="1" applyFont="1" applyFill="1" applyBorder="1" applyAlignment="1" applyProtection="1">
      <alignment wrapText="1"/>
      <protection locked="0"/>
    </xf>
    <xf numFmtId="0" fontId="0" fillId="0" borderId="56" xfId="0" applyBorder="1"/>
    <xf numFmtId="44" fontId="7" fillId="6" borderId="10" xfId="0" applyNumberFormat="1" applyFont="1" applyFill="1" applyBorder="1" applyAlignment="1">
      <alignment wrapText="1"/>
    </xf>
    <xf numFmtId="44" fontId="5" fillId="7" borderId="10" xfId="0" applyNumberFormat="1" applyFont="1" applyFill="1" applyBorder="1" applyAlignment="1">
      <alignment horizontal="center" wrapText="1"/>
    </xf>
    <xf numFmtId="43" fontId="5" fillId="7" borderId="10" xfId="0" applyNumberFormat="1" applyFont="1" applyFill="1" applyBorder="1" applyAlignment="1">
      <alignment horizontal="center" wrapText="1"/>
    </xf>
    <xf numFmtId="44" fontId="5" fillId="5" borderId="10" xfId="0" applyNumberFormat="1" applyFont="1" applyFill="1" applyBorder="1" applyAlignment="1">
      <alignment horizontal="center" wrapText="1"/>
    </xf>
    <xf numFmtId="44" fontId="5" fillId="5" borderId="15" xfId="0" applyNumberFormat="1" applyFont="1" applyFill="1" applyBorder="1" applyAlignment="1" applyProtection="1">
      <alignment wrapText="1"/>
      <protection locked="0"/>
    </xf>
    <xf numFmtId="44" fontId="7" fillId="0" borderId="15" xfId="0" applyNumberFormat="1" applyFont="1" applyFill="1" applyBorder="1" applyAlignment="1">
      <alignment wrapText="1"/>
    </xf>
    <xf numFmtId="44" fontId="7" fillId="10" borderId="14" xfId="1" applyNumberFormat="1" applyFont="1" applyFill="1" applyBorder="1" applyAlignment="1">
      <alignment wrapText="1"/>
    </xf>
    <xf numFmtId="44" fontId="5" fillId="7" borderId="15" xfId="1" applyNumberFormat="1" applyFont="1" applyFill="1" applyBorder="1" applyAlignment="1">
      <alignment wrapText="1"/>
    </xf>
    <xf numFmtId="43" fontId="5" fillId="7" borderId="15" xfId="1" applyNumberFormat="1" applyFont="1" applyFill="1" applyBorder="1" applyAlignment="1">
      <alignment wrapText="1"/>
    </xf>
    <xf numFmtId="44" fontId="5" fillId="5" borderId="15" xfId="1" applyNumberFormat="1" applyFont="1" applyFill="1" applyBorder="1" applyAlignment="1">
      <alignment wrapText="1"/>
    </xf>
    <xf numFmtId="44" fontId="7" fillId="5" borderId="15" xfId="1" applyNumberFormat="1" applyFont="1" applyFill="1" applyBorder="1" applyAlignment="1">
      <alignment wrapText="1"/>
    </xf>
    <xf numFmtId="44" fontId="7" fillId="17" borderId="10" xfId="0" applyNumberFormat="1" applyFont="1" applyFill="1" applyBorder="1" applyAlignment="1">
      <alignment wrapText="1"/>
    </xf>
    <xf numFmtId="44" fontId="5" fillId="17" borderId="15" xfId="1" applyNumberFormat="1" applyFont="1" applyFill="1" applyBorder="1" applyAlignment="1">
      <alignment wrapText="1"/>
    </xf>
    <xf numFmtId="44" fontId="7" fillId="5" borderId="12" xfId="0" applyNumberFormat="1" applyFont="1" applyFill="1" applyBorder="1" applyAlignment="1">
      <alignment wrapText="1"/>
    </xf>
    <xf numFmtId="44" fontId="7" fillId="5" borderId="23" xfId="0" applyNumberFormat="1" applyFont="1" applyFill="1" applyBorder="1" applyAlignment="1">
      <alignment wrapText="1"/>
    </xf>
    <xf numFmtId="44" fontId="5" fillId="5" borderId="23" xfId="1" applyNumberFormat="1" applyFont="1" applyFill="1" applyBorder="1" applyAlignment="1">
      <alignment wrapText="1"/>
    </xf>
    <xf numFmtId="0" fontId="0" fillId="0" borderId="60" xfId="0" applyBorder="1"/>
    <xf numFmtId="0" fontId="0" fillId="0" borderId="46" xfId="0" applyBorder="1"/>
    <xf numFmtId="44" fontId="7" fillId="17" borderId="9" xfId="0" applyNumberFormat="1" applyFont="1" applyFill="1" applyBorder="1" applyAlignment="1">
      <alignment wrapText="1"/>
    </xf>
    <xf numFmtId="44" fontId="7" fillId="17" borderId="11" xfId="0" applyNumberFormat="1" applyFont="1" applyFill="1" applyBorder="1" applyAlignment="1">
      <alignment wrapText="1"/>
    </xf>
    <xf numFmtId="0" fontId="7" fillId="6" borderId="7" xfId="0" applyFont="1" applyFill="1" applyBorder="1" applyAlignment="1">
      <alignment horizontal="left" wrapText="1"/>
    </xf>
    <xf numFmtId="0" fontId="0" fillId="0" borderId="55" xfId="0" applyBorder="1"/>
    <xf numFmtId="0" fontId="7" fillId="6" borderId="3" xfId="0" applyFont="1" applyFill="1" applyBorder="1" applyAlignment="1">
      <alignment horizontal="left" wrapText="1"/>
    </xf>
    <xf numFmtId="43" fontId="5" fillId="7" borderId="32" xfId="1" applyNumberFormat="1" applyFont="1" applyFill="1" applyBorder="1" applyAlignment="1">
      <alignment wrapText="1"/>
    </xf>
    <xf numFmtId="44" fontId="7" fillId="9" borderId="49" xfId="0" applyNumberFormat="1" applyFont="1" applyFill="1" applyBorder="1" applyAlignment="1" applyProtection="1">
      <alignment vertical="center" wrapText="1"/>
    </xf>
    <xf numFmtId="44" fontId="5" fillId="7" borderId="14" xfId="1" applyNumberFormat="1" applyFont="1" applyFill="1" applyBorder="1" applyAlignment="1">
      <alignment wrapText="1"/>
    </xf>
    <xf numFmtId="44" fontId="7" fillId="8" borderId="15" xfId="1" applyNumberFormat="1" applyFont="1" applyFill="1" applyBorder="1" applyAlignment="1">
      <alignment wrapText="1"/>
    </xf>
    <xf numFmtId="44" fontId="5" fillId="5" borderId="16" xfId="1" applyNumberFormat="1" applyFont="1" applyFill="1" applyBorder="1" applyAlignment="1">
      <alignment wrapText="1"/>
    </xf>
    <xf numFmtId="44" fontId="5" fillId="5" borderId="14" xfId="1" applyNumberFormat="1" applyFont="1" applyFill="1" applyBorder="1" applyAlignment="1">
      <alignment wrapText="1"/>
    </xf>
    <xf numFmtId="44" fontId="7" fillId="5" borderId="19" xfId="0" applyNumberFormat="1" applyFont="1" applyFill="1" applyBorder="1" applyAlignment="1" applyProtection="1">
      <alignment vertical="center" wrapText="1"/>
    </xf>
    <xf numFmtId="44" fontId="7" fillId="5" borderId="21" xfId="0" applyNumberFormat="1" applyFont="1" applyFill="1" applyBorder="1" applyAlignment="1" applyProtection="1">
      <alignment vertical="center" wrapText="1"/>
    </xf>
    <xf numFmtId="0" fontId="0" fillId="0" borderId="59" xfId="0" applyBorder="1"/>
    <xf numFmtId="4" fontId="15" fillId="9" borderId="8" xfId="2" applyNumberFormat="1" applyFont="1" applyFill="1" applyBorder="1" applyAlignment="1" applyProtection="1">
      <alignment horizontal="center" vertical="center" wrapText="1"/>
    </xf>
    <xf numFmtId="44" fontId="5" fillId="17" borderId="14" xfId="1" applyNumberFormat="1" applyFont="1" applyFill="1" applyBorder="1" applyAlignment="1">
      <alignment wrapText="1"/>
    </xf>
    <xf numFmtId="44" fontId="5" fillId="17" borderId="16" xfId="1" applyNumberFormat="1" applyFont="1" applyFill="1" applyBorder="1" applyAlignment="1">
      <alignment wrapText="1"/>
    </xf>
    <xf numFmtId="44" fontId="7" fillId="17" borderId="19" xfId="0" applyNumberFormat="1" applyFont="1" applyFill="1" applyBorder="1" applyAlignment="1" applyProtection="1">
      <alignment vertical="center" wrapText="1"/>
    </xf>
    <xf numFmtId="44" fontId="7" fillId="17" borderId="20" xfId="0" applyNumberFormat="1" applyFont="1" applyFill="1" applyBorder="1" applyAlignment="1" applyProtection="1">
      <alignment vertical="center" wrapText="1"/>
    </xf>
    <xf numFmtId="44" fontId="7" fillId="17" borderId="21" xfId="0" applyNumberFormat="1" applyFont="1" applyFill="1" applyBorder="1" applyAlignment="1" applyProtection="1">
      <alignment vertical="center" wrapText="1"/>
    </xf>
    <xf numFmtId="44" fontId="7" fillId="0" borderId="14" xfId="0" applyNumberFormat="1" applyFont="1" applyFill="1" applyBorder="1" applyAlignment="1">
      <alignment wrapText="1"/>
    </xf>
    <xf numFmtId="165" fontId="7" fillId="5" borderId="15" xfId="1" applyFont="1" applyFill="1" applyBorder="1" applyAlignment="1">
      <alignment horizontal="center" vertical="center" wrapText="1"/>
    </xf>
    <xf numFmtId="44" fontId="5" fillId="0" borderId="15" xfId="0" applyNumberFormat="1" applyFont="1" applyFill="1" applyBorder="1" applyAlignment="1">
      <alignment horizontal="center" wrapText="1"/>
    </xf>
    <xf numFmtId="44" fontId="7" fillId="2" borderId="15" xfId="0" applyNumberFormat="1" applyFont="1" applyFill="1" applyBorder="1" applyAlignment="1">
      <alignment horizontal="center" wrapText="1"/>
    </xf>
    <xf numFmtId="44" fontId="7" fillId="11" borderId="16" xfId="0" applyNumberFormat="1" applyFont="1" applyFill="1" applyBorder="1" applyAlignment="1">
      <alignment wrapText="1"/>
    </xf>
    <xf numFmtId="44" fontId="18" fillId="0" borderId="14" xfId="0" applyNumberFormat="1" applyFont="1" applyFill="1" applyBorder="1" applyAlignment="1">
      <alignment wrapText="1"/>
    </xf>
    <xf numFmtId="43" fontId="18" fillId="0" borderId="15" xfId="0" applyNumberFormat="1" applyFont="1" applyFill="1" applyBorder="1" applyAlignment="1">
      <alignment wrapText="1"/>
    </xf>
    <xf numFmtId="44" fontId="19" fillId="0" borderId="15" xfId="0" applyNumberFormat="1" applyFont="1" applyFill="1" applyBorder="1" applyAlignment="1">
      <alignment wrapText="1"/>
    </xf>
    <xf numFmtId="44" fontId="18" fillId="0" borderId="15" xfId="0" applyNumberFormat="1" applyFont="1" applyBorder="1" applyAlignment="1">
      <alignment wrapText="1"/>
    </xf>
    <xf numFmtId="44" fontId="17" fillId="0" borderId="15" xfId="0" applyNumberFormat="1" applyFont="1" applyFill="1" applyBorder="1" applyAlignment="1">
      <alignment wrapText="1"/>
    </xf>
    <xf numFmtId="44" fontId="20" fillId="0" borderId="16" xfId="0" applyNumberFormat="1" applyFont="1" applyFill="1" applyBorder="1" applyAlignment="1">
      <alignment wrapText="1"/>
    </xf>
    <xf numFmtId="44" fontId="5" fillId="5" borderId="19" xfId="0" applyNumberFormat="1" applyFont="1" applyFill="1" applyBorder="1" applyAlignment="1">
      <alignment wrapText="1"/>
    </xf>
    <xf numFmtId="43" fontId="5" fillId="5" borderId="20" xfId="0" applyNumberFormat="1" applyFont="1" applyFill="1" applyBorder="1" applyAlignment="1">
      <alignment wrapText="1"/>
    </xf>
    <xf numFmtId="44" fontId="5" fillId="5" borderId="20" xfId="0" applyNumberFormat="1" applyFont="1" applyFill="1" applyBorder="1" applyAlignment="1">
      <alignment wrapText="1"/>
    </xf>
    <xf numFmtId="44" fontId="7" fillId="5" borderId="20" xfId="0" applyNumberFormat="1" applyFont="1" applyFill="1" applyBorder="1" applyAlignment="1">
      <alignment wrapText="1"/>
    </xf>
    <xf numFmtId="44" fontId="7" fillId="5" borderId="21" xfId="0" applyNumberFormat="1" applyFont="1" applyFill="1" applyBorder="1" applyAlignment="1">
      <alignment wrapText="1"/>
    </xf>
    <xf numFmtId="44" fontId="7" fillId="11" borderId="15" xfId="0" applyNumberFormat="1" applyFont="1" applyFill="1" applyBorder="1" applyAlignment="1">
      <alignment wrapText="1"/>
    </xf>
    <xf numFmtId="44" fontId="20" fillId="0" borderId="15" xfId="0" applyNumberFormat="1" applyFont="1" applyFill="1" applyBorder="1" applyAlignment="1">
      <alignment wrapText="1"/>
    </xf>
    <xf numFmtId="167" fontId="27" fillId="0" borderId="22" xfId="2" applyNumberFormat="1" applyFont="1" applyBorder="1" applyAlignment="1">
      <alignment horizontal="right" vertical="center"/>
    </xf>
    <xf numFmtId="164" fontId="27" fillId="0" borderId="14" xfId="4" applyFont="1" applyBorder="1" applyAlignment="1">
      <alignment horizontal="right" vertical="center"/>
    </xf>
    <xf numFmtId="164" fontId="27" fillId="13" borderId="16" xfId="4" applyFont="1" applyFill="1" applyBorder="1" applyAlignment="1">
      <alignment horizontal="right" vertical="center"/>
    </xf>
    <xf numFmtId="164" fontId="27" fillId="13" borderId="23" xfId="4" applyFont="1" applyFill="1" applyBorder="1" applyAlignment="1">
      <alignment horizontal="right" vertical="center"/>
    </xf>
    <xf numFmtId="164" fontId="28" fillId="13" borderId="16" xfId="4" applyFont="1" applyFill="1" applyBorder="1" applyAlignment="1">
      <alignment horizontal="right" vertical="center"/>
    </xf>
    <xf numFmtId="164" fontId="28" fillId="0" borderId="22" xfId="4" applyFont="1" applyBorder="1" applyAlignment="1">
      <alignment horizontal="right" vertical="center"/>
    </xf>
    <xf numFmtId="164" fontId="28" fillId="13" borderId="23" xfId="4" applyFont="1" applyFill="1" applyBorder="1" applyAlignment="1">
      <alignment horizontal="right" vertical="center"/>
    </xf>
    <xf numFmtId="164" fontId="28" fillId="0" borderId="14" xfId="4" applyFont="1" applyBorder="1" applyAlignment="1">
      <alignment horizontal="right" vertical="center"/>
    </xf>
    <xf numFmtId="0" fontId="2" fillId="0" borderId="0" xfId="0" applyFont="1"/>
    <xf numFmtId="0" fontId="16" fillId="15" borderId="14" xfId="0" applyFont="1" applyFill="1" applyBorder="1" applyAlignment="1">
      <alignment horizontal="center" vertical="center" wrapText="1"/>
    </xf>
    <xf numFmtId="0" fontId="16" fillId="13" borderId="16" xfId="0" applyFont="1" applyFill="1" applyBorder="1" applyAlignment="1">
      <alignment horizontal="center" vertical="center" wrapText="1"/>
    </xf>
    <xf numFmtId="0" fontId="16" fillId="15" borderId="22" xfId="0" applyFont="1" applyFill="1" applyBorder="1" applyAlignment="1">
      <alignment horizontal="center" vertical="center" wrapText="1"/>
    </xf>
    <xf numFmtId="0" fontId="16" fillId="13" borderId="23" xfId="0" applyFont="1" applyFill="1" applyBorder="1" applyAlignment="1">
      <alignment horizontal="center" vertical="center" wrapText="1"/>
    </xf>
    <xf numFmtId="0" fontId="16" fillId="14" borderId="14" xfId="0" applyFont="1" applyFill="1" applyBorder="1" applyAlignment="1">
      <alignment horizontal="center" vertical="center" wrapText="1"/>
    </xf>
    <xf numFmtId="0" fontId="27" fillId="0" borderId="35" xfId="0" applyFont="1" applyBorder="1" applyAlignment="1">
      <alignment vertical="center" wrapText="1"/>
    </xf>
    <xf numFmtId="167" fontId="2" fillId="0" borderId="0" xfId="0" applyNumberFormat="1" applyFont="1"/>
    <xf numFmtId="0" fontId="29" fillId="16" borderId="35" xfId="0" applyFont="1" applyFill="1" applyBorder="1" applyAlignment="1">
      <alignment vertical="center" wrapText="1"/>
    </xf>
    <xf numFmtId="164" fontId="16" fillId="16" borderId="14" xfId="4" applyFont="1" applyFill="1" applyBorder="1" applyAlignment="1">
      <alignment horizontal="center" vertical="center" wrapText="1"/>
    </xf>
    <xf numFmtId="164" fontId="16" fillId="13" borderId="23" xfId="4" applyFont="1" applyFill="1" applyBorder="1" applyAlignment="1">
      <alignment horizontal="center" vertical="center" wrapText="1"/>
    </xf>
    <xf numFmtId="164" fontId="16" fillId="13" borderId="16" xfId="4" applyFont="1" applyFill="1" applyBorder="1" applyAlignment="1">
      <alignment horizontal="right" vertical="center" wrapText="1"/>
    </xf>
    <xf numFmtId="164" fontId="30" fillId="0" borderId="14" xfId="4" applyFont="1" applyBorder="1" applyAlignment="1">
      <alignment horizontal="center" vertical="center" wrapText="1"/>
    </xf>
    <xf numFmtId="164" fontId="30" fillId="13" borderId="16" xfId="4" applyFont="1" applyFill="1" applyBorder="1" applyAlignment="1">
      <alignment horizontal="right" vertical="center" wrapText="1"/>
    </xf>
    <xf numFmtId="0" fontId="29" fillId="16" borderId="37" xfId="0" applyFont="1" applyFill="1" applyBorder="1" applyAlignment="1">
      <alignment vertical="center" wrapText="1"/>
    </xf>
    <xf numFmtId="164" fontId="16" fillId="16" borderId="19" xfId="4" applyFont="1" applyFill="1" applyBorder="1" applyAlignment="1">
      <alignment horizontal="center" vertical="center" wrapText="1"/>
    </xf>
    <xf numFmtId="164" fontId="16" fillId="13" borderId="34" xfId="4" applyFont="1" applyFill="1" applyBorder="1" applyAlignment="1">
      <alignment horizontal="center" vertical="center" wrapText="1"/>
    </xf>
    <xf numFmtId="164" fontId="2" fillId="0" borderId="0" xfId="4" applyFont="1"/>
    <xf numFmtId="0" fontId="11" fillId="0" borderId="0" xfId="0" applyFont="1"/>
    <xf numFmtId="44" fontId="4" fillId="17" borderId="15" xfId="0" applyNumberFormat="1" applyFont="1" applyFill="1" applyBorder="1" applyAlignment="1" applyProtection="1">
      <alignment wrapText="1"/>
      <protection locked="0"/>
    </xf>
    <xf numFmtId="43" fontId="0" fillId="2" borderId="0" xfId="0" applyNumberFormat="1" applyFont="1" applyFill="1" applyBorder="1" applyAlignment="1">
      <alignment wrapText="1"/>
    </xf>
    <xf numFmtId="168" fontId="0" fillId="0" borderId="0" xfId="0" applyNumberFormat="1"/>
    <xf numFmtId="44" fontId="2" fillId="18" borderId="15" xfId="1" applyNumberFormat="1" applyFont="1" applyFill="1" applyBorder="1" applyAlignment="1" applyProtection="1">
      <alignment horizontal="center" vertical="center" wrapText="1"/>
    </xf>
    <xf numFmtId="165" fontId="7" fillId="18" borderId="15" xfId="1" applyFont="1" applyFill="1" applyBorder="1" applyAlignment="1" applyProtection="1">
      <alignment horizontal="center" vertical="center" wrapText="1"/>
    </xf>
    <xf numFmtId="44" fontId="7" fillId="18" borderId="21" xfId="0" applyNumberFormat="1" applyFont="1" applyFill="1" applyBorder="1" applyAlignment="1">
      <alignment wrapText="1"/>
    </xf>
    <xf numFmtId="164" fontId="16" fillId="18" borderId="21" xfId="4" applyFont="1" applyFill="1" applyBorder="1" applyAlignment="1">
      <alignment horizontal="center" vertical="center" wrapText="1"/>
    </xf>
    <xf numFmtId="164" fontId="16" fillId="18" borderId="34" xfId="4" applyFont="1" applyFill="1" applyBorder="1" applyAlignment="1">
      <alignment horizontal="center" vertical="center" wrapText="1"/>
    </xf>
    <xf numFmtId="44" fontId="2" fillId="9" borderId="15" xfId="1" applyNumberFormat="1" applyFont="1" applyFill="1" applyBorder="1" applyAlignment="1" applyProtection="1">
      <alignment horizontal="center" vertical="center" wrapText="1"/>
    </xf>
    <xf numFmtId="44" fontId="7" fillId="9" borderId="15" xfId="0" applyNumberFormat="1" applyFont="1" applyFill="1" applyBorder="1" applyAlignment="1" applyProtection="1">
      <alignment vertical="center" wrapText="1"/>
      <protection locked="0"/>
    </xf>
    <xf numFmtId="44" fontId="7" fillId="9" borderId="44" xfId="1" applyNumberFormat="1" applyFont="1" applyFill="1" applyBorder="1" applyAlignment="1" applyProtection="1">
      <alignment horizontal="center" vertical="center" wrapText="1"/>
    </xf>
    <xf numFmtId="165" fontId="7" fillId="9" borderId="15" xfId="1" applyFont="1" applyFill="1" applyBorder="1" applyAlignment="1" applyProtection="1">
      <alignment horizontal="center" vertical="center" wrapText="1"/>
    </xf>
    <xf numFmtId="0" fontId="0" fillId="0" borderId="18" xfId="0" applyBorder="1" applyAlignment="1">
      <alignment wrapText="1"/>
    </xf>
    <xf numFmtId="0" fontId="2" fillId="9" borderId="15" xfId="0" applyFont="1" applyFill="1" applyBorder="1" applyAlignment="1" applyProtection="1">
      <alignment vertical="center" wrapText="1"/>
    </xf>
    <xf numFmtId="0" fontId="7" fillId="0" borderId="15" xfId="0" applyFont="1" applyBorder="1" applyAlignment="1" applyProtection="1">
      <alignment vertical="center" wrapText="1"/>
      <protection locked="0"/>
    </xf>
    <xf numFmtId="0" fontId="7" fillId="0" borderId="26" xfId="0" applyFont="1" applyBorder="1" applyAlignment="1" applyProtection="1">
      <alignment vertical="center" wrapText="1"/>
      <protection locked="0"/>
    </xf>
    <xf numFmtId="9"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0" fillId="9" borderId="0" xfId="0" applyFont="1" applyFill="1" applyBorder="1" applyAlignment="1">
      <alignment wrapText="1"/>
    </xf>
    <xf numFmtId="0" fontId="0" fillId="9" borderId="0" xfId="0" applyFont="1" applyFill="1" applyBorder="1" applyAlignment="1">
      <alignment horizontal="center" wrapText="1"/>
    </xf>
    <xf numFmtId="0" fontId="7" fillId="9" borderId="15" xfId="0" applyFont="1" applyFill="1" applyBorder="1" applyAlignment="1" applyProtection="1">
      <alignment horizontal="center" vertical="center" wrapText="1"/>
    </xf>
    <xf numFmtId="44" fontId="7" fillId="9" borderId="15" xfId="1" applyNumberFormat="1" applyFont="1" applyFill="1" applyBorder="1" applyAlignment="1" applyProtection="1">
      <alignment horizontal="center" vertical="center" wrapText="1"/>
    </xf>
    <xf numFmtId="44" fontId="7" fillId="9" borderId="26" xfId="0" applyNumberFormat="1" applyFont="1" applyFill="1" applyBorder="1" applyAlignment="1" applyProtection="1">
      <alignment vertical="center" wrapText="1"/>
    </xf>
    <xf numFmtId="165" fontId="2" fillId="9" borderId="0" xfId="1" applyFont="1" applyFill="1" applyBorder="1" applyAlignment="1" applyProtection="1">
      <alignment horizontal="center" vertical="center" wrapText="1"/>
      <protection locked="0"/>
    </xf>
    <xf numFmtId="44" fontId="7" fillId="9" borderId="26" xfId="1" applyNumberFormat="1" applyFont="1" applyFill="1" applyBorder="1" applyAlignment="1" applyProtection="1">
      <alignment horizontal="center" vertical="center" wrapText="1"/>
    </xf>
    <xf numFmtId="165" fontId="2" fillId="9" borderId="0" xfId="1" applyFont="1" applyFill="1" applyBorder="1" applyAlignment="1" applyProtection="1">
      <alignment vertical="center" wrapText="1"/>
      <protection locked="0"/>
    </xf>
    <xf numFmtId="9" fontId="7" fillId="9" borderId="16" xfId="3" applyFont="1" applyFill="1" applyBorder="1" applyAlignment="1" applyProtection="1">
      <alignment vertical="center" wrapText="1"/>
      <protection locked="0"/>
    </xf>
    <xf numFmtId="9" fontId="7" fillId="9" borderId="27" xfId="3" applyFont="1" applyFill="1" applyBorder="1" applyAlignment="1" applyProtection="1">
      <alignment vertical="center" wrapText="1"/>
      <protection locked="0"/>
    </xf>
    <xf numFmtId="9" fontId="7" fillId="9" borderId="21" xfId="3" applyFont="1" applyFill="1" applyBorder="1" applyAlignment="1" applyProtection="1">
      <alignment vertical="center" wrapText="1"/>
    </xf>
    <xf numFmtId="0" fontId="7" fillId="9" borderId="0" xfId="0" applyFont="1" applyFill="1" applyBorder="1" applyAlignment="1">
      <alignment vertical="center" wrapText="1"/>
    </xf>
    <xf numFmtId="44" fontId="7" fillId="9" borderId="0" xfId="0" applyNumberFormat="1" applyFont="1" applyFill="1" applyBorder="1" applyAlignment="1">
      <alignment vertical="center" wrapText="1"/>
    </xf>
    <xf numFmtId="9" fontId="7" fillId="9" borderId="0" xfId="3" applyFont="1" applyFill="1" applyBorder="1" applyAlignment="1">
      <alignment wrapText="1"/>
    </xf>
    <xf numFmtId="0" fontId="22" fillId="9" borderId="0" xfId="0" applyFont="1" applyFill="1" applyBorder="1" applyAlignment="1">
      <alignment horizontal="center" vertical="center" wrapText="1"/>
    </xf>
    <xf numFmtId="44" fontId="7" fillId="9" borderId="0" xfId="3" applyNumberFormat="1" applyFont="1" applyFill="1" applyBorder="1" applyAlignment="1">
      <alignment wrapText="1"/>
    </xf>
    <xf numFmtId="0" fontId="0" fillId="9" borderId="0" xfId="0" applyFont="1" applyFill="1" applyBorder="1" applyAlignment="1">
      <alignment horizontal="center" vertical="center" wrapText="1"/>
    </xf>
    <xf numFmtId="164" fontId="0" fillId="0" borderId="0" xfId="4" applyFont="1"/>
    <xf numFmtId="0" fontId="31" fillId="0" borderId="0" xfId="5" applyAlignment="1">
      <alignment vertical="top"/>
    </xf>
    <xf numFmtId="0" fontId="31" fillId="0" borderId="0" xfId="5" applyAlignment="1">
      <alignment horizontal="left" vertical="top"/>
    </xf>
    <xf numFmtId="164" fontId="31" fillId="0" borderId="0" xfId="5" applyNumberFormat="1" applyAlignment="1">
      <alignment vertical="top"/>
    </xf>
    <xf numFmtId="0" fontId="0" fillId="18" borderId="0" xfId="0" applyFill="1" applyAlignment="1">
      <alignment horizontal="left"/>
    </xf>
    <xf numFmtId="0" fontId="0" fillId="18" borderId="0" xfId="0" applyNumberFormat="1" applyFill="1"/>
    <xf numFmtId="0" fontId="31" fillId="18" borderId="0" xfId="5" applyFill="1" applyAlignment="1">
      <alignment vertical="top"/>
    </xf>
    <xf numFmtId="0" fontId="0" fillId="0" borderId="15" xfId="0" applyBorder="1"/>
    <xf numFmtId="0" fontId="23" fillId="9" borderId="0" xfId="0" applyFont="1" applyFill="1" applyBorder="1" applyAlignment="1">
      <alignment horizontal="left" vertical="top" wrapText="1"/>
    </xf>
    <xf numFmtId="0" fontId="13" fillId="9" borderId="6" xfId="0" applyFont="1" applyFill="1" applyBorder="1" applyAlignment="1">
      <alignment horizontal="left" wrapText="1"/>
    </xf>
    <xf numFmtId="0" fontId="13" fillId="9" borderId="7" xfId="0" applyFont="1" applyFill="1" applyBorder="1" applyAlignment="1">
      <alignment horizontal="left" wrapText="1"/>
    </xf>
    <xf numFmtId="0" fontId="7" fillId="10" borderId="26" xfId="0" applyFont="1" applyFill="1" applyBorder="1" applyAlignment="1" applyProtection="1">
      <alignment horizontal="center" vertical="center" wrapText="1"/>
    </xf>
    <xf numFmtId="0" fontId="7" fillId="10" borderId="30" xfId="0" applyFont="1" applyFill="1" applyBorder="1" applyAlignment="1" applyProtection="1">
      <alignment horizontal="center" vertical="center" wrapText="1"/>
    </xf>
    <xf numFmtId="0" fontId="7" fillId="5" borderId="23" xfId="0" applyFont="1" applyFill="1" applyBorder="1" applyAlignment="1" applyProtection="1">
      <alignment horizontal="center" vertical="center" wrapText="1"/>
    </xf>
    <xf numFmtId="0" fontId="7" fillId="5" borderId="22" xfId="0"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xf>
    <xf numFmtId="0" fontId="7" fillId="17" borderId="15" xfId="0" applyFont="1" applyFill="1" applyBorder="1" applyAlignment="1" applyProtection="1">
      <alignment horizontal="center" vertical="center" wrapText="1"/>
    </xf>
    <xf numFmtId="0" fontId="7" fillId="2" borderId="23" xfId="0" applyNumberFormat="1" applyFont="1" applyFill="1" applyBorder="1" applyAlignment="1" applyProtection="1">
      <alignment horizontal="left" vertical="center" wrapText="1"/>
      <protection locked="0"/>
    </xf>
    <xf numFmtId="0" fontId="7" fillId="2" borderId="17" xfId="0" applyNumberFormat="1" applyFont="1" applyFill="1" applyBorder="1" applyAlignment="1" applyProtection="1">
      <alignment horizontal="left" vertical="center" wrapText="1"/>
      <protection locked="0"/>
    </xf>
    <xf numFmtId="0" fontId="7" fillId="2" borderId="22" xfId="0" applyNumberFormat="1" applyFont="1" applyFill="1" applyBorder="1" applyAlignment="1" applyProtection="1">
      <alignment horizontal="left" vertical="center" wrapText="1"/>
      <protection locked="0"/>
    </xf>
    <xf numFmtId="0" fontId="7" fillId="17" borderId="26" xfId="0" applyFont="1" applyFill="1" applyBorder="1" applyAlignment="1" applyProtection="1">
      <alignment horizontal="center" vertical="center" wrapText="1"/>
    </xf>
    <xf numFmtId="0" fontId="7" fillId="17" borderId="30" xfId="0" applyFont="1" applyFill="1" applyBorder="1" applyAlignment="1" applyProtection="1">
      <alignment horizontal="center" vertical="center" wrapText="1"/>
    </xf>
    <xf numFmtId="0" fontId="7" fillId="9" borderId="26" xfId="0" applyFont="1" applyFill="1" applyBorder="1" applyAlignment="1" applyProtection="1">
      <alignment horizontal="center" vertical="center" wrapText="1"/>
    </xf>
    <xf numFmtId="0" fontId="7" fillId="9" borderId="30" xfId="0" applyFont="1" applyFill="1" applyBorder="1" applyAlignment="1" applyProtection="1">
      <alignment horizontal="center" vertical="center" wrapText="1"/>
    </xf>
    <xf numFmtId="0" fontId="7" fillId="6" borderId="26" xfId="0" applyFont="1" applyFill="1" applyBorder="1" applyAlignment="1" applyProtection="1">
      <alignment horizontal="center" vertical="center" wrapText="1"/>
    </xf>
    <xf numFmtId="0" fontId="7" fillId="6" borderId="30" xfId="0" applyFont="1" applyFill="1" applyBorder="1" applyAlignment="1" applyProtection="1">
      <alignment horizontal="center" vertical="center" wrapText="1"/>
    </xf>
    <xf numFmtId="49" fontId="7" fillId="2" borderId="23" xfId="0" applyNumberFormat="1" applyFont="1" applyFill="1" applyBorder="1" applyAlignment="1" applyProtection="1">
      <alignment horizontal="left" vertical="top" wrapText="1"/>
      <protection locked="0"/>
    </xf>
    <xf numFmtId="49" fontId="7" fillId="2" borderId="17" xfId="0" applyNumberFormat="1" applyFont="1" applyFill="1" applyBorder="1" applyAlignment="1" applyProtection="1">
      <alignment horizontal="left" vertical="top" wrapText="1"/>
      <protection locked="0"/>
    </xf>
    <xf numFmtId="49" fontId="7" fillId="2" borderId="22" xfId="0" applyNumberFormat="1" applyFont="1" applyFill="1" applyBorder="1" applyAlignment="1" applyProtection="1">
      <alignment horizontal="left" vertical="top" wrapText="1"/>
      <protection locked="0"/>
    </xf>
    <xf numFmtId="49" fontId="7" fillId="2" borderId="23" xfId="0" applyNumberFormat="1" applyFont="1" applyFill="1" applyBorder="1" applyAlignment="1" applyProtection="1">
      <alignment horizontal="left" vertical="center" wrapText="1"/>
      <protection locked="0"/>
    </xf>
    <xf numFmtId="49" fontId="7" fillId="2" borderId="17" xfId="0" applyNumberFormat="1" applyFont="1" applyFill="1" applyBorder="1" applyAlignment="1" applyProtection="1">
      <alignment horizontal="left" vertical="center" wrapText="1"/>
      <protection locked="0"/>
    </xf>
    <xf numFmtId="49" fontId="7" fillId="2" borderId="22" xfId="0" applyNumberFormat="1"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9" borderId="27" xfId="0" applyFont="1" applyFill="1" applyBorder="1" applyAlignment="1" applyProtection="1">
      <alignment horizontal="center" vertical="center" wrapText="1"/>
    </xf>
    <xf numFmtId="0" fontId="7" fillId="9" borderId="31" xfId="0" applyFont="1" applyFill="1" applyBorder="1" applyAlignment="1" applyProtection="1">
      <alignment horizontal="center" vertical="center" wrapText="1"/>
    </xf>
    <xf numFmtId="0" fontId="7" fillId="2" borderId="0" xfId="0" applyFont="1" applyFill="1" applyBorder="1" applyAlignment="1">
      <alignment horizontal="center" vertical="center" wrapText="1"/>
    </xf>
    <xf numFmtId="0" fontId="0" fillId="13" borderId="37" xfId="0" applyFont="1" applyFill="1" applyBorder="1" applyAlignment="1" applyProtection="1">
      <alignment horizontal="left" vertical="center" wrapText="1"/>
    </xf>
    <xf numFmtId="0" fontId="0" fillId="13" borderId="53" xfId="0" applyFont="1" applyFill="1" applyBorder="1" applyAlignment="1" applyProtection="1">
      <alignment horizontal="left" vertical="center" wrapText="1"/>
    </xf>
    <xf numFmtId="0" fontId="0" fillId="13" borderId="54"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2" fillId="6" borderId="25" xfId="0" applyFont="1" applyFill="1" applyBorder="1" applyAlignment="1" applyProtection="1">
      <alignment horizontal="center" vertical="center" wrapText="1"/>
    </xf>
    <xf numFmtId="0" fontId="2" fillId="6" borderId="29" xfId="0" applyFont="1" applyFill="1" applyBorder="1" applyAlignment="1" applyProtection="1">
      <alignment horizontal="center" vertical="center" wrapText="1"/>
    </xf>
    <xf numFmtId="0" fontId="7" fillId="6" borderId="40" xfId="0" applyFont="1" applyFill="1" applyBorder="1" applyAlignment="1" applyProtection="1">
      <alignment horizontal="left" vertical="center" wrapText="1"/>
    </xf>
    <xf numFmtId="0" fontId="7" fillId="6" borderId="51" xfId="0" applyFont="1" applyFill="1" applyBorder="1" applyAlignment="1" applyProtection="1">
      <alignment horizontal="left" vertical="center" wrapText="1"/>
    </xf>
    <xf numFmtId="0" fontId="7" fillId="6" borderId="47" xfId="0" applyFont="1" applyFill="1" applyBorder="1" applyAlignment="1" applyProtection="1">
      <alignment horizontal="left" vertical="center" wrapText="1"/>
    </xf>
    <xf numFmtId="0" fontId="7" fillId="17" borderId="40" xfId="0" applyFont="1" applyFill="1" applyBorder="1" applyAlignment="1">
      <alignment horizontal="center" wrapText="1"/>
    </xf>
    <xf numFmtId="0" fontId="7" fillId="17" borderId="51" xfId="0" applyFont="1" applyFill="1" applyBorder="1" applyAlignment="1">
      <alignment horizontal="center" wrapText="1"/>
    </xf>
    <xf numFmtId="0" fontId="7" fillId="17" borderId="60" xfId="0" applyFont="1" applyFill="1" applyBorder="1" applyAlignment="1">
      <alignment horizontal="center" wrapText="1"/>
    </xf>
    <xf numFmtId="0" fontId="7" fillId="17" borderId="25" xfId="0" applyFont="1" applyFill="1" applyBorder="1" applyAlignment="1">
      <alignment horizontal="center" vertical="center" wrapText="1"/>
    </xf>
    <xf numFmtId="0" fontId="7" fillId="17" borderId="61" xfId="0" applyFont="1" applyFill="1" applyBorder="1" applyAlignment="1">
      <alignment horizontal="center" vertical="center" wrapText="1"/>
    </xf>
    <xf numFmtId="0" fontId="7" fillId="17" borderId="29" xfId="0" applyFont="1" applyFill="1" applyBorder="1" applyAlignment="1">
      <alignment horizontal="center" vertical="center" wrapText="1"/>
    </xf>
    <xf numFmtId="0" fontId="7" fillId="17" borderId="26" xfId="0" applyFont="1" applyFill="1" applyBorder="1" applyAlignment="1">
      <alignment horizontal="center" vertical="center" wrapText="1"/>
    </xf>
    <xf numFmtId="0" fontId="7" fillId="17" borderId="62" xfId="0" applyFont="1" applyFill="1" applyBorder="1" applyAlignment="1">
      <alignment horizontal="center" vertical="center" wrapText="1"/>
    </xf>
    <xf numFmtId="0" fontId="7" fillId="17" borderId="30" xfId="0" applyFont="1" applyFill="1" applyBorder="1" applyAlignment="1">
      <alignment horizontal="center" vertical="center" wrapText="1"/>
    </xf>
    <xf numFmtId="0" fontId="7" fillId="17" borderId="27" xfId="0" applyFont="1" applyFill="1" applyBorder="1" applyAlignment="1">
      <alignment horizontal="center" vertical="center" wrapText="1"/>
    </xf>
    <xf numFmtId="0" fontId="7" fillId="17" borderId="63" xfId="0" applyFont="1" applyFill="1" applyBorder="1" applyAlignment="1">
      <alignment horizontal="center" vertical="center" wrapText="1"/>
    </xf>
    <xf numFmtId="0" fontId="7" fillId="17" borderId="31" xfId="0" applyFont="1" applyFill="1" applyBorder="1" applyAlignment="1">
      <alignment horizontal="center" vertical="center" wrapText="1"/>
    </xf>
    <xf numFmtId="0" fontId="3" fillId="0" borderId="0" xfId="0" applyFont="1" applyAlignment="1">
      <alignment horizontal="left" vertical="top" wrapText="1"/>
    </xf>
    <xf numFmtId="0" fontId="10" fillId="3" borderId="1" xfId="0" applyFont="1" applyFill="1" applyBorder="1" applyAlignment="1">
      <alignment horizontal="left" wrapText="1"/>
    </xf>
    <xf numFmtId="0" fontId="10" fillId="3" borderId="2" xfId="0" applyFont="1" applyFill="1" applyBorder="1" applyAlignment="1">
      <alignment horizontal="left" wrapText="1"/>
    </xf>
    <xf numFmtId="0" fontId="10" fillId="3" borderId="57" xfId="0" applyFont="1" applyFill="1" applyBorder="1" applyAlignment="1">
      <alignment horizontal="left" wrapText="1"/>
    </xf>
    <xf numFmtId="0" fontId="11" fillId="3" borderId="3"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39"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58" xfId="0" applyFont="1" applyFill="1" applyBorder="1" applyAlignment="1">
      <alignment horizontal="left" vertical="center" wrapText="1"/>
    </xf>
    <xf numFmtId="0" fontId="13" fillId="3" borderId="6" xfId="0" applyFont="1" applyFill="1" applyBorder="1" applyAlignment="1">
      <alignment horizontal="left" wrapText="1"/>
    </xf>
    <xf numFmtId="0" fontId="13" fillId="3" borderId="7" xfId="0" applyFont="1" applyFill="1" applyBorder="1" applyAlignment="1">
      <alignment horizontal="left" wrapText="1"/>
    </xf>
    <xf numFmtId="0" fontId="13" fillId="3" borderId="8" xfId="0" applyFont="1" applyFill="1" applyBorder="1" applyAlignment="1">
      <alignment horizontal="left" wrapText="1"/>
    </xf>
    <xf numFmtId="0" fontId="7" fillId="5" borderId="9" xfId="0" applyFont="1" applyFill="1" applyBorder="1" applyAlignment="1">
      <alignment horizontal="center" wrapText="1"/>
    </xf>
    <xf numFmtId="0" fontId="7" fillId="5" borderId="10" xfId="0" applyFont="1" applyFill="1" applyBorder="1" applyAlignment="1">
      <alignment horizontal="center" wrapText="1"/>
    </xf>
    <xf numFmtId="0" fontId="7" fillId="5" borderId="11" xfId="0" applyFont="1" applyFill="1" applyBorder="1" applyAlignment="1">
      <alignment horizontal="center" wrapText="1"/>
    </xf>
    <xf numFmtId="0" fontId="7" fillId="6" borderId="23" xfId="0" applyFont="1" applyFill="1" applyBorder="1" applyAlignment="1">
      <alignment horizontal="left" wrapText="1"/>
    </xf>
    <xf numFmtId="0" fontId="7" fillId="6" borderId="17" xfId="0" applyFont="1" applyFill="1" applyBorder="1" applyAlignment="1">
      <alignment horizontal="left" wrapText="1"/>
    </xf>
    <xf numFmtId="0" fontId="7" fillId="6" borderId="24" xfId="0" applyFont="1" applyFill="1" applyBorder="1" applyAlignment="1">
      <alignment horizontal="left" wrapText="1"/>
    </xf>
    <xf numFmtId="0" fontId="7" fillId="4" borderId="9" xfId="0" applyFont="1" applyFill="1" applyBorder="1" applyAlignment="1">
      <alignment horizontal="center"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7" fillId="6" borderId="6" xfId="0" applyFont="1" applyFill="1" applyBorder="1" applyAlignment="1">
      <alignment horizontal="center" wrapText="1"/>
    </xf>
    <xf numFmtId="0" fontId="7" fillId="6" borderId="7" xfId="0" applyFont="1" applyFill="1" applyBorder="1" applyAlignment="1">
      <alignment horizontal="center" wrapText="1"/>
    </xf>
    <xf numFmtId="0" fontId="7" fillId="6" borderId="8" xfId="0" applyFont="1" applyFill="1" applyBorder="1" applyAlignment="1">
      <alignment horizontal="center" wrapText="1"/>
    </xf>
    <xf numFmtId="0" fontId="7" fillId="5" borderId="11"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5" fillId="5" borderId="14" xfId="1" applyNumberFormat="1" applyFont="1" applyFill="1" applyBorder="1" applyAlignment="1" applyProtection="1">
      <alignment horizontal="center" vertical="center" wrapText="1"/>
    </xf>
    <xf numFmtId="0" fontId="5" fillId="5" borderId="15" xfId="1" applyNumberFormat="1" applyFont="1" applyFill="1" applyBorder="1" applyAlignment="1" applyProtection="1">
      <alignment horizontal="center" vertical="center" wrapText="1"/>
    </xf>
    <xf numFmtId="0" fontId="2" fillId="0" borderId="0" xfId="0" applyFont="1" applyAlignment="1">
      <alignment horizontal="center" wrapText="1"/>
    </xf>
    <xf numFmtId="0" fontId="2" fillId="0" borderId="39" xfId="0" applyFont="1" applyBorder="1" applyAlignment="1">
      <alignment horizontal="center" wrapText="1"/>
    </xf>
    <xf numFmtId="0" fontId="7" fillId="6" borderId="32" xfId="0" applyFont="1" applyFill="1" applyBorder="1" applyAlignment="1">
      <alignment horizontal="left" wrapText="1"/>
    </xf>
    <xf numFmtId="0" fontId="7" fillId="6" borderId="28" xfId="0" applyFont="1" applyFill="1" applyBorder="1" applyAlignment="1">
      <alignment horizontal="left" wrapText="1"/>
    </xf>
    <xf numFmtId="0" fontId="7" fillId="6" borderId="41" xfId="0" applyFont="1" applyFill="1" applyBorder="1" applyAlignment="1">
      <alignment horizontal="left" wrapText="1"/>
    </xf>
    <xf numFmtId="165" fontId="7" fillId="2" borderId="36" xfId="1" applyFont="1" applyFill="1" applyBorder="1" applyAlignment="1">
      <alignment horizontal="center" wrapText="1"/>
    </xf>
    <xf numFmtId="165" fontId="7" fillId="2" borderId="24" xfId="1" applyFont="1" applyFill="1" applyBorder="1" applyAlignment="1">
      <alignment horizontal="center" wrapText="1"/>
    </xf>
    <xf numFmtId="165" fontId="7" fillId="2" borderId="41" xfId="1" applyFont="1" applyFill="1" applyBorder="1" applyAlignment="1">
      <alignment horizontal="center" wrapText="1"/>
    </xf>
    <xf numFmtId="0" fontId="2" fillId="0" borderId="24" xfId="0" applyFont="1" applyBorder="1" applyAlignment="1">
      <alignment horizontal="center" wrapText="1"/>
    </xf>
    <xf numFmtId="0" fontId="2" fillId="0" borderId="41" xfId="0" applyFont="1" applyBorder="1" applyAlignment="1">
      <alignment horizontal="center" wrapText="1"/>
    </xf>
    <xf numFmtId="0" fontId="7" fillId="6" borderId="23" xfId="0" applyFont="1" applyFill="1" applyBorder="1" applyAlignment="1">
      <alignment horizontal="center" wrapText="1"/>
    </xf>
    <xf numFmtId="0" fontId="7" fillId="6" borderId="17" xfId="0" applyFont="1" applyFill="1" applyBorder="1" applyAlignment="1">
      <alignment horizontal="center" wrapText="1"/>
    </xf>
    <xf numFmtId="0" fontId="7" fillId="6" borderId="46" xfId="0" applyFont="1" applyFill="1" applyBorder="1" applyAlignment="1">
      <alignment horizontal="center" wrapText="1"/>
    </xf>
    <xf numFmtId="165" fontId="7" fillId="2" borderId="38" xfId="1" applyFont="1" applyFill="1" applyBorder="1" applyAlignment="1">
      <alignment horizontal="center" wrapText="1"/>
    </xf>
    <xf numFmtId="165" fontId="7" fillId="2" borderId="0" xfId="1" applyFont="1" applyFill="1" applyBorder="1" applyAlignment="1">
      <alignment horizontal="center" wrapText="1"/>
    </xf>
    <xf numFmtId="165" fontId="7" fillId="2" borderId="39" xfId="1" applyFont="1" applyFill="1" applyBorder="1" applyAlignment="1">
      <alignment horizontal="center" wrapText="1"/>
    </xf>
    <xf numFmtId="0" fontId="7" fillId="6" borderId="1" xfId="0" applyFont="1" applyFill="1" applyBorder="1" applyAlignment="1">
      <alignment horizontal="left" wrapText="1"/>
    </xf>
    <xf numFmtId="0" fontId="7" fillId="6" borderId="2" xfId="0" applyFont="1" applyFill="1" applyBorder="1" applyAlignment="1">
      <alignment horizontal="left" wrapText="1"/>
    </xf>
    <xf numFmtId="44" fontId="7" fillId="2" borderId="19" xfId="1" applyNumberFormat="1" applyFont="1" applyFill="1" applyBorder="1" applyAlignment="1">
      <alignment horizontal="center" wrapText="1"/>
    </xf>
    <xf numFmtId="44" fontId="7" fillId="2" borderId="20" xfId="1" applyNumberFormat="1" applyFont="1" applyFill="1" applyBorder="1" applyAlignment="1">
      <alignment horizontal="center" wrapText="1"/>
    </xf>
    <xf numFmtId="44" fontId="7" fillId="2" borderId="48" xfId="1" applyNumberFormat="1" applyFont="1" applyFill="1" applyBorder="1" applyAlignment="1">
      <alignment horizontal="center" wrapText="1"/>
    </xf>
    <xf numFmtId="44" fontId="7" fillId="2" borderId="21" xfId="1" applyNumberFormat="1" applyFont="1" applyFill="1" applyBorder="1" applyAlignment="1">
      <alignment horizontal="center" wrapText="1"/>
    </xf>
    <xf numFmtId="0" fontId="7" fillId="9" borderId="18" xfId="0" applyFont="1" applyFill="1" applyBorder="1" applyAlignment="1" applyProtection="1">
      <alignment horizontal="center" vertical="center" wrapText="1"/>
    </xf>
    <xf numFmtId="0" fontId="7" fillId="6" borderId="40" xfId="0" applyFont="1" applyFill="1" applyBorder="1" applyAlignment="1">
      <alignment horizontal="left" wrapText="1"/>
    </xf>
    <xf numFmtId="0" fontId="7" fillId="6" borderId="33" xfId="0" applyFont="1" applyFill="1" applyBorder="1" applyAlignment="1">
      <alignment horizontal="left" wrapText="1"/>
    </xf>
    <xf numFmtId="0" fontId="7" fillId="6" borderId="3" xfId="0" applyFont="1" applyFill="1" applyBorder="1" applyAlignment="1">
      <alignment horizontal="left" wrapText="1"/>
    </xf>
    <xf numFmtId="0" fontId="2" fillId="0" borderId="36" xfId="0" applyFont="1" applyBorder="1" applyAlignment="1">
      <alignment horizontal="center" wrapText="1"/>
    </xf>
    <xf numFmtId="0" fontId="7" fillId="5" borderId="15" xfId="1" applyNumberFormat="1" applyFont="1" applyFill="1" applyBorder="1" applyAlignment="1">
      <alignment horizontal="center" vertical="center" wrapText="1"/>
    </xf>
    <xf numFmtId="0" fontId="16" fillId="14" borderId="40" xfId="0" applyFont="1" applyFill="1" applyBorder="1" applyAlignment="1">
      <alignment horizontal="center" vertical="center" wrapText="1"/>
    </xf>
    <xf numFmtId="0" fontId="16" fillId="14" borderId="35" xfId="0" applyFont="1" applyFill="1" applyBorder="1" applyAlignment="1">
      <alignment horizontal="center" vertical="center" wrapText="1"/>
    </xf>
    <xf numFmtId="0" fontId="16" fillId="14" borderId="9" xfId="0" applyFont="1" applyFill="1" applyBorder="1" applyAlignment="1">
      <alignment horizontal="center" vertical="center" wrapText="1"/>
    </xf>
    <xf numFmtId="0" fontId="16" fillId="14" borderId="11" xfId="0" applyFont="1" applyFill="1" applyBorder="1" applyAlignment="1">
      <alignment horizontal="center" vertical="center" wrapText="1"/>
    </xf>
    <xf numFmtId="0" fontId="16" fillId="14" borderId="47" xfId="0" applyFont="1" applyFill="1" applyBorder="1" applyAlignment="1">
      <alignment horizontal="center" vertical="center" wrapText="1"/>
    </xf>
    <xf numFmtId="0" fontId="16" fillId="14" borderId="12" xfId="0" applyFont="1" applyFill="1" applyBorder="1" applyAlignment="1">
      <alignment horizontal="center" vertical="center" wrapText="1"/>
    </xf>
  </cellXfs>
  <cellStyles count="6">
    <cellStyle name="Comma 2" xfId="2" xr:uid="{00000000-0005-0000-0000-000001000000}"/>
    <cellStyle name="Currency 2" xfId="1" xr:uid="{00000000-0005-0000-0000-000002000000}"/>
    <cellStyle name="Milliers" xfId="4" builtinId="3"/>
    <cellStyle name="Normal" xfId="0" builtinId="0"/>
    <cellStyle name="Normal 2" xfId="5" xr:uid="{440A04DB-3E85-4505-92A3-CF36AD8D863F}"/>
    <cellStyle name="Pourcentage" xfId="3" builtinId="5"/>
  </cellStyles>
  <dxfs count="25">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numFmt numFmtId="164" formatCode="_-* #,##0.00_-;\-* #,##0.00_-;_-* &quot;-&quot;??_-;_-@_-"/>
    </dxf>
    <dxf>
      <fill>
        <patternFill patternType="solid">
          <bgColor rgb="FFFF0000"/>
        </patternFill>
      </fill>
    </dxf>
    <dxf>
      <fill>
        <patternFill patternType="solid">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pivotCacheDefinition" Target="pivotCache/pivotCacheDefinition2.xml"/><Relationship Id="rId26" Type="http://schemas.openxmlformats.org/officeDocument/2006/relationships/pivotCacheDefinition" Target="pivotCache/pivotCacheDefinition10.xml"/><Relationship Id="rId3" Type="http://schemas.openxmlformats.org/officeDocument/2006/relationships/worksheet" Target="worksheets/sheet3.xml"/><Relationship Id="rId21" Type="http://schemas.openxmlformats.org/officeDocument/2006/relationships/pivotCacheDefinition" Target="pivotCache/pivotCacheDefinition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pivotCacheDefinition" Target="pivotCache/pivotCacheDefinition9.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pivotCacheDefinition" Target="pivotCache/pivotCacheDefinition4.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8.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pivotCacheDefinition" Target="pivotCache/pivotCacheDefinition7.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pivotCacheDefinition" Target="pivotCache/pivotCacheDefinition6.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120650</xdr:rowOff>
    </xdr:from>
    <xdr:to>
      <xdr:col>14</xdr:col>
      <xdr:colOff>204626</xdr:colOff>
      <xdr:row>45</xdr:row>
      <xdr:rowOff>12171</xdr:rowOff>
    </xdr:to>
    <xdr:pic>
      <xdr:nvPicPr>
        <xdr:cNvPr id="2" name="Image 1">
          <a:extLst>
            <a:ext uri="{FF2B5EF4-FFF2-40B4-BE49-F238E27FC236}">
              <a16:creationId xmlns:a16="http://schemas.microsoft.com/office/drawing/2014/main" id="{9317357F-9315-439C-773D-400B4A59761E}"/>
            </a:ext>
          </a:extLst>
        </xdr:cNvPr>
        <xdr:cNvPicPr>
          <a:picLocks noChangeAspect="1"/>
        </xdr:cNvPicPr>
      </xdr:nvPicPr>
      <xdr:blipFill>
        <a:blip xmlns:r="http://schemas.openxmlformats.org/officeDocument/2006/relationships" r:embed="rId1"/>
        <a:stretch>
          <a:fillRect/>
        </a:stretch>
      </xdr:blipFill>
      <xdr:spPr>
        <a:xfrm>
          <a:off x="0" y="3384550"/>
          <a:ext cx="13990476" cy="4228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IOM/CS.1041/ProDoc/Budget/Budget_TEMPLATE%20PBF_CS.1041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IOM/CS.1041/ProDoc/Budget_TEMPLATE%20PBF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CT_PROVIDER/Documents/00.%20Hanitriniony%20RASON/00.%20PBF%202020/00.%20PRODOC/06.%20Guildelines%20&amp;%20templates%20PBSO/01.%20Templates%20PBSO/Copy%20of%203.%20PBF%20Project%20Document%20Template%202019-%20Annex%20D-%20Project%20Budget%20(FRENC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aingo\finance\budget\2020\CS.1041\Financial%20report\2022\2804\CS1041%20final%20report_MPTF%20Report%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196">
          <cell r="C196">
            <v>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row r="13">
          <cell r="D13" t="str">
            <v>OIM</v>
          </cell>
        </row>
        <row r="24">
          <cell r="D24">
            <v>105000</v>
          </cell>
        </row>
        <row r="34">
          <cell r="D34">
            <v>34300</v>
          </cell>
        </row>
        <row r="44">
          <cell r="D44">
            <v>0</v>
          </cell>
        </row>
        <row r="54">
          <cell r="D54">
            <v>0</v>
          </cell>
        </row>
        <row r="66">
          <cell r="D66">
            <v>156300</v>
          </cell>
        </row>
        <row r="76">
          <cell r="D76">
            <v>0</v>
          </cell>
        </row>
        <row r="86">
          <cell r="D86">
            <v>0</v>
          </cell>
        </row>
        <row r="96">
          <cell r="D96">
            <v>0</v>
          </cell>
        </row>
        <row r="108">
          <cell r="D108">
            <v>15000</v>
          </cell>
        </row>
        <row r="118">
          <cell r="D118">
            <v>78250</v>
          </cell>
        </row>
        <row r="128">
          <cell r="D128">
            <v>3800</v>
          </cell>
        </row>
        <row r="138">
          <cell r="D138">
            <v>85200</v>
          </cell>
        </row>
        <row r="150">
          <cell r="D150">
            <v>0</v>
          </cell>
        </row>
        <row r="160">
          <cell r="D160">
            <v>0</v>
          </cell>
        </row>
        <row r="170">
          <cell r="D170">
            <v>0</v>
          </cell>
        </row>
        <row r="180">
          <cell r="D180">
            <v>0</v>
          </cell>
        </row>
        <row r="187">
          <cell r="D187">
            <v>269920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row r="13">
          <cell r="D13">
            <v>0</v>
          </cell>
        </row>
        <row r="23">
          <cell r="E23">
            <v>0</v>
          </cell>
        </row>
        <row r="33">
          <cell r="E33">
            <v>0</v>
          </cell>
        </row>
        <row r="43">
          <cell r="D43">
            <v>0</v>
          </cell>
          <cell r="E43">
            <v>0</v>
          </cell>
        </row>
        <row r="53">
          <cell r="D53">
            <v>0</v>
          </cell>
          <cell r="E53">
            <v>0</v>
          </cell>
        </row>
        <row r="65">
          <cell r="D65">
            <v>0</v>
          </cell>
          <cell r="E65">
            <v>0</v>
          </cell>
        </row>
        <row r="75">
          <cell r="E75">
            <v>0</v>
          </cell>
        </row>
        <row r="85">
          <cell r="D85">
            <v>0</v>
          </cell>
          <cell r="E85">
            <v>0</v>
          </cell>
        </row>
        <row r="95">
          <cell r="D95">
            <v>0</v>
          </cell>
          <cell r="E95">
            <v>0</v>
          </cell>
        </row>
        <row r="107">
          <cell r="E107">
            <v>0</v>
          </cell>
        </row>
        <row r="117">
          <cell r="D117">
            <v>0</v>
          </cell>
          <cell r="E117">
            <v>0</v>
          </cell>
        </row>
        <row r="127">
          <cell r="E127">
            <v>0</v>
          </cell>
        </row>
        <row r="137">
          <cell r="E137">
            <v>0</v>
          </cell>
        </row>
        <row r="149">
          <cell r="D149">
            <v>0</v>
          </cell>
          <cell r="E149">
            <v>0</v>
          </cell>
        </row>
        <row r="159">
          <cell r="D159">
            <v>0</v>
          </cell>
          <cell r="E159">
            <v>0</v>
          </cell>
        </row>
        <row r="169">
          <cell r="D169">
            <v>0</v>
          </cell>
          <cell r="E169">
            <v>0</v>
          </cell>
        </row>
        <row r="179">
          <cell r="D179">
            <v>0</v>
          </cell>
          <cell r="E179">
            <v>0</v>
          </cell>
        </row>
        <row r="186">
          <cell r="E186">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port Template"/>
      <sheetName val="zcji3 (2)"/>
      <sheetName val="Recon-Previous &amp; Current Period"/>
    </sheetNames>
    <sheetDataSet>
      <sheetData sheetId="0">
        <row r="20">
          <cell r="E20">
            <v>185892.95000000004</v>
          </cell>
        </row>
        <row r="22">
          <cell r="E22">
            <v>30788.03</v>
          </cell>
        </row>
        <row r="23">
          <cell r="E23">
            <v>112499.88</v>
          </cell>
        </row>
        <row r="24">
          <cell r="E24">
            <v>36395.21</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D:\haingo\finance\budget\2020\CS.1041\Financial%20report\2022\0305\MPTF7.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D:\haingo\finance\budget\2020\CS.1041\Financial%20report\2022\0305\MPTF4.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file:///D:\haingo\finance\budget\2020\CS.1041\Financial%20report\2022\0305\MPTF5.xlsx" TargetMode="External"/><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openxmlformats.org/officeDocument/2006/relationships/externalLinkPath" Target="file:///D:\haingo\finance\budget\2020\CS.1041\Financial%20report\2022\0305\MPTF6.xlsx"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P" refreshedDate="44679.45566388889" createdVersion="7" refreshedVersion="7" minRefreshableVersion="3" recordCount="44" xr:uid="{A0E06096-BAC0-4DE3-9EC3-A5FB150FD09E}">
  <cacheSource type="worksheet">
    <worksheetSource ref="A1:Z45" sheet="CS1041 0428"/>
  </cacheSource>
  <cacheFields count="26">
    <cacheField name="Project Structure: Description                    " numFmtId="0">
      <sharedItems containsBlank="1"/>
    </cacheField>
    <cacheField name="ACTIVITE" numFmtId="0">
      <sharedItems containsBlank="1" count="20">
        <s v="staff"/>
        <s v="office"/>
        <s v="Activite 3.4.3"/>
        <s v="Activite 2.1.3"/>
        <s v="Activite 1.1.3"/>
        <s v="Activite 1.1.2"/>
        <s v="Activite 1.1.1"/>
        <s v="Activite 3.4.1"/>
        <s v="Activite 3.3.1"/>
        <s v="Activite 2.1.1"/>
        <s v="Activite 3.2.3"/>
        <s v="Activite 3.2.2"/>
        <s v="Activite 3.2.1"/>
        <s v="oh"/>
        <s v="suivi"/>
        <s v="Activite 3.1.2"/>
        <s v="Activite 3.3.3"/>
        <s v="eval"/>
        <s v="Activite 2.1.2"/>
        <m/>
      </sharedItems>
    </cacheField>
    <cacheField name="Description         " numFmtId="0">
      <sharedItems containsBlank="1"/>
    </cacheField>
    <cacheField name="Currency            " numFmtId="0">
      <sharedItems containsBlank="1"/>
    </cacheField>
    <cacheField name="Budget                                            " numFmtId="0">
      <sharedItems containsBlank="1"/>
    </cacheField>
    <cacheField name="Revenue                                           " numFmtId="0">
      <sharedItems containsBlank="1"/>
    </cacheField>
    <cacheField name="Expense             " numFmtId="164">
      <sharedItems containsSemiMixedTypes="0" containsString="0" containsNumber="1" minValue="0" maxValue="748777.32000000018"/>
    </cacheField>
    <cacheField name="Pre-Commitment      " numFmtId="0">
      <sharedItems containsBlank="1"/>
    </cacheField>
    <cacheField name="Commitment          " numFmtId="0">
      <sharedItems containsBlank="1"/>
    </cacheField>
    <cacheField name="Available Balance   " numFmtId="0">
      <sharedItems containsBlank="1"/>
    </cacheField>
    <cacheField name="Project Balance     " numFmtId="0">
      <sharedItems containsBlank="1"/>
    </cacheField>
    <cacheField name="% Budget Consumption" numFmtId="0">
      <sharedItems containsString="0" containsBlank="1" containsNumber="1" minValue="0" maxValue="6.39"/>
    </cacheField>
    <cacheField name="% Available Balance " numFmtId="0">
      <sharedItems containsBlank="1" containsMixedTypes="1" containsNumber="1" minValue="0" maxValue="1"/>
    </cacheField>
    <cacheField name="% Exp               " numFmtId="0">
      <sharedItems containsString="0" containsBlank="1" containsNumber="1" minValue="0" maxValue="6.39"/>
    </cacheField>
    <cacheField name="% Exp &amp; Comm &amp; Pre-C" numFmtId="0">
      <sharedItems containsString="0" containsBlank="1" containsNumber="1" minValue="0" maxValue="6.39"/>
    </cacheField>
    <cacheField name="Proj. Start         " numFmtId="0">
      <sharedItems containsBlank="1"/>
    </cacheField>
    <cacheField name="Proj. End           " numFmtId="0">
      <sharedItems containsBlank="1"/>
    </cacheField>
    <cacheField name="                    " numFmtId="0">
      <sharedItems containsNonDate="0" containsString="0" containsBlank="1"/>
    </cacheField>
    <cacheField name="                    2" numFmtId="0">
      <sharedItems containsNonDate="0" containsString="0" containsBlank="1"/>
    </cacheField>
    <cacheField name="                    3" numFmtId="0">
      <sharedItems containsNonDate="0" containsString="0" containsBlank="1"/>
    </cacheField>
    <cacheField name="                    4" numFmtId="0">
      <sharedItems containsNonDate="0" containsString="0" containsBlank="1"/>
    </cacheField>
    <cacheField name="                    5" numFmtId="0">
      <sharedItems containsNonDate="0" containsString="0" containsBlank="1"/>
    </cacheField>
    <cacheField name="                    6" numFmtId="0">
      <sharedItems containsNonDate="0" containsString="0" containsBlank="1"/>
    </cacheField>
    <cacheField name="                    7" numFmtId="0">
      <sharedItems containsNonDate="0" containsString="0" containsBlank="1"/>
    </cacheField>
    <cacheField name="                    8" numFmtId="0">
      <sharedItems containsNonDate="0" containsString="0" containsBlank="1"/>
    </cacheField>
    <cacheField name="                    9"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P" refreshedDate="44685.528646064813" createdVersion="7" refreshedVersion="7" minRefreshableVersion="3" recordCount="8" xr:uid="{C281E112-7909-4687-9536-380176BD554B}">
  <cacheSource type="worksheet">
    <worksheetSource ref="C1:D9" sheet="MPTF6"/>
  </cacheSource>
  <cacheFields count="2">
    <cacheField name="PROD" numFmtId="0">
      <sharedItems count="4">
        <s v="Produit 2.1"/>
        <s v="Produit 1.1"/>
        <s v="Produit 3.2"/>
        <s v="Produit 3.1"/>
      </sharedItems>
    </cacheField>
    <cacheField name="MONTANT" numFmtId="0">
      <sharedItems containsSemiMixedTypes="0" containsString="0" containsNumber="1" minValue="4903.26" maxValue="123306.419999999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P" refreshedDate="44685.482696527775" createdVersion="7" refreshedVersion="7" minRefreshableVersion="3" recordCount="262" xr:uid="{EBBD4112-5E3B-4C22-BB91-4091EDB32657}">
  <cacheSource type="worksheet">
    <worksheetSource ref="A1:Y263" sheet="Feuil1" r:id="rId2"/>
  </cacheSource>
  <cacheFields count="25">
    <cacheField name="Grant (Donor Contr)" numFmtId="0">
      <sharedItems containsBlank="1"/>
    </cacheField>
    <cacheField name="Fund (Funding Source)" numFmtId="0">
      <sharedItems containsBlank="1"/>
    </cacheField>
    <cacheField name="Project ID (Funded Program)" numFmtId="0">
      <sharedItems containsBlank="1"/>
    </cacheField>
    <cacheField name="Donor Budget Line(Sponsored Programs)" numFmtId="0">
      <sharedItems containsBlank="1"/>
    </cacheField>
    <cacheField name="Donor Budget Lines Description" numFmtId="0">
      <sharedItems containsBlank="1"/>
    </cacheField>
    <cacheField name="WBS Element" numFmtId="0">
      <sharedItems containsBlank="1" count="23">
        <s v="CS.1041.MG10.12.04.001"/>
        <s v="CS.1041.MG10.12.03.001"/>
        <s v="CS.1041.MG10.12.06.001"/>
        <s v="CS.1041.MG10.Q1.05.053"/>
        <s v="CS.1041.MG10.12.09.001"/>
        <s v="CS.1041.MG10.D3.18.102"/>
        <s v="CS.1041.MG10.N1.07.103"/>
        <s v="CS.1041.MG10.N1.05.155"/>
        <s v="CS.1041.MG10.12.01.001"/>
        <s v="CS.1041.MG10.N1.07.102"/>
        <s v="CS.1041.MG10.N1.05.153"/>
        <s v="CS.1041.MG10.D3.13.001"/>
        <s v="CS.1041.MG10.N1.05.051"/>
        <s v="CS.1041.MG10.Q1.05.051"/>
        <s v="CS.1041.MG10.D3.18.001"/>
        <s v="CS.1041.MG10.D4.04.001"/>
        <s v="CS.1041.MG10.Q1.05.001"/>
        <s v="CS.1041.MG10.N1.07.101"/>
        <s v="CS.1041.MG10.N1.07.051"/>
        <s v="CS.1041.MG10.N1.05.151"/>
        <s v="CS.1041.MG10.N1.05.101"/>
        <s v="CS.1041.MG10.12.01.002"/>
        <m/>
      </sharedItems>
    </cacheField>
    <cacheField name="WBS Description" numFmtId="0">
      <sharedItems containsBlank="1"/>
    </cacheField>
    <cacheField name="Grant" numFmtId="0">
      <sharedItems containsBlank="1"/>
    </cacheField>
    <cacheField name="GL Account" numFmtId="0">
      <sharedItems containsBlank="1"/>
    </cacheField>
    <cacheField name="G/L Description" numFmtId="0">
      <sharedItems containsBlank="1"/>
    </cacheField>
    <cacheField name="Text" numFmtId="0">
      <sharedItems containsBlank="1"/>
    </cacheField>
    <cacheField name="Document Number" numFmtId="0">
      <sharedItems containsBlank="1"/>
    </cacheField>
    <cacheField name="Reference Document Number" numFmtId="0">
      <sharedItems containsBlank="1"/>
    </cacheField>
    <cacheField name="Ref Doc Line" numFmtId="0">
      <sharedItems containsBlank="1"/>
    </cacheField>
    <cacheField name="Posting Date" numFmtId="0">
      <sharedItems containsNonDate="0" containsDate="1" containsString="0" containsBlank="1" minDate="2021-01-14T00:00:00" maxDate="2022-03-01T00:00:00"/>
    </cacheField>
    <cacheField name="Amt Grant Currency" numFmtId="0">
      <sharedItems containsSemiMixedTypes="0" containsString="0" containsNumber="1" minValue="-171846.5" maxValue="171846.5"/>
    </cacheField>
    <cacheField name="Grant Currency" numFmtId="0">
      <sharedItems containsBlank="1"/>
    </cacheField>
    <cacheField name="Amt in IOM Currency" numFmtId="0">
      <sharedItems containsString="0" containsBlank="1" containsNumber="1" minValue="-171846.5" maxValue="171846.5"/>
    </cacheField>
    <cacheField name="IOM Currency (USD)" numFmtId="0">
      <sharedItems containsBlank="1"/>
    </cacheField>
    <cacheField name="Amt Trans Currency" numFmtId="0">
      <sharedItems containsString="0" containsBlank="1" containsNumber="1" minValue="-614316.82999999996" maxValue="4930249.8"/>
    </cacheField>
    <cacheField name="Trans Currency" numFmtId="0">
      <sharedItems containsBlank="1"/>
    </cacheField>
    <cacheField name="Value Type" numFmtId="0">
      <sharedItems containsBlank="1"/>
    </cacheField>
    <cacheField name="Username" numFmtId="0">
      <sharedItems containsBlank="1"/>
    </cacheField>
    <cacheField name="Accounting Document" numFmtId="0">
      <sharedItems containsBlank="1"/>
    </cacheField>
    <cacheField name="Refkey1 (Orig. Mission)"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P" refreshedDate="44685.486489120369" createdVersion="7" refreshedVersion="7" minRefreshableVersion="3" recordCount="121" xr:uid="{4C8F74E1-7352-4248-83C5-0D3A719A189C}">
  <cacheSource type="worksheet">
    <worksheetSource ref="A1:X122" sheet="Feuil1" r:id="rId2"/>
  </cacheSource>
  <cacheFields count="24">
    <cacheField name="Grant (Donor Contr)" numFmtId="0">
      <sharedItems containsBlank="1"/>
    </cacheField>
    <cacheField name="Fund (Funding Source)" numFmtId="0">
      <sharedItems containsBlank="1"/>
    </cacheField>
    <cacheField name="Project ID (Funded Program)" numFmtId="0">
      <sharedItems containsBlank="1"/>
    </cacheField>
    <cacheField name="Donor Budget Line(Sponsored Programs)" numFmtId="0">
      <sharedItems containsBlank="1"/>
    </cacheField>
    <cacheField name="Donor Budget Lines Description" numFmtId="0">
      <sharedItems containsBlank="1"/>
    </cacheField>
    <cacheField name="WBS Element" numFmtId="0">
      <sharedItems count="11">
        <s v="CS.1041.MG10.N1.05.153"/>
        <s v="CS.1041.MG10.N1.05.151"/>
        <s v="CS.1041.MG10.N1.05.101"/>
        <s v="CS.1041.MG10.N1.07.104"/>
        <s v="CS.1041.MG10.N1.05.051"/>
        <s v="CS.1041.MG10.N1.05.001"/>
        <s v="CS.1041.MG10.D3.13.001"/>
        <s v="CS.1041.MG10.Q1.05.051"/>
        <s v="CS.1041.MG10.Q2.02.001"/>
        <s v="CS.1041.MG10.Q2.03.001"/>
        <s v="CS.1041.MG10.Q1.03.001"/>
      </sharedItems>
    </cacheField>
    <cacheField name="WBS Description" numFmtId="0">
      <sharedItems containsBlank="1"/>
    </cacheField>
    <cacheField name="Grant" numFmtId="0">
      <sharedItems containsBlank="1"/>
    </cacheField>
    <cacheField name="GL Account" numFmtId="0">
      <sharedItems containsBlank="1" containsMixedTypes="1" containsNumber="1" minValue="1046.6600000000001" maxValue="5954.58"/>
    </cacheField>
    <cacheField name="G/L Description" numFmtId="0">
      <sharedItems containsBlank="1"/>
    </cacheField>
    <cacheField name="Text" numFmtId="0">
      <sharedItems containsBlank="1" containsMixedTypes="1" containsNumber="1" minValue="1046.6600000000001" maxValue="5954.58"/>
    </cacheField>
    <cacheField name="Document Number" numFmtId="0">
      <sharedItems containsBlank="1"/>
    </cacheField>
    <cacheField name="Reference Document Number" numFmtId="0">
      <sharedItems containsBlank="1" containsMixedTypes="1" containsNumber="1" minValue="4122076.06" maxValue="23450923.940000001"/>
    </cacheField>
    <cacheField name="Ref Doc Line" numFmtId="0">
      <sharedItems containsBlank="1"/>
    </cacheField>
    <cacheField name="Posting Date" numFmtId="0">
      <sharedItems containsDate="1" containsBlank="1" containsMixedTypes="1" minDate="2021-05-04T00:00:00" maxDate="2022-04-28T00:00:00"/>
    </cacheField>
    <cacheField name="Amt Grant Currency" numFmtId="0">
      <sharedItems containsSemiMixedTypes="0" containsString="0" containsNumber="1" minValue="-974325.83" maxValue="974325.83"/>
    </cacheField>
    <cacheField name="Grant Currency" numFmtId="0">
      <sharedItems containsDate="1" containsBlank="1" containsMixedTypes="1" minDate="2020-06-24T00:00:00" maxDate="2020-11-27T00:00:00"/>
    </cacheField>
    <cacheField name="Amt in IOM Currency" numFmtId="0">
      <sharedItems containsSemiMixedTypes="0" containsString="0" containsNumber="1" minValue="-974325.83" maxValue="974325.83"/>
    </cacheField>
    <cacheField name="IOM Currency (USD)" numFmtId="0">
      <sharedItems containsBlank="1"/>
    </cacheField>
    <cacheField name="Amt Trans Currency" numFmtId="0">
      <sharedItems containsBlank="1" containsMixedTypes="1" containsNumber="1" minValue="-26532740" maxValue="44403856.32"/>
    </cacheField>
    <cacheField name="Trans Currency" numFmtId="0">
      <sharedItems containsBlank="1"/>
    </cacheField>
    <cacheField name="Value Type" numFmtId="0">
      <sharedItems containsBlank="1"/>
    </cacheField>
    <cacheField name="Username" numFmtId="0">
      <sharedItems containsBlank="1"/>
    </cacheField>
    <cacheField name="Accounting Document"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P" refreshedDate="44685.499957986111" createdVersion="7" refreshedVersion="7" minRefreshableVersion="3" recordCount="22" xr:uid="{ED0EA075-31E0-49A0-958A-8C9F7D720A05}">
  <cacheSource type="worksheet">
    <worksheetSource ref="E3:F25" sheet="MPTF7"/>
  </cacheSource>
  <cacheFields count="2">
    <cacheField name="PRODUIT" numFmtId="0">
      <sharedItems count="8">
        <s v="COUT OP"/>
        <s v="Produit 3.4"/>
        <s v="Produit 2.1"/>
        <s v="Produit 1.1"/>
        <s v="Produit 3.3"/>
        <s v="Produit 3.1"/>
        <s v="Produit 3.2"/>
        <s v="Suivi"/>
      </sharedItems>
    </cacheField>
    <cacheField name="MONTANT" numFmtId="0">
      <sharedItems containsSemiMixedTypes="0" containsString="0" containsNumber="1" minValue="10.6" maxValue="15603.06000000000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P" refreshedDate="44685.508455324074" createdVersion="7" refreshedVersion="7" minRefreshableVersion="3" recordCount="11" xr:uid="{57DEE690-4546-4881-9B2C-6F0BF646ED84}">
  <cacheSource type="worksheet">
    <worksheetSource ref="F3:G14" sheet="MPTF4"/>
  </cacheSource>
  <cacheFields count="2">
    <cacheField name="produit" numFmtId="0">
      <sharedItems containsBlank="1" count="8">
        <s v="Produit 3.4"/>
        <s v="Produit 3.1"/>
        <s v="Produit 2.1"/>
        <s v="Produit 3.3"/>
        <s v="Produit 3.2"/>
        <s v="suivi"/>
        <m/>
        <s v="eval"/>
      </sharedItems>
    </cacheField>
    <cacheField name="montant" numFmtId="0">
      <sharedItems containsSemiMixedTypes="0" containsString="0" containsNumber="1" minValue="-3086.6900000000005" maxValue="67314.159999999858"/>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P" refreshedDate="44685.517634374999" createdVersion="7" refreshedVersion="7" minRefreshableVersion="3" recordCount="6" xr:uid="{02BA1B96-CD24-4C10-8FAD-6D2E5931EE92}">
  <cacheSource type="worksheet">
    <worksheetSource ref="B1:C7" sheet="MPTF3"/>
  </cacheSource>
  <cacheFields count="2">
    <cacheField name="Somme de MONTANT" numFmtId="0">
      <sharedItems containsSemiMixedTypes="0" containsString="0" containsNumber="1" minValue="-327.41999999999996" maxValue="12719.94"/>
    </cacheField>
    <cacheField name="PRODUIT" numFmtId="0">
      <sharedItems count="5">
        <s v="COUT OP"/>
        <s v="Produit 3.4"/>
        <s v="Produit 2.1"/>
        <s v="Produit 3.1"/>
        <s v="Produit 3.2"/>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P" refreshedDate="44685.520953703701" createdVersion="7" refreshedVersion="7" minRefreshableVersion="3" recordCount="97" xr:uid="{02E7F3DD-87D7-4068-AEB5-2BD210B50B13}">
  <cacheSource type="worksheet">
    <worksheetSource ref="A1:Y98" sheet="Sheet1" r:id="rId2"/>
  </cacheSource>
  <cacheFields count="25">
    <cacheField name="Grant (Donor Contr)" numFmtId="0">
      <sharedItems containsBlank="1"/>
    </cacheField>
    <cacheField name="Fund (Funding Source)" numFmtId="0">
      <sharedItems containsBlank="1"/>
    </cacheField>
    <cacheField name="Project ID (Funded Program)" numFmtId="0">
      <sharedItems containsBlank="1"/>
    </cacheField>
    <cacheField name="Donor Budget Line(Sponsored Programs)" numFmtId="0">
      <sharedItems containsBlank="1"/>
    </cacheField>
    <cacheField name="Donor Budget Lines Description" numFmtId="0">
      <sharedItems containsBlank="1"/>
    </cacheField>
    <cacheField name="WBS Element" numFmtId="0">
      <sharedItems containsBlank="1" count="10">
        <s v="CS.1041.MG10.N1.05.152"/>
        <s v="CS.1041.MG10.Q1.05.001"/>
        <s v="CS.1041.MG10.N1.05.154"/>
        <s v="CS.1041.MG10.Q1.05.052"/>
        <s v="CS.1041.MG10.N1.05.151"/>
        <s v="CS.1041.MG10.12.07.001"/>
        <s v="CS.1041.MG10.D3.13.001"/>
        <s v="CS.1041.MG10.N1.05.153"/>
        <s v="CS.1041.MG10.D3.18.001"/>
        <m/>
      </sharedItems>
    </cacheField>
    <cacheField name="WBS Description" numFmtId="0">
      <sharedItems containsBlank="1"/>
    </cacheField>
    <cacheField name="Grant" numFmtId="0">
      <sharedItems containsBlank="1"/>
    </cacheField>
    <cacheField name="GL Account" numFmtId="0">
      <sharedItems containsBlank="1"/>
    </cacheField>
    <cacheField name="G/L Description" numFmtId="0">
      <sharedItems containsBlank="1"/>
    </cacheField>
    <cacheField name="Text" numFmtId="0">
      <sharedItems containsBlank="1"/>
    </cacheField>
    <cacheField name="Document Number" numFmtId="0">
      <sharedItems containsBlank="1"/>
    </cacheField>
    <cacheField name="Reference Document Number" numFmtId="0">
      <sharedItems containsBlank="1"/>
    </cacheField>
    <cacheField name="Ref Doc Line" numFmtId="0">
      <sharedItems containsBlank="1"/>
    </cacheField>
    <cacheField name="Posting Date" numFmtId="0">
      <sharedItems containsNonDate="0" containsDate="1" containsString="0" containsBlank="1" minDate="2021-02-09T00:00:00" maxDate="2022-01-01T00:00:00"/>
    </cacheField>
    <cacheField name="Amt Grant Currency" numFmtId="0">
      <sharedItems containsString="0" containsBlank="1" containsNumber="1" minValue="-471816" maxValue="471816"/>
    </cacheField>
    <cacheField name="Grant Currency" numFmtId="0">
      <sharedItems containsBlank="1"/>
    </cacheField>
    <cacheField name="Amt in IOM Currency" numFmtId="0">
      <sharedItems containsSemiMixedTypes="0" containsString="0" containsNumber="1" minValue="-471816" maxValue="471816"/>
    </cacheField>
    <cacheField name="IOM Currency (USD)" numFmtId="0">
      <sharedItems containsBlank="1"/>
    </cacheField>
    <cacheField name="Amt Trans Currency" numFmtId="0">
      <sharedItems containsString="0" containsBlank="1" containsNumber="1" minValue="-9680000" maxValue="11690000"/>
    </cacheField>
    <cacheField name="Trans Currency" numFmtId="0">
      <sharedItems containsBlank="1"/>
    </cacheField>
    <cacheField name="Value Type" numFmtId="0">
      <sharedItems containsBlank="1"/>
    </cacheField>
    <cacheField name="Username" numFmtId="0">
      <sharedItems containsBlank="1"/>
    </cacheField>
    <cacheField name="Accounting Document" numFmtId="0">
      <sharedItems containsBlank="1"/>
    </cacheField>
    <cacheField name="Refkey1 (Orig. Mission)" numFmtId="0">
      <sharedItems containsBlank="1"/>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P" refreshedDate="44685.523546875003" createdVersion="7" refreshedVersion="7" minRefreshableVersion="3" recordCount="9" xr:uid="{9CEBFCC1-EDEA-4ED0-9CAE-367B0E4F0BBB}">
  <cacheSource type="worksheet">
    <worksheetSource ref="C1:D10" sheet="MPTF5"/>
  </cacheSource>
  <cacheFields count="2">
    <cacheField name="PROD" numFmtId="0">
      <sharedItems count="5">
        <s v="suivi"/>
        <s v="Produit 3.4"/>
        <s v="Produit 2.1"/>
        <s v="Produit 3.1"/>
        <s v="Produit 3.3"/>
      </sharedItems>
    </cacheField>
    <cacheField name="MONTANT" numFmtId="0">
      <sharedItems containsSemiMixedTypes="0" containsString="0" containsNumber="1" minValue="117" maxValue="11493.410000000151"/>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P" refreshedDate="44685.526832407406" createdVersion="7" refreshedVersion="7" minRefreshableVersion="3" recordCount="125" xr:uid="{01799BED-B606-4324-9632-6E3BAB8998A3}">
  <cacheSource type="worksheet">
    <worksheetSource ref="A1:Y1048576" sheet="Sheet1" r:id="rId2"/>
  </cacheSource>
  <cacheFields count="25">
    <cacheField name="Grant (Donor Contr)" numFmtId="0">
      <sharedItems containsBlank="1"/>
    </cacheField>
    <cacheField name="Fund (Funding Source)" numFmtId="0">
      <sharedItems containsBlank="1"/>
    </cacheField>
    <cacheField name="Project ID (Funded Program)" numFmtId="0">
      <sharedItems containsBlank="1"/>
    </cacheField>
    <cacheField name="Donor Budget Line(Sponsored Programs)" numFmtId="0">
      <sharedItems containsBlank="1"/>
    </cacheField>
    <cacheField name="Donor Budget Lines Description" numFmtId="0">
      <sharedItems containsBlank="1"/>
    </cacheField>
    <cacheField name="WBS Element" numFmtId="0">
      <sharedItems containsBlank="1" count="9">
        <s v="CS.1041.MG10.N1.07.101"/>
        <s v="CS.1041.MG10.N1.07.051"/>
        <s v="CS.1041.MG10.D3.18.101"/>
        <s v="CS.1041.MG10.D4.04.001"/>
        <s v="CS.1041.MG10.D3.18.001"/>
        <s v="CS.1041.MG10.D4.04.002"/>
        <s v="CS.1041.MG10.N1.07.001"/>
        <s v="CS.1041.MG10.D4.04.051"/>
        <m/>
      </sharedItems>
    </cacheField>
    <cacheField name="WBS Description" numFmtId="0">
      <sharedItems containsBlank="1"/>
    </cacheField>
    <cacheField name="Grant" numFmtId="0">
      <sharedItems containsBlank="1"/>
    </cacheField>
    <cacheField name="GL Account" numFmtId="0">
      <sharedItems containsBlank="1"/>
    </cacheField>
    <cacheField name="G/L Description" numFmtId="0">
      <sharedItems containsBlank="1"/>
    </cacheField>
    <cacheField name="Text" numFmtId="0">
      <sharedItems containsBlank="1"/>
    </cacheField>
    <cacheField name="Document Number" numFmtId="0">
      <sharedItems containsBlank="1"/>
    </cacheField>
    <cacheField name="Reference Document Number" numFmtId="0">
      <sharedItems containsBlank="1"/>
    </cacheField>
    <cacheField name="Ref Doc Line" numFmtId="0">
      <sharedItems containsBlank="1"/>
    </cacheField>
    <cacheField name="Posting Date" numFmtId="0">
      <sharedItems containsNonDate="0" containsDate="1" containsString="0" containsBlank="1" minDate="2021-01-11T00:00:00" maxDate="2022-03-09T00:00:00"/>
    </cacheField>
    <cacheField name="Amt Grant Currency" numFmtId="0">
      <sharedItems containsString="0" containsBlank="1" containsNumber="1" minValue="-307910" maxValue="307910"/>
    </cacheField>
    <cacheField name="Grant Currency" numFmtId="0">
      <sharedItems containsBlank="1"/>
    </cacheField>
    <cacheField name="Amt in IOM Currency" numFmtId="0">
      <sharedItems containsString="0" containsBlank="1" containsNumber="1" minValue="-307910" maxValue="307910"/>
    </cacheField>
    <cacheField name="IOM Currency (USD)" numFmtId="0">
      <sharedItems containsBlank="1"/>
    </cacheField>
    <cacheField name="Amt Trans Currency" numFmtId="0">
      <sharedItems containsString="0" containsBlank="1" containsNumber="1" minValue="-100000000" maxValue="150000000"/>
    </cacheField>
    <cacheField name="Trans Currency" numFmtId="0">
      <sharedItems containsBlank="1"/>
    </cacheField>
    <cacheField name="Value Type" numFmtId="0">
      <sharedItems containsBlank="1"/>
    </cacheField>
    <cacheField name="Username" numFmtId="0">
      <sharedItems containsBlank="1"/>
    </cacheField>
    <cacheField name="Accounting Document" numFmtId="0">
      <sharedItems containsBlank="1"/>
    </cacheField>
    <cacheField name="Refkey1 (Orig. Missio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
  <r>
    <s v="CS.1041.MG10.10.01.001"/>
    <x v="0"/>
    <s v="Chief of Mission - P3"/>
    <s v="USD"/>
    <s v="40,032.00"/>
    <s v="0.00"/>
    <n v="42866.32"/>
    <s v="0.00"/>
    <s v="0.00"/>
    <s v="-2,834.32"/>
    <s v="-2,834.32"/>
    <n v="1.07"/>
    <s v="7- %"/>
    <n v="1.07"/>
    <n v="1.07"/>
    <s v="02.12.2019"/>
    <s v="31.12.2021"/>
    <m/>
    <m/>
    <m/>
    <m/>
    <m/>
    <m/>
    <m/>
    <m/>
    <m/>
  </r>
  <r>
    <s v="CS.1041.MG10.10.02.001"/>
    <x v="0"/>
    <s v="Programme Coordinator - P2"/>
    <s v="USD"/>
    <s v="86,472.00"/>
    <s v="0.00"/>
    <n v="91206.43"/>
    <s v="0.00"/>
    <s v="0.00"/>
    <s v="-4,734.43"/>
    <s v="-4,734.43"/>
    <n v="1.05"/>
    <s v="5- %"/>
    <n v="1.05"/>
    <n v="1.05"/>
    <s v="02.12.2019"/>
    <s v="31.12.2021"/>
    <m/>
    <m/>
    <m/>
    <m/>
    <m/>
    <m/>
    <m/>
    <m/>
    <m/>
  </r>
  <r>
    <s v="CS.1041.MG10.11.01.001"/>
    <x v="0"/>
    <s v="National Project Officer - NOA Menabe"/>
    <s v="USD"/>
    <s v="30,585.72"/>
    <s v="0.00"/>
    <n v="27362.59"/>
    <s v="0.00"/>
    <s v="0.00"/>
    <s v="3,223.13"/>
    <s v="3,223.13"/>
    <n v="0.89"/>
    <n v="0.11"/>
    <n v="0.89"/>
    <n v="0.89"/>
    <s v="02.12.2019"/>
    <s v="31.12.2021"/>
    <m/>
    <m/>
    <m/>
    <m/>
    <m/>
    <m/>
    <m/>
    <m/>
    <m/>
  </r>
  <r>
    <s v="CS.1041.MG10.11.01.002"/>
    <x v="0"/>
    <s v="Project Assistant - G5 Antananarivo"/>
    <s v="USD"/>
    <s v="13,805.66"/>
    <s v="0.00"/>
    <n v="12906.58"/>
    <s v="0.00"/>
    <s v="0.00"/>
    <s v="899.08"/>
    <s v="899.08"/>
    <n v="0.93"/>
    <n v="7.0000000000000007E-2"/>
    <n v="0.93"/>
    <n v="0.93"/>
    <s v="02.12.2019"/>
    <s v="31.12.2021"/>
    <m/>
    <m/>
    <m/>
    <m/>
    <m/>
    <m/>
    <m/>
    <m/>
    <m/>
  </r>
  <r>
    <s v="CS.1041.MG10.11.04.001"/>
    <x v="0"/>
    <s v="Admin and Finance Assistant - G6"/>
    <s v="USD"/>
    <s v="5,400.00"/>
    <s v="0.00"/>
    <n v="4237"/>
    <s v="0.00"/>
    <s v="0.00"/>
    <s v="1,163.00"/>
    <s v="1,163.00"/>
    <n v="0.78"/>
    <n v="0.22"/>
    <n v="0.78"/>
    <n v="0.78"/>
    <s v="02.12.2019"/>
    <s v="31.12.2021"/>
    <m/>
    <m/>
    <m/>
    <m/>
    <m/>
    <m/>
    <m/>
    <m/>
    <m/>
  </r>
  <r>
    <s v="CS.1041.MG10.11.04.002"/>
    <x v="0"/>
    <s v="Procurement and Logistics Assistant - G6"/>
    <s v="USD"/>
    <s v="7,970.40"/>
    <s v="0.00"/>
    <n v="6013.55"/>
    <s v="0.00"/>
    <s v="0.00"/>
    <s v="1,956.85"/>
    <s v="1,956.85"/>
    <n v="0.75"/>
    <n v="0.25"/>
    <n v="0.75"/>
    <n v="0.75"/>
    <s v="02.12.2019"/>
    <s v="31.12.2021"/>
    <m/>
    <m/>
    <m/>
    <m/>
    <m/>
    <m/>
    <m/>
    <m/>
    <m/>
  </r>
  <r>
    <s v="CS.1041.MG10.11.06.001"/>
    <x v="0"/>
    <s v="Driver - G3"/>
    <s v="USD"/>
    <s v="1,399.68"/>
    <s v="0.00"/>
    <n v="1300.48"/>
    <s v="0.00"/>
    <s v="0.00"/>
    <s v="99.20"/>
    <s v="99.20"/>
    <n v="0.93"/>
    <n v="7.0000000000000007E-2"/>
    <n v="0.93"/>
    <n v="0.93"/>
    <s v="02.12.2019"/>
    <s v="31.12.2021"/>
    <m/>
    <m/>
    <m/>
    <m/>
    <m/>
    <m/>
    <m/>
    <m/>
    <m/>
  </r>
  <r>
    <s v="CS.1041.MG10.12.01.001"/>
    <x v="1"/>
    <s v="Office rental - Antananarivo"/>
    <s v="USD"/>
    <s v="14,646.00"/>
    <s v="0.00"/>
    <n v="15603.06"/>
    <s v="0.00"/>
    <s v="0.00"/>
    <s v="-957.06"/>
    <s v="-957.06"/>
    <n v="1.07"/>
    <s v="7- %"/>
    <n v="1.07"/>
    <n v="1.07"/>
    <s v="02.12.2019"/>
    <s v="31.12.2021"/>
    <m/>
    <m/>
    <m/>
    <m/>
    <m/>
    <m/>
    <m/>
    <m/>
    <m/>
  </r>
  <r>
    <s v="CS.1041.MG10.12.01.002"/>
    <x v="1"/>
    <s v="Office rental - Morondava"/>
    <s v="USD"/>
    <s v="3,388.80"/>
    <s v="0.00"/>
    <n v="3385.73"/>
    <s v="0.00"/>
    <s v="0.00"/>
    <s v="3.07"/>
    <s v="3.07"/>
    <n v="1"/>
    <n v="0"/>
    <n v="1"/>
    <n v="1"/>
    <s v="02.12.2019"/>
    <s v="31.12.2021"/>
    <m/>
    <m/>
    <m/>
    <m/>
    <m/>
    <m/>
    <m/>
    <m/>
    <m/>
  </r>
  <r>
    <s v="CS.1041.MG10.12.03.001"/>
    <x v="1"/>
    <s v="Communication Costs"/>
    <s v="USD"/>
    <s v="10,800.00"/>
    <s v="0.00"/>
    <n v="7832.42"/>
    <s v="0.00"/>
    <s v="0.00"/>
    <s v="2,967.58"/>
    <s v="2,967.58"/>
    <n v="0.73"/>
    <n v="0.27"/>
    <n v="0.73"/>
    <n v="0.73"/>
    <s v="02.12.2019"/>
    <s v="31.12.2021"/>
    <m/>
    <m/>
    <m/>
    <m/>
    <m/>
    <m/>
    <m/>
    <m/>
    <m/>
  </r>
  <r>
    <s v="CS.1041.MG10.12.04.001"/>
    <x v="1"/>
    <s v="Vehicle Running Costs"/>
    <s v="USD"/>
    <s v="5,130.00"/>
    <s v="0.00"/>
    <n v="1807.99"/>
    <s v="0.00"/>
    <s v="0.00"/>
    <s v="3,322.01"/>
    <s v="3,322.01"/>
    <n v="0.35"/>
    <n v="0.65"/>
    <n v="0.35"/>
    <n v="0.35"/>
    <s v="02.12.2019"/>
    <s v="31.12.2021"/>
    <m/>
    <m/>
    <m/>
    <m/>
    <m/>
    <m/>
    <m/>
    <m/>
    <m/>
  </r>
  <r>
    <s v="CS.1041.MG10.12.06.001"/>
    <x v="1"/>
    <s v="Offices costs (inc. utilities, equipemen"/>
    <s v="USD"/>
    <s v="5,940.00"/>
    <s v="0.00"/>
    <n v="6468.99"/>
    <s v="0.00"/>
    <s v="0.00"/>
    <s v="-528.99"/>
    <s v="-528.99"/>
    <n v="1.0900000000000001"/>
    <s v="9- %"/>
    <n v="1.0900000000000001"/>
    <n v="1.0900000000000001"/>
    <s v="02.12.2019"/>
    <s v="31.12.2021"/>
    <m/>
    <m/>
    <m/>
    <m/>
    <m/>
    <m/>
    <m/>
    <m/>
    <m/>
  </r>
  <r>
    <s v="CS.1041.MG10.12.07.001"/>
    <x v="1"/>
    <s v="Staff Training Costs"/>
    <s v="USD"/>
    <s v="3,000.14"/>
    <s v="0.00"/>
    <n v="117"/>
    <s v="0.00"/>
    <s v="0.00"/>
    <s v="2,883.14"/>
    <s v="2,883.14"/>
    <n v="0.04"/>
    <n v="0.96"/>
    <n v="0.04"/>
    <n v="0.04"/>
    <s v="02.12.2019"/>
    <s v="31.12.2021"/>
    <m/>
    <m/>
    <m/>
    <m/>
    <m/>
    <m/>
    <m/>
    <m/>
    <m/>
  </r>
  <r>
    <s v="CS.1041.MG10.12.09.001"/>
    <x v="1"/>
    <s v="Security Costs (compliance to UN MOSS/MO"/>
    <s v="USD"/>
    <s v="11,289.60"/>
    <s v="0.00"/>
    <n v="8594.59"/>
    <s v="0.00"/>
    <s v="0.00"/>
    <s v="2,695.01"/>
    <s v="2,695.01"/>
    <n v="0.76"/>
    <n v="0.24"/>
    <n v="0.76"/>
    <n v="0.76"/>
    <s v="02.12.2019"/>
    <s v="31.12.2021"/>
    <m/>
    <m/>
    <m/>
    <m/>
    <m/>
    <m/>
    <m/>
    <m/>
    <m/>
  </r>
  <r>
    <s v="CS.1041.MG10.D3.13.001"/>
    <x v="2"/>
    <s v="Financial support infrastructure investm"/>
    <s v="USD"/>
    <s v="84,000.00"/>
    <s v="0.00"/>
    <n v="74294.69"/>
    <s v="0.00"/>
    <s v="0.00"/>
    <s v="9,705.31"/>
    <s v="9,705.31"/>
    <n v="0.88"/>
    <n v="0.12"/>
    <n v="0.88"/>
    <n v="0.88"/>
    <s v="02.12.2019"/>
    <s v="31.12.2021"/>
    <m/>
    <m/>
    <m/>
    <m/>
    <m/>
    <m/>
    <m/>
    <m/>
    <m/>
  </r>
  <r>
    <s v="CS.1041.MG10.D3.18.001"/>
    <x v="3"/>
    <s v="Implementation livelihoods programme"/>
    <s v="USD"/>
    <s v="150,000.00"/>
    <s v="0.00"/>
    <n v="137026.68"/>
    <s v="0.00"/>
    <s v="0.00"/>
    <s v="12,973.32"/>
    <s v="12,973.32"/>
    <n v="0.91"/>
    <n v="0.09"/>
    <n v="0.91"/>
    <n v="0.91"/>
    <s v="02.12.2019"/>
    <s v="31.12.2021"/>
    <m/>
    <m/>
    <m/>
    <m/>
    <m/>
    <m/>
    <m/>
    <m/>
    <m/>
  </r>
  <r>
    <s v="CS.1041.MG10.D3.18.101"/>
    <x v="4"/>
    <s v="Social cohesion activities support - Men"/>
    <s v="USD"/>
    <s v="63,000.00"/>
    <s v="0.00"/>
    <n v="60375.07"/>
    <s v="0.00"/>
    <s v="0.00"/>
    <s v="2,624.93"/>
    <s v="2,624.93"/>
    <n v="0.96"/>
    <n v="0.04"/>
    <n v="0.96"/>
    <n v="0.96"/>
    <s v="02.12.2019"/>
    <s v="31.12.2021"/>
    <m/>
    <m/>
    <m/>
    <m/>
    <m/>
    <m/>
    <m/>
    <m/>
    <m/>
  </r>
  <r>
    <s v="CS.1041.MG10.D3.18.102"/>
    <x v="4"/>
    <s v="Soc. cohesion activities - Tshirts/meals"/>
    <s v="USD"/>
    <s v="2,000.00"/>
    <s v="0.00"/>
    <n v="1437.84"/>
    <s v="0.00"/>
    <s v="0.00"/>
    <s v="562.16"/>
    <s v="562.16"/>
    <n v="0.72"/>
    <n v="0.28000000000000003"/>
    <n v="0.72"/>
    <n v="0.72"/>
    <s v="02.12.2019"/>
    <s v="31.12.2021"/>
    <m/>
    <m/>
    <m/>
    <m/>
    <m/>
    <m/>
    <m/>
    <m/>
    <m/>
  </r>
  <r>
    <s v="CS.1041.MG10.D4.04.001"/>
    <x v="5"/>
    <s v="Mentoring sessions women comitees - Mena"/>
    <s v="USD"/>
    <s v="9,807.00"/>
    <s v="0.00"/>
    <n v="9737.57"/>
    <s v="0.00"/>
    <s v="0.00"/>
    <s v="69.43"/>
    <s v="69.43"/>
    <n v="0.99"/>
    <n v="0.01"/>
    <n v="0.99"/>
    <n v="0.99"/>
    <s v="02.12.2019"/>
    <s v="31.12.2021"/>
    <m/>
    <m/>
    <m/>
    <m/>
    <m/>
    <m/>
    <m/>
    <m/>
    <m/>
  </r>
  <r>
    <s v="CS.1041.MG10.D4.04.002"/>
    <x v="5"/>
    <s v="Capacity buildings for women comitees -"/>
    <s v="USD"/>
    <s v="30,393.00"/>
    <s v="0.00"/>
    <n v="29114.2"/>
    <s v="0.00"/>
    <s v="0.00"/>
    <s v="1,278.80"/>
    <s v="1,278.80"/>
    <n v="0.96"/>
    <n v="0.04"/>
    <n v="0.96"/>
    <n v="0.96"/>
    <s v="02.12.2019"/>
    <s v="31.12.2021"/>
    <m/>
    <m/>
    <m/>
    <m/>
    <m/>
    <m/>
    <m/>
    <m/>
    <m/>
  </r>
  <r>
    <s v="CS.1041.MG10.D4.04.051"/>
    <x v="6"/>
    <s v="Setting up women comitees - Menabe"/>
    <s v="USD"/>
    <s v="4,903.00"/>
    <s v="0.00"/>
    <n v="4903.26"/>
    <s v="0.00"/>
    <s v="0.00"/>
    <s v="-0.26"/>
    <s v="-0.26"/>
    <n v="1"/>
    <n v="0"/>
    <n v="1"/>
    <n v="1"/>
    <s v="02.12.2019"/>
    <s v="31.12.2021"/>
    <m/>
    <m/>
    <m/>
    <m/>
    <m/>
    <m/>
    <m/>
    <m/>
    <m/>
  </r>
  <r>
    <s v="CS.1041.MG10.N1.05.001"/>
    <x v="7"/>
    <s v="Identification needs - venue catering Mo"/>
    <s v="USD"/>
    <s v="500.00"/>
    <s v="0.00"/>
    <n v="2.31"/>
    <s v="0.00"/>
    <s v="0.00"/>
    <s v="497.69"/>
    <s v="497.69"/>
    <n v="0"/>
    <n v="1"/>
    <n v="0"/>
    <n v="0"/>
    <s v="02.12.2019"/>
    <s v="31.12.2021"/>
    <m/>
    <m/>
    <m/>
    <m/>
    <m/>
    <m/>
    <m/>
    <m/>
    <m/>
  </r>
  <r>
    <s v="CS.1041.MG10.N1.05.051"/>
    <x v="8"/>
    <s v="Capacity building workshops -venue cater"/>
    <s v="USD"/>
    <s v="1,000.00"/>
    <s v="0.00"/>
    <n v="6393.28"/>
    <s v="0.00"/>
    <s v="0.00"/>
    <s v="-5,393.28"/>
    <s v="-5,393.28"/>
    <n v="6.39"/>
    <s v="539- %"/>
    <n v="6.39"/>
    <n v="6.39"/>
    <s v="02.12.2019"/>
    <s v="31.12.2021"/>
    <m/>
    <m/>
    <m/>
    <m/>
    <m/>
    <m/>
    <m/>
    <m/>
    <m/>
  </r>
  <r>
    <s v="CS.1041.MG10.N1.05.101"/>
    <x v="9"/>
    <s v="Workshop livelihoods program - venue cat"/>
    <s v="USD"/>
    <s v="550.00"/>
    <s v="0.00"/>
    <n v="550"/>
    <s v="0.00"/>
    <s v="0.00"/>
    <s v="0.00"/>
    <s v="0.00"/>
    <n v="1"/>
    <n v="0"/>
    <n v="1"/>
    <n v="1"/>
    <s v="02.12.2019"/>
    <s v="31.12.2021"/>
    <m/>
    <m/>
    <m/>
    <m/>
    <m/>
    <m/>
    <m/>
    <m/>
    <m/>
  </r>
  <r>
    <s v="CS.1041.MG10.N1.05.152"/>
    <x v="9"/>
    <s v="Workshop livelihoods program - DSA and"/>
    <s v="USD"/>
    <s v="3,050.00"/>
    <s v="0.00"/>
    <n v="3000.33"/>
    <s v="0.00"/>
    <s v="0.00"/>
    <s v="49.67"/>
    <s v="49.67"/>
    <n v="0.98"/>
    <n v="0.02"/>
    <n v="0.98"/>
    <n v="0.98"/>
    <s v="02.12.2019"/>
    <s v="31.12.2021"/>
    <m/>
    <m/>
    <m/>
    <m/>
    <m/>
    <m/>
    <m/>
    <m/>
    <m/>
  </r>
  <r>
    <s v="CS.1041.MG10.N1.05.153"/>
    <x v="8"/>
    <s v="Capacity building workshops - consultant"/>
    <s v="USD"/>
    <s v="7,000.00"/>
    <s v="0.00"/>
    <n v="8746.25"/>
    <s v="0.00"/>
    <s v="0.00"/>
    <s v="-1,746.25"/>
    <s v="-1,746.25"/>
    <n v="1.25"/>
    <s v="25- %"/>
    <n v="1.25"/>
    <n v="1.25"/>
    <s v="02.12.2019"/>
    <s v="31.12.2021"/>
    <m/>
    <m/>
    <m/>
    <m/>
    <m/>
    <m/>
    <m/>
    <m/>
    <m/>
  </r>
  <r>
    <s v="CS.1041.MG10.N1.05.154"/>
    <x v="8"/>
    <s v="Capacity building workshops - flight DSA"/>
    <s v="USD"/>
    <s v="1,300.00"/>
    <s v="0.00"/>
    <n v="3519.03"/>
    <s v="0.00"/>
    <s v="0.00"/>
    <s v="-2,219.03"/>
    <s v="-2,219.03"/>
    <n v="2.71"/>
    <s v="171- %"/>
    <n v="2.71"/>
    <n v="2.71"/>
    <s v="02.12.2019"/>
    <s v="31.12.2021"/>
    <m/>
    <m/>
    <m/>
    <m/>
    <m/>
    <m/>
    <m/>
    <m/>
    <m/>
  </r>
  <r>
    <s v="CS.1041.MG10.N1.05.155"/>
    <x v="7"/>
    <s v="Identification needs - caterig field"/>
    <s v="USD"/>
    <s v="700.00"/>
    <s v="0.00"/>
    <n v="36.630000000000003"/>
    <s v="0.00"/>
    <s v="0.00"/>
    <s v="663.37"/>
    <s v="663.37"/>
    <n v="0.05"/>
    <n v="0.95"/>
    <n v="0.05"/>
    <n v="0.05"/>
    <s v="02.12.2019"/>
    <s v="31.12.2021"/>
    <m/>
    <m/>
    <m/>
    <m/>
    <m/>
    <m/>
    <m/>
    <m/>
    <m/>
  </r>
  <r>
    <s v="CS.1041.MG10.N1.07.001"/>
    <x v="10"/>
    <s v="Support to diffusion research outputs"/>
    <s v="USD"/>
    <s v="6,000.00"/>
    <s v="0.00"/>
    <n v="5767.75"/>
    <s v="0.00"/>
    <s v="0.00"/>
    <s v="232.25"/>
    <s v="232.25"/>
    <n v="0.96"/>
    <n v="0.04"/>
    <n v="0.96"/>
    <n v="0.96"/>
    <s v="02.12.2019"/>
    <s v="31.12.2021"/>
    <m/>
    <m/>
    <m/>
    <m/>
    <m/>
    <m/>
    <m/>
    <m/>
    <m/>
  </r>
  <r>
    <s v="CS.1041.MG10.N1.07.051"/>
    <x v="11"/>
    <s v="Conduct of research"/>
    <s v="USD"/>
    <s v="48,250.00"/>
    <s v="0.00"/>
    <n v="42057.75"/>
    <s v="0.00"/>
    <s v="0.00"/>
    <s v="6,192.25"/>
    <s v="6,192.25"/>
    <n v="0.87"/>
    <n v="0.13"/>
    <n v="0.87"/>
    <n v="0.87"/>
    <s v="02.12.2019"/>
    <s v="31.12.2021"/>
    <m/>
    <m/>
    <m/>
    <m/>
    <m/>
    <m/>
    <m/>
    <m/>
    <m/>
  </r>
  <r>
    <s v="CS.1041.MG10.N1.07.101"/>
    <x v="12"/>
    <s v="Setting up Obersvatory - Transfer IP"/>
    <s v="USD"/>
    <s v="10,600.00"/>
    <s v="0.00"/>
    <n v="7319.6"/>
    <s v="0.00"/>
    <s v="0.00"/>
    <s v="3,280.40"/>
    <s v="3,280.40"/>
    <n v="0.69"/>
    <n v="0.31"/>
    <n v="0.69"/>
    <n v="0.69"/>
    <s v="02.12.2019"/>
    <s v="31.12.2021"/>
    <m/>
    <m/>
    <m/>
    <m/>
    <m/>
    <m/>
    <m/>
    <m/>
    <m/>
  </r>
  <r>
    <s v="CS.1041.MG10.N1.07.102"/>
    <x v="12"/>
    <s v="Setting up Obersvatory - equipment"/>
    <s v="USD"/>
    <s v="10,348.00"/>
    <s v="0.00"/>
    <n v="10370.42"/>
    <s v="0.00"/>
    <s v="0.00"/>
    <s v="-22.42"/>
    <s v="-22.42"/>
    <n v="1"/>
    <n v="0"/>
    <n v="1"/>
    <n v="1"/>
    <s v="02.12.2019"/>
    <s v="31.12.2021"/>
    <m/>
    <m/>
    <m/>
    <m/>
    <m/>
    <m/>
    <m/>
    <m/>
    <m/>
  </r>
  <r>
    <s v="CS.1041.MG10.N1.07.103"/>
    <x v="12"/>
    <s v="Setting up Obersvatory - inauguration"/>
    <s v="USD"/>
    <s v="1,235.00"/>
    <s v="0.00"/>
    <n v="1183.29"/>
    <s v="0.00"/>
    <s v="0.00"/>
    <s v="51.71"/>
    <s v="51.71"/>
    <n v="0.96"/>
    <n v="0.04"/>
    <n v="0.96"/>
    <n v="0.96"/>
    <s v="02.12.2019"/>
    <s v="31.12.2021"/>
    <m/>
    <m/>
    <m/>
    <m/>
    <m/>
    <m/>
    <m/>
    <m/>
    <m/>
  </r>
  <r>
    <s v="CS.1041.MG10.N1.07.104"/>
    <x v="12"/>
    <s v="Capacity building Observatory"/>
    <s v="USD"/>
    <s v="1,183.00"/>
    <s v="0.00"/>
    <n v="1542.23"/>
    <s v="0.00"/>
    <s v="0.00"/>
    <s v="-359.23"/>
    <s v="-359.23"/>
    <n v="1.3"/>
    <s v="30- %"/>
    <n v="1.3"/>
    <n v="1.3"/>
    <s v="02.12.2019"/>
    <s v="31.12.2021"/>
    <m/>
    <m/>
    <m/>
    <m/>
    <m/>
    <m/>
    <m/>
    <m/>
    <m/>
  </r>
  <r>
    <s v="CS.1041.MG10.OH"/>
    <x v="13"/>
    <s v="Overhead"/>
    <s v="USD"/>
    <s v="52,343.92"/>
    <s v="0.00"/>
    <n v="47364.42"/>
    <s v="0.00"/>
    <s v="0.00"/>
    <s v="4,979.50"/>
    <s v="4,979.50"/>
    <n v="0.9"/>
    <n v="0.1"/>
    <n v="0.9"/>
    <n v="0.9"/>
    <s v="02.12.2019"/>
    <s v="31.12.2021"/>
    <m/>
    <m/>
    <m/>
    <m/>
    <m/>
    <m/>
    <m/>
    <m/>
    <m/>
  </r>
  <r>
    <s v="CS.1041.MG10.Q1.03.001"/>
    <x v="14"/>
    <s v="Preparatory assessments - Menabe"/>
    <s v="USD"/>
    <s v="11,623.00"/>
    <s v="0.00"/>
    <n v="10788.13"/>
    <s v="0.00"/>
    <s v="0.00"/>
    <s v="834.87"/>
    <s v="834.87"/>
    <n v="0.93"/>
    <n v="7.0000000000000007E-2"/>
    <n v="0.93"/>
    <n v="0.93"/>
    <s v="02.12.2019"/>
    <s v="31.12.2021"/>
    <m/>
    <m/>
    <m/>
    <m/>
    <m/>
    <m/>
    <m/>
    <m/>
    <m/>
  </r>
  <r>
    <s v="CS.1041.MG10.Q1.05.001"/>
    <x v="14"/>
    <s v="Travel costs monitoring"/>
    <s v="USD"/>
    <s v="11,968.00"/>
    <s v="0.00"/>
    <n v="11878.63"/>
    <s v="0.00"/>
    <s v="0.00"/>
    <s v="89.37"/>
    <s v="89.37"/>
    <n v="0.99"/>
    <n v="0.01"/>
    <n v="0.99"/>
    <n v="0.99"/>
    <s v="02.12.2019"/>
    <s v="31.12.2021"/>
    <m/>
    <m/>
    <m/>
    <m/>
    <m/>
    <m/>
    <m/>
    <m/>
    <m/>
  </r>
  <r>
    <s v="CS.1041.MG10.Q1.05.051"/>
    <x v="15"/>
    <s v="End of project symposium - venue cateri"/>
    <s v="USD"/>
    <s v="4,000.00"/>
    <s v="0.00"/>
    <n v="1951.41"/>
    <s v="0.00"/>
    <s v="0.00"/>
    <s v="2,048.59"/>
    <s v="2,048.59"/>
    <n v="0.49"/>
    <n v="0.51"/>
    <n v="0.49"/>
    <n v="0.49"/>
    <s v="02.12.2019"/>
    <s v="31.12.2021"/>
    <m/>
    <m/>
    <m/>
    <m/>
    <m/>
    <m/>
    <m/>
    <m/>
    <m/>
  </r>
  <r>
    <s v="CS.1041.MG10.Q1.05.052"/>
    <x v="15"/>
    <s v="End of project symposium - DSA flight"/>
    <s v="USD"/>
    <s v="10,200.00"/>
    <s v="0.00"/>
    <n v="10594.04"/>
    <s v="0.00"/>
    <s v="0.00"/>
    <s v="-394.04"/>
    <s v="-394.04"/>
    <n v="1.04"/>
    <s v="4- %"/>
    <n v="1.04"/>
    <n v="1.04"/>
    <s v="02.12.2019"/>
    <s v="31.12.2021"/>
    <m/>
    <m/>
    <m/>
    <m/>
    <m/>
    <m/>
    <m/>
    <m/>
    <m/>
  </r>
  <r>
    <s v="CS.1041.MG10.Q1.05.053"/>
    <x v="15"/>
    <s v="End of project symposium - incidentials"/>
    <s v="USD"/>
    <s v="800.00"/>
    <s v="0.00"/>
    <n v="10.6"/>
    <s v="0.00"/>
    <s v="0.00"/>
    <s v="789.40"/>
    <s v="789.40"/>
    <n v="0.01"/>
    <n v="0.99"/>
    <n v="0.01"/>
    <n v="0.01"/>
    <s v="02.12.2019"/>
    <s v="31.12.2021"/>
    <m/>
    <m/>
    <m/>
    <m/>
    <m/>
    <m/>
    <m/>
    <m/>
    <m/>
  </r>
  <r>
    <s v="CS.1041.MG10.Q2.02.001"/>
    <x v="16"/>
    <s v="Printing and dissemination costs"/>
    <s v="USD"/>
    <s v="500.00"/>
    <s v="0.00"/>
    <n v="491.22"/>
    <s v="0.00"/>
    <s v="0.00"/>
    <s v="8.78"/>
    <s v="8.78"/>
    <n v="0.98"/>
    <n v="0.02"/>
    <n v="0.98"/>
    <n v="0.98"/>
    <s v="02.12.2019"/>
    <s v="31.12.2021"/>
    <m/>
    <m/>
    <m/>
    <m/>
    <m/>
    <m/>
    <m/>
    <m/>
    <m/>
  </r>
  <r>
    <s v="CS.1041.MG10.Q2.03.001"/>
    <x v="17"/>
    <s v="Final Evaluation"/>
    <s v="USD"/>
    <s v="30,000.00"/>
    <s v="0.00"/>
    <n v="28617.96"/>
    <s v="0.00"/>
    <s v="0.00"/>
    <s v="1,382.04"/>
    <s v="1,382.04"/>
    <n v="0.95"/>
    <n v="0.05"/>
    <n v="0.95"/>
    <n v="0.95"/>
    <s v="02.12.2019"/>
    <s v="31.12.2021"/>
    <m/>
    <m/>
    <m/>
    <m/>
    <m/>
    <m/>
    <m/>
    <m/>
    <m/>
  </r>
  <r>
    <s v="CS.1041.MG10.Q2.05.001"/>
    <x v="18"/>
    <s v="Awareness raising campaigns livelihoods"/>
    <s v="USD"/>
    <s v="3,000.00"/>
    <s v="0.00"/>
    <n v="0"/>
    <s v="0.00"/>
    <s v="0.00"/>
    <s v="3,000.00"/>
    <s v="3,000.00"/>
    <n v="0"/>
    <n v="1"/>
    <n v="0"/>
    <n v="0"/>
    <s v="02.12.2019"/>
    <s v="31.12.2021"/>
    <m/>
    <m/>
    <m/>
    <m/>
    <m/>
    <m/>
    <m/>
    <m/>
    <m/>
  </r>
  <r>
    <m/>
    <x v="19"/>
    <m/>
    <m/>
    <m/>
    <m/>
    <n v="748777.32000000018"/>
    <m/>
    <m/>
    <m/>
    <m/>
    <m/>
    <m/>
    <m/>
    <m/>
    <m/>
    <m/>
    <m/>
    <m/>
    <m/>
    <m/>
    <m/>
    <m/>
    <m/>
    <m/>
    <m/>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n v="123306.41999999995"/>
  </r>
  <r>
    <x v="1"/>
    <n v="60375.070000000007"/>
  </r>
  <r>
    <x v="1"/>
    <n v="9421.49"/>
  </r>
  <r>
    <x v="1"/>
    <n v="29114.199999999997"/>
  </r>
  <r>
    <x v="1"/>
    <n v="4903.26"/>
  </r>
  <r>
    <x v="2"/>
    <n v="5767.75"/>
  </r>
  <r>
    <x v="3"/>
    <n v="40874.46"/>
  </r>
  <r>
    <x v="2"/>
    <n v="7267.530000000038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2">
  <r>
    <s v="CS1041TUNPBF"/>
    <s v="TUNPBF000"/>
    <s v="CS.1041"/>
    <s v="MPTF_07"/>
    <s v="GENERAL OPERATING AND OTHER DI"/>
    <x v="0"/>
    <s v="Vehicle Running Costs"/>
    <s v="CS1041TUNPBF"/>
    <s v="303230"/>
    <s v="Rental of vehicles (including taxis)"/>
    <s v="Taxi April"/>
    <s v="1022845773"/>
    <s v="0102413309"/>
    <s v="3"/>
    <d v="2021-05-26T00:00:00"/>
    <n v="9.56"/>
    <s v="USD"/>
    <n v="9.56"/>
    <s v="USD"/>
    <n v="36000"/>
    <s v="MGA"/>
    <s v="99"/>
    <s v="HRANDRIANA"/>
    <s v="2600042229"/>
    <s v="MG10"/>
  </r>
  <r>
    <s v="CS1041TUNPBF"/>
    <s v="TUNPBF000"/>
    <s v="CS.1041"/>
    <s v="MPTF_07"/>
    <s v="GENERAL OPERATING AND OTHER DI"/>
    <x v="1"/>
    <s v="Communication Costs"/>
    <s v="CS1041TUNPBF"/>
    <s v="303010"/>
    <s v="Communications"/>
    <s v="Communication fees April"/>
    <s v="1022845774"/>
    <s v="0102413310"/>
    <s v="3"/>
    <d v="2021-05-26T00:00:00"/>
    <n v="5.31"/>
    <s v="USD"/>
    <n v="5.31"/>
    <s v="USD"/>
    <n v="20000"/>
    <s v="MGA"/>
    <s v="99"/>
    <s v="HRANDRIANA"/>
    <s v="2600042230"/>
    <s v="MG10"/>
  </r>
  <r>
    <s v="CS1041TUNPBF"/>
    <s v="TUNPBF000"/>
    <s v="CS.1041"/>
    <s v="MPTF_07"/>
    <s v="GENERAL OPERATING AND OTHER DI"/>
    <x v="0"/>
    <s v="Vehicle Running Costs"/>
    <s v="CS1041TUNPBF"/>
    <s v="303220"/>
    <s v="Vehicle running costs (fuel, oil)"/>
    <s v="Fuel"/>
    <s v="1023235632"/>
    <s v="0102434443"/>
    <s v="3"/>
    <d v="2021-07-27T00:00:00"/>
    <n v="53.06"/>
    <s v="USD"/>
    <n v="53.06"/>
    <s v="USD"/>
    <n v="200000"/>
    <s v="MGA"/>
    <s v="99"/>
    <s v="HRANDY"/>
    <s v="2600062959"/>
    <s v="MG10"/>
  </r>
  <r>
    <s v="CS1041TUNPBF"/>
    <s v="TUNPBF000"/>
    <s v="CS.1041"/>
    <s v="MPTF_07"/>
    <s v="GENERAL OPERATING AND OTHER DI"/>
    <x v="1"/>
    <s v="Communication Costs"/>
    <s v="CS1041TUNPBF"/>
    <s v="303010"/>
    <s v="Communications"/>
    <s v="Communication Fees june and July"/>
    <s v="1023311542"/>
    <s v="0102439705"/>
    <s v="3"/>
    <d v="2021-08-04T00:00:00"/>
    <n v="10.52"/>
    <s v="USD"/>
    <n v="10.52"/>
    <s v="USD"/>
    <n v="40000"/>
    <s v="MGA"/>
    <s v="99"/>
    <s v="HRANDY"/>
    <s v="2600069554"/>
    <s v="MG10"/>
  </r>
  <r>
    <s v="CS1041TUNPBF"/>
    <s v="TUNPBF000"/>
    <s v="CS.1041"/>
    <s v="MPTF_07"/>
    <s v="GENERAL OPERATING AND OTHER DI"/>
    <x v="0"/>
    <s v="Vehicle Running Costs"/>
    <s v="CS1041TUNPBF"/>
    <s v="303140"/>
    <s v="Utilities (e.g. gas, water, electricity, etc.)"/>
    <s v="Fuel"/>
    <s v="1023311543"/>
    <s v="0102440528"/>
    <s v="3"/>
    <d v="2021-08-10T00:00:00"/>
    <n v="52.6"/>
    <s v="USD"/>
    <n v="52.6"/>
    <s v="USD"/>
    <n v="200000"/>
    <s v="MGA"/>
    <s v="99"/>
    <s v="HRANDY"/>
    <s v="2600069555"/>
    <s v="MG10"/>
  </r>
  <r>
    <s v="CS1041TUNPBF"/>
    <s v="TUNPBF000"/>
    <s v="CS.1041"/>
    <s v="MPTF_07"/>
    <s v="GENERAL OPERATING AND OTHER DI"/>
    <x v="2"/>
    <s v="Offices costs (inc. utilities, equipemen"/>
    <s v="CS1041TUNPBF"/>
    <s v="303310"/>
    <s v="Furniture &amp; Equip Maintenance supplies &amp; services"/>
    <s v="Greeeting card"/>
    <s v="1023384922"/>
    <s v="0102441922"/>
    <s v="3"/>
    <d v="2021-08-16T00:00:00"/>
    <n v="2.1"/>
    <s v="USD"/>
    <n v="2.1"/>
    <s v="USD"/>
    <n v="8000"/>
    <s v="MGA"/>
    <s v="99"/>
    <s v="HRANDY"/>
    <s v="2600074051"/>
    <s v="MG10"/>
  </r>
  <r>
    <s v="CS1041TUNPBF"/>
    <s v="TUNPBF000"/>
    <s v="CS.1041"/>
    <s v="MPTF_07"/>
    <s v="GENERAL OPERATING AND OTHER DI"/>
    <x v="0"/>
    <s v="Vehicle Running Costs"/>
    <s v="CS1041TUNPBF"/>
    <s v="303230"/>
    <s v="Rental of vehicles (including taxis)"/>
    <s v="Taxi por purchase card"/>
    <s v="1023384923"/>
    <s v="0102441923"/>
    <s v="3"/>
    <d v="2021-08-12T00:00:00"/>
    <n v="3.95"/>
    <s v="USD"/>
    <n v="3.95"/>
    <s v="USD"/>
    <n v="15000"/>
    <s v="MGA"/>
    <s v="99"/>
    <s v="HRANDY"/>
    <s v="2600074052"/>
    <s v="MG10"/>
  </r>
  <r>
    <s v="CS1041TUNPBF"/>
    <s v="TUNPBF000"/>
    <s v="CS.1041"/>
    <s v="MPTF_07"/>
    <s v="GENERAL OPERATING AND OTHER DI"/>
    <x v="0"/>
    <s v="Vehicle Running Costs"/>
    <s v="CS1041TUNPBF"/>
    <s v="303310"/>
    <s v="Furniture &amp; Equip Maintenance supplies &amp; services"/>
    <s v="PC Charger"/>
    <s v="1023384924"/>
    <s v="0102441928"/>
    <s v="3"/>
    <d v="2021-08-13T00:00:00"/>
    <n v="18.41"/>
    <s v="USD"/>
    <n v="18.41"/>
    <s v="USD"/>
    <n v="70000"/>
    <s v="MGA"/>
    <s v="99"/>
    <s v="HRANDY"/>
    <s v="2600074053"/>
    <s v="MG10"/>
  </r>
  <r>
    <s v="CS1041TUNPBF"/>
    <s v="TUNPBF000"/>
    <s v="CS.1041"/>
    <s v="MPTF_07"/>
    <s v="GENERAL OPERATING AND OTHER DI"/>
    <x v="2"/>
    <s v="Offices costs (inc. utilities, equipemen"/>
    <s v="CS1041TUNPBF"/>
    <s v="305740"/>
    <s v="Other services"/>
    <s v="printing of business card"/>
    <s v="1023384925"/>
    <s v="0102441930"/>
    <s v="3"/>
    <d v="2021-08-12T00:00:00"/>
    <n v="16.57"/>
    <s v="USD"/>
    <n v="16.57"/>
    <s v="USD"/>
    <n v="63000"/>
    <s v="MGA"/>
    <s v="99"/>
    <s v="HRANDY"/>
    <s v="2600074054"/>
    <s v="MG10"/>
  </r>
  <r>
    <s v="CS1041TUNPBF"/>
    <s v="TUNPBF000"/>
    <s v="CS.1041"/>
    <s v="MPTF_07"/>
    <s v="GENERAL OPERATING AND OTHER DI"/>
    <x v="0"/>
    <s v="Vehicle Running Costs"/>
    <s v="CS1041TUNPBF"/>
    <s v="303010"/>
    <s v="Communications"/>
    <s v="Reimbursment Credit"/>
    <s v="1023385529"/>
    <s v="0102444071"/>
    <s v="3"/>
    <d v="2021-08-25T00:00:00"/>
    <n v="18.940000000000001"/>
    <s v="USD"/>
    <n v="18.940000000000001"/>
    <s v="USD"/>
    <n v="72000"/>
    <s v="MGA"/>
    <s v="99"/>
    <s v="HRANDY"/>
    <s v="2600074058"/>
    <s v="MG10"/>
  </r>
  <r>
    <s v="CS1041TUNPBF"/>
    <s v="TUNPBF000"/>
    <s v="CS.1041"/>
    <s v="MPTF_07"/>
    <s v="GENERAL OPERATING AND OTHER DI"/>
    <x v="1"/>
    <s v="Communication Costs"/>
    <s v="CS1041TUNPBF"/>
    <s v="303230"/>
    <s v="Rental of vehicles (including taxis)"/>
    <s v="Reimbursment Taxi"/>
    <s v="1023385538"/>
    <s v="0102444074"/>
    <s v="3"/>
    <d v="2021-08-25T00:00:00"/>
    <n v="5.26"/>
    <s v="USD"/>
    <n v="5.26"/>
    <s v="USD"/>
    <n v="20000"/>
    <s v="MGA"/>
    <s v="99"/>
    <s v="HRANDY"/>
    <s v="2600074071"/>
    <s v="MG10"/>
  </r>
  <r>
    <s v="CS1041TUNPBF"/>
    <s v="TUNPBF000"/>
    <s v="CS.1041"/>
    <s v="MPTF_07"/>
    <s v="GENERAL OPERATING AND OTHER DI"/>
    <x v="1"/>
    <s v="Communication Costs"/>
    <s v="CS1041TUNPBF"/>
    <s v="303010"/>
    <s v="Communications"/>
    <s v="Reimbursment credit August 21"/>
    <s v="1023385532"/>
    <s v="0102445872"/>
    <s v="3"/>
    <d v="2021-08-31T00:00:00"/>
    <n v="11.05"/>
    <s v="USD"/>
    <n v="11.05"/>
    <s v="USD"/>
    <n v="42000"/>
    <s v="MGA"/>
    <s v="99"/>
    <s v="HRANDY"/>
    <s v="2600074061"/>
    <s v="MG10"/>
  </r>
  <r>
    <s v="CS1041TUNPBF"/>
    <s v="TUNPBF000"/>
    <s v="CS.1041"/>
    <s v="MPTF_07"/>
    <s v="GENERAL OPERATING AND OTHER DI"/>
    <x v="1"/>
    <s v="Communication Costs"/>
    <s v="CS1041TUNPBF"/>
    <s v="303010"/>
    <s v="Communications"/>
    <s v="Reimbursment Credit july and august 21"/>
    <s v="1023385533"/>
    <s v="0102445877"/>
    <s v="3"/>
    <d v="2021-08-31T00:00:00"/>
    <n v="7.89"/>
    <s v="USD"/>
    <n v="7.89"/>
    <s v="USD"/>
    <n v="30000"/>
    <s v="MGA"/>
    <s v="99"/>
    <s v="HRANDY"/>
    <s v="2600074062"/>
    <s v="MG10"/>
  </r>
  <r>
    <s v="CS1041TUNPBF"/>
    <s v="TUNPBF000"/>
    <s v="CS.1041"/>
    <s v="MPTF_07"/>
    <s v="GENERAL OPERATING AND OTHER DI"/>
    <x v="1"/>
    <s v="Communication Costs"/>
    <s v="CS1041TUNPBF"/>
    <s v="303010"/>
    <s v="Communications"/>
    <s v="Reimbursment Credit july and august 21"/>
    <s v="1023385534"/>
    <s v="0102445879"/>
    <s v="3"/>
    <d v="2021-08-31T00:00:00"/>
    <n v="7.89"/>
    <s v="USD"/>
    <n v="7.89"/>
    <s v="USD"/>
    <n v="30000"/>
    <s v="MGA"/>
    <s v="99"/>
    <s v="HRANDY"/>
    <s v="2600074063"/>
    <s v="MG10"/>
  </r>
  <r>
    <s v="CS1041TUNPBF"/>
    <s v="TUNPBF000"/>
    <s v="CS.1041"/>
    <s v="MPTF_07"/>
    <s v="GENERAL OPERATING AND OTHER DI"/>
    <x v="1"/>
    <s v="Communication Costs"/>
    <s v="CS1041TUNPBF"/>
    <s v="303230"/>
    <s v="Rental of vehicles (including taxis)"/>
    <s v="Taxi to deposit Doc at CNRE"/>
    <s v="1023385537"/>
    <s v="0102445896"/>
    <s v="3"/>
    <d v="2021-08-25T00:00:00"/>
    <n v="5.26"/>
    <s v="USD"/>
    <n v="5.26"/>
    <s v="USD"/>
    <n v="20000"/>
    <s v="MGA"/>
    <s v="99"/>
    <s v="HRANDY"/>
    <s v="2600074066"/>
    <s v="MG10"/>
  </r>
  <r>
    <s v="CS1041TUNPBF"/>
    <s v="TUNPBF000"/>
    <s v="CS.1041"/>
    <s v="MPTF_07"/>
    <s v="GENERAL OPERATING AND OTHER DI"/>
    <x v="1"/>
    <s v="Communication Costs"/>
    <s v="CS1041TUNPBF"/>
    <s v="303230"/>
    <s v="Rental of vehicles (including taxis)"/>
    <s v="Taxi fees"/>
    <s v="1023533167"/>
    <s v="0102455252"/>
    <s v="3"/>
    <d v="2021-09-23T00:00:00"/>
    <n v="48.93"/>
    <s v="USD"/>
    <n v="48.93"/>
    <s v="USD"/>
    <n v="188000"/>
    <s v="MGA"/>
    <s v="99"/>
    <s v="HRANDY"/>
    <s v="2600085708"/>
    <s v="MG10"/>
  </r>
  <r>
    <s v="CS1041TUNPBF"/>
    <s v="TUNPBF000"/>
    <s v="CS.1041"/>
    <s v="MPTF_07"/>
    <s v="GENERAL OPERATING AND OTHER DI"/>
    <x v="1"/>
    <s v="Communication Costs"/>
    <s v="CS1041TUNPBF"/>
    <s v="303230"/>
    <s v="Rental of vehicles (including taxis)"/>
    <s v="Taxi Fee August"/>
    <s v="1023533169"/>
    <s v="0102457794"/>
    <s v="3"/>
    <d v="2021-09-23T00:00:00"/>
    <n v="76.78"/>
    <s v="USD"/>
    <n v="76.78"/>
    <s v="USD"/>
    <n v="295000"/>
    <s v="MGA"/>
    <s v="99"/>
    <s v="HRANDY"/>
    <s v="2600085710"/>
    <s v="MG10"/>
  </r>
  <r>
    <s v="CS1041TUNPBF"/>
    <s v="TUNPBF000"/>
    <s v="CS.1041"/>
    <s v="MPTF_07"/>
    <s v="GENERAL OPERATING AND OTHER DI"/>
    <x v="2"/>
    <s v="Offices costs (inc. utilities, equipemen"/>
    <s v="CS1041TUNPBF"/>
    <s v="303230"/>
    <s v="Rental of vehicles (including taxis)"/>
    <s v="Reimbursment Taxi"/>
    <s v="1023813547"/>
    <s v="0102464223"/>
    <s v="3"/>
    <d v="2021-10-01T00:00:00"/>
    <n v="5.09"/>
    <s v="USD"/>
    <n v="5.09"/>
    <s v="USD"/>
    <n v="20000"/>
    <s v="MGA"/>
    <s v="99"/>
    <s v="HRANDY"/>
    <s v="2600096374"/>
    <s v="MG10"/>
  </r>
  <r>
    <s v="CS1041TUNPBF"/>
    <s v="TUNPBF000"/>
    <s v="CS.1041"/>
    <s v="MPTF_07"/>
    <s v="GENERAL OPERATING AND OTHER DI"/>
    <x v="1"/>
    <s v="Communication Costs"/>
    <s v="CS1041TUNPBF"/>
    <s v="303010"/>
    <s v="Communications"/>
    <s v="Reimbursment credit communication sept"/>
    <s v="1023813548"/>
    <s v="0102464224"/>
    <s v="3"/>
    <d v="2021-10-01T00:00:00"/>
    <n v="7.38"/>
    <s v="USD"/>
    <n v="7.38"/>
    <s v="USD"/>
    <n v="29000"/>
    <s v="MGA"/>
    <s v="99"/>
    <s v="HRANDY"/>
    <s v="2600096375"/>
    <s v="MG10"/>
  </r>
  <r>
    <s v="CS1041TUNPBF"/>
    <s v="TUNPBF000"/>
    <s v="CS.1041"/>
    <s v="MPTF_07"/>
    <s v="GENERAL OPERATING AND OTHER DI"/>
    <x v="2"/>
    <s v="Offices costs (inc. utilities, equipemen"/>
    <s v="CS1041TUNPBF"/>
    <s v="303230"/>
    <s v="Rental of vehicles (including taxis)"/>
    <s v="Reimbursment Taxi"/>
    <s v="1023813550"/>
    <s v="0102466038"/>
    <s v="3"/>
    <d v="2021-10-05T00:00:00"/>
    <n v="11.45"/>
    <s v="USD"/>
    <n v="11.45"/>
    <s v="USD"/>
    <n v="45000"/>
    <s v="MGA"/>
    <s v="99"/>
    <s v="HRANDY"/>
    <s v="2600096377"/>
    <s v="MG10"/>
  </r>
  <r>
    <s v="CS1041TUNPBF"/>
    <s v="TUNPBF000"/>
    <s v="CS.1041"/>
    <s v="MPTF_07"/>
    <s v="GENERAL OPERATING AND OTHER DI"/>
    <x v="1"/>
    <s v="Communication Costs"/>
    <s v="CS1041TUNPBF"/>
    <s v="303010"/>
    <s v="Communications"/>
    <s v="Reimbursment credit communication sept"/>
    <s v="1023813551"/>
    <s v="0102466050"/>
    <s v="3"/>
    <d v="2021-10-05T00:00:00"/>
    <n v="12.46"/>
    <s v="USD"/>
    <n v="12.46"/>
    <s v="USD"/>
    <n v="49000"/>
    <s v="MGA"/>
    <s v="99"/>
    <s v="HRANDY"/>
    <s v="2600096378"/>
    <s v="MG10"/>
  </r>
  <r>
    <s v="CS1041TUNPBF"/>
    <s v="TUNPBF000"/>
    <s v="CS.1041"/>
    <s v="MPTF_07"/>
    <s v="GENERAL OPERATING AND OTHER DI"/>
    <x v="1"/>
    <s v="Communication Costs"/>
    <s v="CS1041TUNPBF"/>
    <s v="303010"/>
    <s v="Communications"/>
    <s v="Reimb Credit card Oct"/>
    <s v="1023813571"/>
    <s v="0102466134"/>
    <s v="3"/>
    <d v="2021-10-27T00:00:00"/>
    <n v="5.85"/>
    <s v="USD"/>
    <n v="5.85"/>
    <s v="USD"/>
    <n v="23000"/>
    <s v="MGA"/>
    <s v="99"/>
    <s v="HRANDY"/>
    <s v="2600096398"/>
    <s v="MG10"/>
  </r>
  <r>
    <s v="CS1041TUNPBF"/>
    <s v="TUNPBF000"/>
    <s v="CS.1041"/>
    <s v="MPTF_07"/>
    <s v="GENERAL OPERATING AND OTHER DI"/>
    <x v="1"/>
    <s v="Communication Costs"/>
    <s v="CS1041TUNPBF"/>
    <s v="303010"/>
    <s v="Communications"/>
    <s v="Credit card oct 2021"/>
    <s v="1023813577"/>
    <s v="0102468227"/>
    <s v="3"/>
    <d v="2021-10-31T00:00:00"/>
    <n v="12.21"/>
    <s v="USD"/>
    <n v="12.21"/>
    <s v="USD"/>
    <n v="48000"/>
    <s v="MGA"/>
    <s v="99"/>
    <s v="HRANDY"/>
    <s v="2600096404"/>
    <s v="MG10"/>
  </r>
  <r>
    <s v="CS1041TUNPBF"/>
    <s v="TUNPBF000"/>
    <s v="CS.1041"/>
    <s v="MPTF_07"/>
    <s v="GENERAL OPERATING AND OTHER DI"/>
    <x v="2"/>
    <s v="Offices costs (inc. utilities, equipemen"/>
    <s v="CS1041TUNPBF"/>
    <s v="303220"/>
    <s v="Vehicle running costs (fuel, oil)"/>
    <s v="TAXI"/>
    <s v="1023944112"/>
    <s v="0102478172"/>
    <s v="3"/>
    <d v="2021-11-20T00:00:00"/>
    <n v="10.16"/>
    <s v="USD"/>
    <n v="10.16"/>
    <s v="USD"/>
    <n v="40000"/>
    <s v="MGA"/>
    <s v="99"/>
    <s v="HRANDY"/>
    <s v="2600105659"/>
    <s v="MG10"/>
  </r>
  <r>
    <s v="CS1041TUNPBF"/>
    <s v="TUNPBF000"/>
    <s v="CS.1041"/>
    <s v="MPTF_07"/>
    <s v="GENERAL OPERATING AND OTHER DI"/>
    <x v="2"/>
    <s v="Offices costs (inc. utilities, equipemen"/>
    <s v="CS1041TUNPBF"/>
    <s v="303220"/>
    <s v="Vehicle running costs (fuel, oil)"/>
    <s v="TAXI"/>
    <s v="1023944115"/>
    <s v="0102478176"/>
    <s v="3"/>
    <d v="2021-11-30T00:00:00"/>
    <n v="10.16"/>
    <s v="USD"/>
    <n v="10.16"/>
    <s v="USD"/>
    <n v="40000"/>
    <s v="MGA"/>
    <s v="99"/>
    <s v="HRANDY"/>
    <s v="2600105662"/>
    <s v="MG10"/>
  </r>
  <r>
    <s v="CS1041TUNPBF"/>
    <s v="TUNPBF000"/>
    <s v="CS.1041"/>
    <s v="MPTF_07"/>
    <s v="GENERAL OPERATING AND OTHER DI"/>
    <x v="3"/>
    <s v="End of project symposium - incidentials"/>
    <s v="CS1041TUNPBF"/>
    <s v="305740"/>
    <s v="Other services"/>
    <s v="reimbusment banks feed"/>
    <s v="1024158634"/>
    <s v="0102484348"/>
    <s v="3"/>
    <d v="2021-12-05T00:00:00"/>
    <n v="10.6"/>
    <s v="USD"/>
    <n v="10.6"/>
    <s v="USD"/>
    <n v="42000"/>
    <s v="MGA"/>
    <s v="99"/>
    <s v="HRANDY"/>
    <s v="2600115914"/>
    <s v="MG10"/>
  </r>
  <r>
    <s v="CS1041TUNPBF"/>
    <s v="TUNPBF000"/>
    <s v="CS.1041"/>
    <s v="MPTF_07"/>
    <s v="GENERAL OPERATING AND OTHER DI"/>
    <x v="2"/>
    <s v="Offices costs (inc. utilities, equipemen"/>
    <s v="CS1041TUNPBF"/>
    <s v="303610"/>
    <s v="Bank charges"/>
    <s v="bank fees January"/>
    <s v="1022232273"/>
    <s v="0105163384"/>
    <s v="2"/>
    <d v="2021-01-31T00:00:00"/>
    <n v="35.54"/>
    <s v="USD"/>
    <n v="35.54"/>
    <s v="USD"/>
    <n v="134690.15"/>
    <s v="MGA"/>
    <s v="99"/>
    <s v="HRANDRIANA"/>
    <s v="0105163384"/>
    <s v="MG10"/>
  </r>
  <r>
    <s v="CS1041TUNPBF"/>
    <s v="TUNPBF000"/>
    <s v="CS.1041"/>
    <s v="MPTF_07"/>
    <s v="GENERAL OPERATING AND OTHER DI"/>
    <x v="2"/>
    <s v="Offices costs (inc. utilities, equipemen"/>
    <s v="CS1041TUNPBF"/>
    <s v="303530"/>
    <s v="I.T. Software  License fee"/>
    <s v="IT cost January"/>
    <s v="1022232278"/>
    <s v="0105163389"/>
    <s v="1"/>
    <d v="2021-01-31T00:00:00"/>
    <n v="276.19"/>
    <s v="USD"/>
    <n v="276.19"/>
    <s v="USD"/>
    <n v="276.19"/>
    <s v="USD"/>
    <s v="66"/>
    <s v="HRANDRIANA"/>
    <s v="0105163389"/>
    <s v="MG10"/>
  </r>
  <r>
    <s v="CS1041TUNPBF"/>
    <s v="TUNPBF000"/>
    <s v="CS.1041"/>
    <s v="MPTF_07"/>
    <s v="GENERAL OPERATING AND OTHER DI"/>
    <x v="2"/>
    <s v="Offices costs (inc. utilities, equipemen"/>
    <s v="CS1041TUNPBF"/>
    <s v="303610"/>
    <s v="Bank charges"/>
    <s v="bank fees March"/>
    <s v="1022547809"/>
    <s v="0105278369"/>
    <s v="1"/>
    <d v="2021-03-31T00:00:00"/>
    <n v="85"/>
    <s v="USD"/>
    <n v="85"/>
    <s v="USD"/>
    <n v="318040.14"/>
    <s v="MGA"/>
    <s v="99"/>
    <s v="HRANDRIANA"/>
    <s v="0105278369"/>
    <s v="MG10"/>
  </r>
  <r>
    <s v="CS1041TUNPBF"/>
    <s v="TUNPBF000"/>
    <s v="CS.1041"/>
    <s v="MPTF_07"/>
    <s v="GENERAL OPERATING AND OTHER DI"/>
    <x v="2"/>
    <s v="Offices costs (inc. utilities, equipemen"/>
    <s v="CS1041TUNPBF"/>
    <s v="303610"/>
    <s v="Bank charges"/>
    <s v="bank fees May"/>
    <s v="1022885909"/>
    <s v="0105430407"/>
    <s v="1"/>
    <d v="2021-05-31T00:00:00"/>
    <n v="163.08000000000001"/>
    <s v="USD"/>
    <n v="163.08000000000001"/>
    <s v="USD"/>
    <n v="614316.82999999996"/>
    <s v="MGA"/>
    <s v="99"/>
    <s v="HRANDRIANA"/>
    <s v="0105430407"/>
    <s v="MG10"/>
  </r>
  <r>
    <s v="CS1041TUNPBF"/>
    <s v="TUNPBF000"/>
    <s v="CS.1041"/>
    <s v="MPTF_07"/>
    <s v="GENERAL OPERATING AND OTHER DI"/>
    <x v="2"/>
    <s v="Offices costs (inc. utilities, equipemen"/>
    <s v="CS1041TUNPBF"/>
    <s v="303610"/>
    <s v="Bank charges"/>
    <s v="reversal 105430407"/>
    <s v="1022890210"/>
    <s v="0105431202"/>
    <s v="2"/>
    <d v="2021-05-31T00:00:00"/>
    <n v="-163.08000000000001"/>
    <s v="USD"/>
    <n v="-163.08000000000001"/>
    <s v="USD"/>
    <n v="-614316.82999999996"/>
    <s v="MGA"/>
    <s v="99"/>
    <s v="HRANDRIANA"/>
    <s v="0105431202"/>
    <s v="MG10"/>
  </r>
  <r>
    <s v="CS1041TUNPBF"/>
    <s v="TUNPBF000"/>
    <s v="CS.1041"/>
    <s v="MPTF_07"/>
    <s v="GENERAL OPERATING AND OTHER DI"/>
    <x v="2"/>
    <s v="Offices costs (inc. utilities, equipemen"/>
    <s v="CS1041TUNPBF"/>
    <s v="303610"/>
    <s v="Bank charges"/>
    <s v="bank fees May"/>
    <s v="1022890210"/>
    <s v="0105431202"/>
    <s v="3"/>
    <d v="2021-05-31T00:00:00"/>
    <n v="179"/>
    <s v="USD"/>
    <n v="179"/>
    <s v="USD"/>
    <n v="674316.83"/>
    <s v="MGA"/>
    <s v="99"/>
    <s v="HRANDRIANA"/>
    <s v="0105431202"/>
    <s v="MG10"/>
  </r>
  <r>
    <s v="CS1041TUNPBF"/>
    <s v="TUNPBF000"/>
    <s v="CS.1041"/>
    <s v="MPTF_07"/>
    <s v="GENERAL OPERATING AND OTHER DI"/>
    <x v="2"/>
    <s v="Offices costs (inc. utilities, equipemen"/>
    <s v="CS1041TUNPBF"/>
    <s v="303460"/>
    <s v="Other supplies"/>
    <s v="Sanitezer"/>
    <s v="1023071429"/>
    <s v="0105539977"/>
    <s v="12"/>
    <d v="2021-06-25T00:00:00"/>
    <n v="6.25"/>
    <s v="USD"/>
    <n v="6.25"/>
    <s v="USD"/>
    <n v="6.25"/>
    <s v="USD"/>
    <s v="66"/>
    <s v="HRANDRIANA"/>
    <s v="0105539977"/>
    <s v="MG10"/>
  </r>
  <r>
    <s v="CS1041TUNPBF"/>
    <s v="TUNPBF000"/>
    <s v="CS.1041"/>
    <s v="MPTF_07"/>
    <s v="GENERAL OPERATING AND OTHER DI"/>
    <x v="1"/>
    <s v="Communication Costs"/>
    <s v="CS1041TUNPBF"/>
    <s v="305330"/>
    <s v="Services on Information (printing, distrib.)"/>
    <s v="Printing"/>
    <s v="1023071429"/>
    <s v="0105539977"/>
    <s v="13"/>
    <d v="2021-06-25T00:00:00"/>
    <n v="17.63"/>
    <s v="USD"/>
    <n v="17.63"/>
    <s v="USD"/>
    <n v="17.63"/>
    <s v="USD"/>
    <s v="66"/>
    <s v="HRANDRIANA"/>
    <s v="0105539977"/>
    <s v="MG10"/>
  </r>
  <r>
    <s v="CS1041TUNPBF"/>
    <s v="TUNPBF000"/>
    <s v="CS.1041"/>
    <s v="MPTF_07"/>
    <s v="GENERAL OPERATING AND OTHER DI"/>
    <x v="2"/>
    <s v="Offices costs (inc. utilities, equipemen"/>
    <s v="CS1041TUNPBF"/>
    <s v="303610"/>
    <s v="Bank charges"/>
    <s v="Bank fees June"/>
    <s v="1023112400"/>
    <s v="0105556232"/>
    <s v="1"/>
    <d v="2021-06-30T00:00:00"/>
    <n v="105.4"/>
    <s v="USD"/>
    <n v="105.4"/>
    <s v="USD"/>
    <n v="394672.77"/>
    <s v="MGA"/>
    <s v="99"/>
    <s v="HRANDRIANA"/>
    <s v="0105556232"/>
    <s v="MG10"/>
  </r>
  <r>
    <s v="CS1041TUNPBF"/>
    <s v="TUNPBF000"/>
    <s v="CS.1041"/>
    <s v="MPTF_07"/>
    <s v="GENERAL OPERATING AND OTHER DI"/>
    <x v="4"/>
    <s v="Security Costs (compliance to UN MOSS/MO"/>
    <s v="CS1041TUNPBF"/>
    <s v="305720"/>
    <s v="Security"/>
    <s v="Security guard office TNR November"/>
    <s v="1023144986"/>
    <s v="0105564737"/>
    <s v="2"/>
    <d v="2021-07-07T00:00:00"/>
    <n v="102.84"/>
    <s v="USD"/>
    <n v="102.84"/>
    <s v="USD"/>
    <n v="102.84"/>
    <s v="USD"/>
    <s v="66"/>
    <s v="HRANDRIANA"/>
    <s v="0105564737"/>
    <s v="MG10"/>
  </r>
  <r>
    <s v="CS1041TUNPBF"/>
    <s v="TUNPBF000"/>
    <s v="CS.1041"/>
    <s v="MPTF_07"/>
    <s v="GENERAL OPERATING AND OTHER DI"/>
    <x v="5"/>
    <s v="Soc. cohesion activities - Tshirts/meals"/>
    <s v="CS1041TUNPBF"/>
    <s v="306630"/>
    <s v="Non food items (e.g clothing, kits)"/>
    <s v="Red polo shirts &quot;Komitim-behivavy&quot; with logos of I"/>
    <s v="1023262964"/>
    <s v="0105602334"/>
    <s v="2"/>
    <d v="2021-08-02T00:00:00"/>
    <n v="1437.84"/>
    <s v="USD"/>
    <n v="1437.84"/>
    <s v="USD"/>
    <n v="1437.84"/>
    <s v="USD"/>
    <s v="66"/>
    <s v="HRANDY"/>
    <s v="0105602334"/>
    <s v="MG10"/>
  </r>
  <r>
    <s v="CS1041TUNPBF"/>
    <s v="TUNPBF000"/>
    <s v="CS.1041"/>
    <s v="MPTF_07"/>
    <s v="GENERAL OPERATING AND OTHER DI"/>
    <x v="6"/>
    <s v="Setting up Obersvatory - inauguration"/>
    <s v="CS1041TUNPBF"/>
    <s v="303320"/>
    <s v="Furniture &amp; Equipment Rental"/>
    <s v="Location"/>
    <s v="1023266926"/>
    <s v="0105603298"/>
    <s v="2"/>
    <d v="2021-08-03T00:00:00"/>
    <n v="886.49"/>
    <s v="USD"/>
    <n v="886.49"/>
    <s v="USD"/>
    <n v="886.49"/>
    <s v="USD"/>
    <s v="66"/>
    <s v="HRANDY"/>
    <s v="0105603298"/>
    <s v="MG10"/>
  </r>
  <r>
    <s v="CS1041TUNPBF"/>
    <s v="TUNPBF000"/>
    <s v="CS.1041"/>
    <s v="MPTF_07"/>
    <s v="GENERAL OPERATING AND OTHER DI"/>
    <x v="6"/>
    <s v="Setting up Obersvatory - inauguration"/>
    <s v="CS1041TUNPBF"/>
    <s v="306620"/>
    <s v="Food  &amp; beverages"/>
    <s v="Cocktail pour 60 personnes"/>
    <s v="1023267230"/>
    <s v="0105603302"/>
    <s v="2"/>
    <d v="2021-08-03T00:00:00"/>
    <n v="296.8"/>
    <s v="USD"/>
    <n v="296.8"/>
    <s v="USD"/>
    <n v="296.8"/>
    <s v="USD"/>
    <s v="66"/>
    <s v="HRANDY"/>
    <s v="0105603302"/>
    <s v="MG10"/>
  </r>
  <r>
    <s v="CS1041TUNPBF"/>
    <s v="TUNPBF000"/>
    <s v="CS.1041"/>
    <s v="MPTF_07"/>
    <s v="GENERAL OPERATING AND OTHER DI"/>
    <x v="6"/>
    <s v="Setting up Obersvatory - inauguration"/>
    <s v="CS1041TUNPBF"/>
    <s v="307910"/>
    <s v="Miscellaneous other expenses"/>
    <s v="Printing of Invitation Card for CNRE"/>
    <s v="1023267932"/>
    <s v="0105603477"/>
    <s v="2"/>
    <d v="2021-08-03T00:00:00"/>
    <n v="52.07"/>
    <s v="USD"/>
    <n v="52.07"/>
    <s v="USD"/>
    <n v="52.07"/>
    <s v="USD"/>
    <s v="66"/>
    <s v="HRANDY"/>
    <s v="0105603477"/>
    <s v="MG10"/>
  </r>
  <r>
    <s v="CS1041TUNPBF"/>
    <s v="TUNPBF000"/>
    <s v="CS.1041"/>
    <s v="MPTF_07"/>
    <s v="GENERAL OPERATING AND OTHER DI"/>
    <x v="7"/>
    <s v="Identification needs - caterig field"/>
    <s v="CS1041TUNPBF"/>
    <s v="306620"/>
    <s v="Food  &amp; beverages"/>
    <s v="WATER"/>
    <s v="1023267945"/>
    <s v="0105603510"/>
    <s v="2"/>
    <d v="2021-08-03T00:00:00"/>
    <n v="36.630000000000003"/>
    <s v="USD"/>
    <n v="36.630000000000003"/>
    <s v="USD"/>
    <n v="36.630000000000003"/>
    <s v="USD"/>
    <s v="66"/>
    <s v="HRANDY"/>
    <s v="0105603510"/>
    <s v="MG10"/>
  </r>
  <r>
    <s v="CS1041TUNPBF"/>
    <s v="TUNPBF000"/>
    <s v="CS.1041"/>
    <s v="MPTF_07"/>
    <s v="GENERAL OPERATING AND OTHER DI"/>
    <x v="2"/>
    <s v="Offices costs (inc. utilities, equipemen"/>
    <s v="CS1041TUNPBF"/>
    <s v="303610"/>
    <s v="Bank charges"/>
    <s v="bank fees July"/>
    <s v="1023276108"/>
    <s v="0105605843"/>
    <s v="3"/>
    <d v="2021-07-31T00:00:00"/>
    <n v="82.84"/>
    <s v="USD"/>
    <n v="82.84"/>
    <s v="USD"/>
    <n v="312275.89"/>
    <s v="MGA"/>
    <s v="99"/>
    <s v="HRANDRIANA"/>
    <s v="0105605843"/>
    <s v="MG10"/>
  </r>
  <r>
    <s v="CS1041TUNPBF"/>
    <s v="TUNPBF000"/>
    <s v="CS.1041"/>
    <s v="MPTF_07"/>
    <s v="GENERAL OPERATING AND OTHER DI"/>
    <x v="2"/>
    <s v="Offices costs (inc. utilities, equipemen"/>
    <s v="CS1041TUNPBF"/>
    <s v="303530"/>
    <s v="I.T. Software  License fee"/>
    <s v="IT cost July"/>
    <s v="1023276750"/>
    <s v="0105605983"/>
    <s v="1"/>
    <d v="2021-07-31T00:00:00"/>
    <n v="0.08"/>
    <s v="USD"/>
    <n v="0.08"/>
    <s v="USD"/>
    <n v="309.37"/>
    <s v="MGA"/>
    <s v="66"/>
    <s v="HRANDRIANA"/>
    <s v="0105605983"/>
    <s v="MG10"/>
  </r>
  <r>
    <s v="CS1041TUNPBF"/>
    <s v="TUNPBF000"/>
    <s v="CS.1041"/>
    <s v="MPTF_07"/>
    <s v="GENERAL OPERATING AND OTHER DI"/>
    <x v="2"/>
    <s v="Offices costs (inc. utilities, equipemen"/>
    <s v="CS1041TUNPBF"/>
    <s v="303530"/>
    <s v="I.T. Software  License fee"/>
    <s v="IT cost July"/>
    <s v="1023290220"/>
    <s v="0105610448"/>
    <s v="1"/>
    <d v="2021-07-31T00:00:00"/>
    <n v="309.29000000000002"/>
    <s v="USD"/>
    <n v="309.29000000000002"/>
    <s v="USD"/>
    <n v="309.29000000000002"/>
    <s v="USD"/>
    <s v="66"/>
    <s v="HRANDRIANA"/>
    <s v="0105610448"/>
    <s v="MG10"/>
  </r>
  <r>
    <s v="CS1041TUNPBF"/>
    <s v="TUNPBF000"/>
    <s v="CS.1041"/>
    <s v="MPTF_07"/>
    <s v="GENERAL OPERATING AND OTHER DI"/>
    <x v="6"/>
    <s v="Setting up Obersvatory - inauguration"/>
    <s v="CS1041TUNPBF"/>
    <s v="307910"/>
    <s v="Miscellaneous other expenses"/>
    <s v="reversal 105603477"/>
    <s v="1023297235"/>
    <s v="0105611764"/>
    <s v="2"/>
    <d v="2021-08-09T00:00:00"/>
    <n v="-52.07"/>
    <s v="USD"/>
    <n v="-52.07"/>
    <s v="USD"/>
    <n v="-52.07"/>
    <s v="USD"/>
    <s v="66"/>
    <s v="HRANDRIANA"/>
    <s v="0105611764"/>
    <s v="MG10"/>
  </r>
  <r>
    <s v="CS1041TUNPBF"/>
    <s v="TUNPBF000"/>
    <s v="CS.1041"/>
    <s v="MPTF_07"/>
    <s v="GENERAL OPERATING AND OTHER DI"/>
    <x v="2"/>
    <s v="Offices costs (inc. utilities, equipemen"/>
    <s v="CS1041TUNPBF"/>
    <s v="303530"/>
    <s v="I.T. Software  License fee"/>
    <s v="IT COSTS_AUGUTST 2021_MG10"/>
    <s v="1023434842"/>
    <s v="0105645147"/>
    <s v="1"/>
    <d v="2021-08-31T00:00:00"/>
    <n v="328.51"/>
    <s v="USD"/>
    <n v="328.51"/>
    <s v="USD"/>
    <n v="328.51"/>
    <s v="USD"/>
    <s v="66"/>
    <s v="HRANDY"/>
    <s v="0105645147"/>
    <s v="MG10"/>
  </r>
  <r>
    <s v="CS1041TUNPBF"/>
    <s v="TUNPBF000"/>
    <s v="CS.1041"/>
    <s v="MPTF_07"/>
    <s v="GENERAL OPERATING AND OTHER DI"/>
    <x v="2"/>
    <s v="Offices costs (inc. utilities, equipemen"/>
    <s v="CS1041TUNPBF"/>
    <s v="303610"/>
    <s v="Bank charges"/>
    <s v="BANK FEES AUGUST 2021"/>
    <s v="1023435128"/>
    <s v="0105645278"/>
    <s v="3"/>
    <d v="2021-08-31T00:00:00"/>
    <n v="54.04"/>
    <s v="USD"/>
    <n v="54.04"/>
    <s v="USD"/>
    <n v="205457.6"/>
    <s v="MGA"/>
    <s v="99"/>
    <s v="HRANDY"/>
    <s v="0105645278"/>
    <s v="MG10"/>
  </r>
  <r>
    <s v="CS1041TUNPBF"/>
    <s v="TUNPBF000"/>
    <s v="CS.1041"/>
    <s v="MPTF_07"/>
    <s v="GENERAL OPERATING AND OTHER DI"/>
    <x v="2"/>
    <s v="Offices costs (inc. utilities, equipemen"/>
    <s v="CS1041TUNPBF"/>
    <s v="303610"/>
    <s v="Bank charges"/>
    <s v="BANK FEES AUGUST 2021"/>
    <s v="1023440089"/>
    <s v="0105646138"/>
    <s v="3"/>
    <d v="2021-08-31T00:00:00"/>
    <n v="-54.04"/>
    <s v="USD"/>
    <n v="-54.04"/>
    <s v="USD"/>
    <n v="-205457.6"/>
    <s v="MGA"/>
    <s v="99"/>
    <s v="HRANDY"/>
    <s v="0105646138"/>
    <s v="MG10"/>
  </r>
  <r>
    <s v="CS1041TUNPBF"/>
    <s v="TUNPBF000"/>
    <s v="CS.1041"/>
    <s v="MPTF_07"/>
    <s v="GENERAL OPERATING AND OTHER DI"/>
    <x v="2"/>
    <s v="Offices costs (inc. utilities, equipemen"/>
    <s v="CS1041TUNPBF"/>
    <s v="303610"/>
    <s v="Bank charges"/>
    <s v="NK CHARGE AUG21"/>
    <s v="1023440593"/>
    <s v="0105646147"/>
    <s v="3"/>
    <d v="2021-08-31T00:00:00"/>
    <n v="56.4"/>
    <s v="USD"/>
    <n v="56.4"/>
    <s v="USD"/>
    <n v="214457.60000000001"/>
    <s v="MGA"/>
    <s v="99"/>
    <s v="HRANDY"/>
    <s v="0105646147"/>
    <s v="MG10"/>
  </r>
  <r>
    <s v="CS1041TUNPBF"/>
    <s v="TUNPBF000"/>
    <s v="CS.1041"/>
    <s v="MPTF_07"/>
    <s v="GENERAL OPERATING AND OTHER DI"/>
    <x v="2"/>
    <s v="Offices costs (inc. utilities, equipemen"/>
    <s v="CS1041TUNPBF"/>
    <s v="303530"/>
    <s v="I.T. Software  License fee"/>
    <s v="IT COSTS_SEPT_MG10"/>
    <s v="1023682092"/>
    <s v="0105790364"/>
    <s v="1"/>
    <d v="2021-09-30T00:00:00"/>
    <n v="328.51"/>
    <s v="USD"/>
    <n v="328.51"/>
    <s v="USD"/>
    <n v="328.51"/>
    <s v="USD"/>
    <s v="66"/>
    <s v="HRANDY"/>
    <s v="0105790364"/>
    <s v="MG10"/>
  </r>
  <r>
    <s v="CS1041TUNPBF"/>
    <s v="TUNPBF000"/>
    <s v="CS.1041"/>
    <s v="MPTF_07"/>
    <s v="GENERAL OPERATING AND OTHER DI"/>
    <x v="2"/>
    <s v="Offices costs (inc. utilities, equipemen"/>
    <s v="CS1041TUNPBF"/>
    <s v="303610"/>
    <s v="Bank charges"/>
    <s v="BANK FEES SEPTEMBER 2021"/>
    <s v="1023693208"/>
    <s v="0105793807"/>
    <s v="3"/>
    <d v="2021-09-30T00:00:00"/>
    <n v="76.819999999999993"/>
    <s v="USD"/>
    <n v="76.819999999999993"/>
    <s v="USD"/>
    <n v="295153.33"/>
    <s v="MGA"/>
    <s v="99"/>
    <s v="HRANDY"/>
    <s v="0105793807"/>
    <s v="MG10"/>
  </r>
  <r>
    <s v="CS1041TUNPBF"/>
    <s v="TUNPBF000"/>
    <s v="CS.1041"/>
    <s v="MPTF_07"/>
    <s v="GENERAL OPERATING AND OTHER DI"/>
    <x v="2"/>
    <s v="Offices costs (inc. utilities, equipemen"/>
    <s v="CS1041TUNPBF"/>
    <s v="300110"/>
    <s v="Assignment/Installation grants - officials - HQ on"/>
    <s v="CLR COST CENTER SEPT 202"/>
    <s v="1023700763"/>
    <s v="0105799371"/>
    <s v="1"/>
    <d v="2021-09-30T00:00:00"/>
    <n v="2745"/>
    <s v="USD"/>
    <n v="2745"/>
    <s v="USD"/>
    <n v="2745"/>
    <s v="USD"/>
    <s v="66"/>
    <s v="HRANDY"/>
    <s v="0105799371"/>
    <s v="MG10"/>
  </r>
  <r>
    <s v="CS1041TUNPBF"/>
    <s v="TUNPBF000"/>
    <s v="CS.1041"/>
    <s v="MPTF_07"/>
    <s v="GENERAL OPERATING AND OTHER DI"/>
    <x v="2"/>
    <s v="Offices costs (inc. utilities, equipemen"/>
    <s v="CS1041TUNPBF"/>
    <s v="300110"/>
    <s v="Assignment/Installation grants - officials - HQ on"/>
    <s v="CLR COST CENTER SEPT 202"/>
    <s v="1023700799"/>
    <s v="0105799382"/>
    <s v="1"/>
    <d v="2021-09-30T00:00:00"/>
    <n v="-2745"/>
    <s v="USD"/>
    <n v="-2745"/>
    <s v="USD"/>
    <n v="-2745"/>
    <s v="USD"/>
    <s v="66"/>
    <s v="HRANDY"/>
    <s v="0105799382"/>
    <s v="MG10"/>
  </r>
  <r>
    <s v="CS1041TUNPBF"/>
    <s v="TUNPBF000"/>
    <s v="CS.1041"/>
    <s v="MPTF_07"/>
    <s v="GENERAL OPERATING AND OTHER DI"/>
    <x v="2"/>
    <s v="Offices costs (inc. utilities, equipemen"/>
    <s v="CS1041TUNPBF"/>
    <s v="303610"/>
    <s v="Bank charges"/>
    <s v="Bank fees oct"/>
    <s v="1023826429"/>
    <s v="0105829037"/>
    <s v="1"/>
    <d v="2021-10-31T00:00:00"/>
    <n v="110.06"/>
    <s v="USD"/>
    <n v="110.06"/>
    <s v="USD"/>
    <n v="432736.89"/>
    <s v="MGA"/>
    <s v="99"/>
    <s v="HRANDRIANA"/>
    <s v="0105829037"/>
    <s v="MG10"/>
  </r>
  <r>
    <s v="CS1041TUNPBF"/>
    <s v="TUNPBF000"/>
    <s v="CS.1041"/>
    <s v="MPTF_07"/>
    <s v="GENERAL OPERATING AND OTHER DI"/>
    <x v="2"/>
    <s v="Offices costs (inc. utilities, equipemen"/>
    <s v="CS1041TUNPBF"/>
    <s v="303610"/>
    <s v="Bank charges"/>
    <s v="BANK FEES NOVEMBER 2021"/>
    <s v="1023971668"/>
    <s v="0105859846"/>
    <s v="3"/>
    <d v="2021-12-06T00:00:00"/>
    <n v="86.37"/>
    <s v="USD"/>
    <n v="86.37"/>
    <s v="USD"/>
    <n v="342170.51"/>
    <s v="MGA"/>
    <s v="99"/>
    <s v="HRANDY"/>
    <s v="0105859846"/>
    <s v="MG10"/>
  </r>
  <r>
    <s v="CS1041TUNPBF"/>
    <s v="TUNPBF000"/>
    <s v="CS.1041"/>
    <s v="MPTF_07"/>
    <s v="GENERAL OPERATING AND OTHER DI"/>
    <x v="2"/>
    <s v="Offices costs (inc. utilities, equipemen"/>
    <s v="CS1041TUNPBF"/>
    <s v="303610"/>
    <s v="Bank charges"/>
    <s v="BANK FEES NOVEMBER 2021"/>
    <s v="1023973527"/>
    <s v="0105860614"/>
    <s v="3"/>
    <d v="2021-12-06T00:00:00"/>
    <n v="-86.37"/>
    <s v="USD"/>
    <n v="-86.37"/>
    <s v="USD"/>
    <n v="-342170.51"/>
    <s v="MGA"/>
    <s v="99"/>
    <s v="IMUNYARADZI"/>
    <s v="0105860614"/>
    <s v="MG10"/>
  </r>
  <r>
    <s v="CS1041TUNPBF"/>
    <s v="TUNPBF000"/>
    <s v="CS.1041"/>
    <s v="MPTF_07"/>
    <s v="GENERAL OPERATING AND OTHER DI"/>
    <x v="2"/>
    <s v="Offices costs (inc. utilities, equipemen"/>
    <s v="CS1041TUNPBF"/>
    <s v="303610"/>
    <s v="Bank charges"/>
    <s v="BANK CHARGES NOVEMBER 2021"/>
    <s v="1023973860"/>
    <s v="0105860652"/>
    <s v="3"/>
    <d v="2021-11-30T00:00:00"/>
    <n v="91.49"/>
    <s v="USD"/>
    <n v="91.49"/>
    <s v="USD"/>
    <n v="360177.19"/>
    <s v="MGA"/>
    <s v="99"/>
    <s v="IMUNYARADZI"/>
    <s v="0105860652"/>
    <s v="ZA99"/>
  </r>
  <r>
    <s v="CS1041TUNPBF"/>
    <s v="TUNPBF000"/>
    <s v="CS.1041"/>
    <s v="MPTF_07"/>
    <s v="GENERAL OPERATING AND OTHER DI"/>
    <x v="2"/>
    <s v="Offices costs (inc. utilities, equipemen"/>
    <s v="CS1041TUNPBF"/>
    <s v="303610"/>
    <s v="Bank charges"/>
    <s v="BANK CHARGES NOVEMBER 2021"/>
    <s v="1023973893"/>
    <s v="0105860684"/>
    <s v="3"/>
    <d v="2021-11-30T00:00:00"/>
    <n v="-91.49"/>
    <s v="USD"/>
    <n v="-91.49"/>
    <s v="USD"/>
    <n v="-360177.19"/>
    <s v="MGA"/>
    <s v="99"/>
    <s v="IMUNYARADZI"/>
    <s v="0105860684"/>
    <s v="ZA99"/>
  </r>
  <r>
    <s v="CS1041TUNPBF"/>
    <s v="TUNPBF000"/>
    <s v="CS.1041"/>
    <s v="MPTF_07"/>
    <s v="GENERAL OPERATING AND OTHER DI"/>
    <x v="2"/>
    <s v="Offices costs (inc. utilities, equipemen"/>
    <s v="CS1041TUNPBF"/>
    <s v="303610"/>
    <s v="Bank charges"/>
    <s v="BANK CHARGES NOVEMBER 2021"/>
    <s v="1023973915"/>
    <s v="0105860704"/>
    <s v="3"/>
    <d v="2021-11-30T00:00:00"/>
    <n v="91.49"/>
    <s v="USD"/>
    <n v="91.49"/>
    <s v="USD"/>
    <n v="360177.17"/>
    <s v="MGA"/>
    <s v="99"/>
    <s v="IMUNYARADZI"/>
    <s v="0105860704"/>
    <s v="ZA99"/>
  </r>
  <r>
    <s v="CS1041TUNPBF"/>
    <s v="TUNPBF000"/>
    <s v="CS.1041"/>
    <s v="MPTF_07"/>
    <s v="GENERAL OPERATING AND OTHER DI"/>
    <x v="2"/>
    <s v="Offices costs (inc. utilities, equipemen"/>
    <s v="CS1041TUNPBF"/>
    <s v="303610"/>
    <s v="Bank charges"/>
    <s v="bank fees July to november"/>
    <s v="1024103386"/>
    <s v="0105920655"/>
    <s v="3"/>
    <d v="2021-12-22T00:00:00"/>
    <n v="153.79"/>
    <s v="USD"/>
    <n v="153.79"/>
    <s v="USD"/>
    <n v="153.79"/>
    <s v="USD"/>
    <s v="66"/>
    <s v="HRANDRIANA"/>
    <s v="0105920655"/>
    <s v="MG10"/>
  </r>
  <r>
    <s v="CS1041TUNPBF"/>
    <s v="TUNPBF000"/>
    <s v="CS.1041"/>
    <s v="MPTF_07"/>
    <s v="GENERAL OPERATING AND OTHER DI"/>
    <x v="0"/>
    <s v="Vehicle Running Costs"/>
    <s v="CS1041TUNPBF"/>
    <s v="303210"/>
    <s v="Vehicle maintenance supplies and services"/>
    <s v="Vehicle Repair - Back Door locking"/>
    <s v="1024382392"/>
    <s v="0106086562"/>
    <s v="2"/>
    <d v="2022-01-26T00:00:00"/>
    <n v="110.68"/>
    <s v="USD"/>
    <n v="110.68"/>
    <s v="USD"/>
    <n v="110.68"/>
    <s v="USD"/>
    <s v="66"/>
    <s v="HRANDRIANA"/>
    <s v="0106086562"/>
    <s v="MG10"/>
  </r>
  <r>
    <s v="CS1041TUNPBF"/>
    <s v="TUNPBF000"/>
    <s v="CS.1041"/>
    <s v="MPTF_07"/>
    <s v="GENERAL OPERATING AND OTHER DI"/>
    <x v="8"/>
    <s v="Office rental - Antananarivo"/>
    <s v="CS1041TUNPBF"/>
    <s v="303120"/>
    <s v="Building Rental"/>
    <s v="OFFICE RENT DEC 2021"/>
    <s v="1024382392"/>
    <s v="0106086562"/>
    <s v="4"/>
    <d v="2022-01-26T00:00:00"/>
    <n v="1244.46"/>
    <s v="USD"/>
    <n v="1244.46"/>
    <s v="USD"/>
    <n v="1244.46"/>
    <s v="USD"/>
    <s v="66"/>
    <s v="HRANDRIANA"/>
    <s v="0106086562"/>
    <s v="MG10"/>
  </r>
  <r>
    <s v="CS1041TUNPBF"/>
    <s v="TUNPBF000"/>
    <s v="CS.1041"/>
    <s v="MPTF_07"/>
    <s v="GENERAL OPERATING AND OTHER DI"/>
    <x v="4"/>
    <s v="Security Costs (compliance to UN MOSS/MO"/>
    <s v="CS1041TUNPBF"/>
    <s v="305750"/>
    <s v="Registration/conference/training fees"/>
    <s v="RMBT UNICEF  2021 contingence plan"/>
    <s v="1024382392"/>
    <s v="0106086562"/>
    <s v="6"/>
    <d v="2022-01-26T00:00:00"/>
    <n v="154"/>
    <s v="USD"/>
    <n v="154"/>
    <s v="USD"/>
    <n v="154"/>
    <s v="USD"/>
    <s v="66"/>
    <s v="HRANDRIANA"/>
    <s v="0106086562"/>
    <s v="MG10"/>
  </r>
  <r>
    <s v="CS1041TUNPBF"/>
    <s v="TUNPBF000"/>
    <s v="CS.1041"/>
    <s v="MPTF_07"/>
    <s v="GENERAL OPERATING AND OTHER DI"/>
    <x v="0"/>
    <s v="Vehicle Running Costs"/>
    <s v="CS1041TUNPBF"/>
    <s v="303140"/>
    <s v="Utilities (e.g. gas, water, electricity, etc.)"/>
    <s v="ELECTRICITY JULY 21"/>
    <s v="1024382392"/>
    <s v="0106086562"/>
    <s v="8"/>
    <d v="2022-01-26T00:00:00"/>
    <n v="69.84"/>
    <s v="USD"/>
    <n v="69.84"/>
    <s v="USD"/>
    <n v="69.84"/>
    <s v="USD"/>
    <s v="66"/>
    <s v="HRANDRIANA"/>
    <s v="0106086562"/>
    <s v="MG10"/>
  </r>
  <r>
    <s v="CS1041TUNPBF"/>
    <s v="TUNPBF000"/>
    <s v="CS.1041"/>
    <s v="MPTF_07"/>
    <s v="GENERAL OPERATING AND OTHER DI"/>
    <x v="4"/>
    <s v="Security Costs (compliance to UN MOSS/MO"/>
    <s v="CS1041TUNPBF"/>
    <s v="305720"/>
    <s v="Security"/>
    <s v="Security guard TNR"/>
    <s v="1024382392"/>
    <s v="0106086562"/>
    <s v="10"/>
    <d v="2022-01-26T00:00:00"/>
    <n v="105.28"/>
    <s v="USD"/>
    <n v="105.28"/>
    <s v="USD"/>
    <n v="105.28"/>
    <s v="USD"/>
    <s v="66"/>
    <s v="HRANDRIANA"/>
    <s v="0106086562"/>
    <s v="MG10"/>
  </r>
  <r>
    <s v="CS1041TUNPBF"/>
    <s v="TUNPBF000"/>
    <s v="CS.1041"/>
    <s v="MPTF_07"/>
    <s v="GENERAL OPERATING AND OTHER DI"/>
    <x v="0"/>
    <s v="Vehicle Running Costs"/>
    <s v="CS1041TUNPBF"/>
    <s v="303220"/>
    <s v="Vehicle running costs (fuel, oil)"/>
    <s v="FUEL"/>
    <s v="1024382585"/>
    <s v="0106086602"/>
    <s v="2"/>
    <d v="2022-01-26T00:00:00"/>
    <n v="53.3"/>
    <s v="USD"/>
    <n v="53.3"/>
    <s v="USD"/>
    <n v="53.3"/>
    <s v="USD"/>
    <s v="66"/>
    <s v="HRANDRIANA"/>
    <s v="0106086602"/>
    <s v="MG10"/>
  </r>
  <r>
    <s v="CS1041TUNPBF"/>
    <s v="TUNPBF000"/>
    <s v="CS.1041"/>
    <s v="MPTF_07"/>
    <s v="GENERAL OPERATING AND OTHER DI"/>
    <x v="8"/>
    <s v="Office rental - Antananarivo"/>
    <s v="CS1041TUNPBF"/>
    <s v="303120"/>
    <s v="Building Rental"/>
    <s v="OFFICE RENT JAN 2021"/>
    <s v="1024383508"/>
    <s v="0106086744"/>
    <s v="3"/>
    <d v="2022-01-26T00:00:00"/>
    <n v="456.44"/>
    <s v="USD"/>
    <n v="456.44"/>
    <s v="USD"/>
    <n v="456.44"/>
    <s v="USD"/>
    <s v="66"/>
    <s v="HRANDRIANA"/>
    <s v="0106086744"/>
    <s v="MG10"/>
  </r>
  <r>
    <s v="CS1041TUNPBF"/>
    <s v="TUNPBF000"/>
    <s v="CS.1041"/>
    <s v="MPTF_07"/>
    <s v="GENERAL OPERATING AND OTHER DI"/>
    <x v="8"/>
    <s v="Office rental - Antananarivo"/>
    <s v="CS1041TUNPBF"/>
    <s v="303120"/>
    <s v="Building Rental"/>
    <s v="OFFICE RENT AUGUST 2021"/>
    <s v="1024383508"/>
    <s v="0106086744"/>
    <s v="6"/>
    <d v="2022-01-26T00:00:00"/>
    <n v="108.6"/>
    <s v="USD"/>
    <n v="108.6"/>
    <s v="USD"/>
    <n v="108.6"/>
    <s v="USD"/>
    <s v="66"/>
    <s v="HRANDRIANA"/>
    <s v="0106086744"/>
    <s v="MG10"/>
  </r>
  <r>
    <s v="CS1041TUNPBF"/>
    <s v="TUNPBF000"/>
    <s v="CS.1041"/>
    <s v="MPTF_07"/>
    <s v="GENERAL OPERATING AND OTHER DI"/>
    <x v="8"/>
    <s v="Office rental - Antananarivo"/>
    <s v="CS1041TUNPBF"/>
    <s v="303120"/>
    <s v="Building Rental"/>
    <s v="OFFICE RENT APRIL 2021"/>
    <s v="1024383508"/>
    <s v="0106086744"/>
    <s v="8"/>
    <d v="2022-01-26T00:00:00"/>
    <n v="108.45"/>
    <s v="USD"/>
    <n v="108.45"/>
    <s v="USD"/>
    <n v="108.45"/>
    <s v="USD"/>
    <s v="66"/>
    <s v="HRANDRIANA"/>
    <s v="0106086744"/>
    <s v="MG10"/>
  </r>
  <r>
    <s v="CS1041TUNPBF"/>
    <s v="TUNPBF000"/>
    <s v="CS.1041"/>
    <s v="MPTF_07"/>
    <s v="GENERAL OPERATING AND OTHER DI"/>
    <x v="8"/>
    <s v="Office rental - Antananarivo"/>
    <s v="CS1041TUNPBF"/>
    <s v="303120"/>
    <s v="Building Rental"/>
    <s v="OFFICE RENT JULY 2021"/>
    <s v="1024383537"/>
    <s v="0106086750"/>
    <s v="2"/>
    <d v="2022-01-26T00:00:00"/>
    <n v="108.98"/>
    <s v="USD"/>
    <n v="108.98"/>
    <s v="USD"/>
    <n v="108.98"/>
    <s v="USD"/>
    <s v="66"/>
    <s v="HRANDRIANA"/>
    <s v="0106086750"/>
    <s v="MG10"/>
  </r>
  <r>
    <s v="CS1041TUNPBF"/>
    <s v="TUNPBF000"/>
    <s v="CS.1041"/>
    <s v="MPTF_07"/>
    <s v="GENERAL OPERATING AND OTHER DI"/>
    <x v="8"/>
    <s v="Office rental - Antananarivo"/>
    <s v="CS1041TUNPBF"/>
    <s v="303120"/>
    <s v="Building Rental"/>
    <s v="Office Rent TANA DECEMBER 2020"/>
    <s v="1024383537"/>
    <s v="0106086750"/>
    <s v="4"/>
    <d v="2022-01-26T00:00:00"/>
    <n v="450.38"/>
    <s v="USD"/>
    <n v="450.38"/>
    <s v="USD"/>
    <n v="450.38"/>
    <s v="USD"/>
    <s v="66"/>
    <s v="HRANDRIANA"/>
    <s v="0106086750"/>
    <s v="MG10"/>
  </r>
  <r>
    <s v="CS1041TUNPBF"/>
    <s v="TUNPBF000"/>
    <s v="CS.1041"/>
    <s v="MPTF_07"/>
    <s v="GENERAL OPERATING AND OTHER DI"/>
    <x v="2"/>
    <s v="Offices costs (inc. utilities, equipemen"/>
    <s v="CS1041TUNPBF"/>
    <s v="303510"/>
    <s v="I.T. Maintenance supplies and services"/>
    <s v="Keyboard replacement for HP"/>
    <s v="1024383537"/>
    <s v="0106086750"/>
    <s v="6"/>
    <d v="2022-01-26T00:00:00"/>
    <n v="69.48"/>
    <s v="USD"/>
    <n v="69.48"/>
    <s v="USD"/>
    <n v="69.48"/>
    <s v="USD"/>
    <s v="66"/>
    <s v="HRANDRIANA"/>
    <s v="0106086750"/>
    <s v="MG10"/>
  </r>
  <r>
    <s v="CS1041TUNPBF"/>
    <s v="TUNPBF000"/>
    <s v="CS.1041"/>
    <s v="MPTF_07"/>
    <s v="GENERAL OPERATING AND OTHER DI"/>
    <x v="8"/>
    <s v="Office rental - Antananarivo"/>
    <s v="CS1041TUNPBF"/>
    <s v="303120"/>
    <s v="Building Rental"/>
    <s v="reversal 1901356782"/>
    <s v="1024173470"/>
    <s v="1700379310"/>
    <s v="3"/>
    <d v="2021-12-01T00:00:00"/>
    <n v="-1252.3900000000001"/>
    <s v="USD"/>
    <n v="-1252.3900000000001"/>
    <s v="USD"/>
    <n v="-1252.3900000000001"/>
    <s v="USD"/>
    <s v="99"/>
    <s v="HRANDRIANA"/>
    <s v="1700379310"/>
    <s v="MG10"/>
  </r>
  <r>
    <s v="CS1041TUNPBF"/>
    <s v="TUNPBF000"/>
    <s v="CS.1041"/>
    <s v="MPTF_07"/>
    <s v="GENERAL OPERATING AND OTHER DI"/>
    <x v="1"/>
    <s v="Communication Costs"/>
    <s v="CS1041TUNPBF"/>
    <s v="303010"/>
    <s v="Communications"/>
    <s v="reversal 1901356782"/>
    <s v="1024173470"/>
    <s v="1700379310"/>
    <s v="5"/>
    <d v="2021-12-01T00:00:00"/>
    <n v="-33.5"/>
    <s v="USD"/>
    <n v="-33.5"/>
    <s v="USD"/>
    <n v="-33.5"/>
    <s v="USD"/>
    <s v="99"/>
    <s v="HRANDRIANA"/>
    <s v="1700379310"/>
    <s v="MG10"/>
  </r>
  <r>
    <s v="CS1041TUNPBF"/>
    <s v="TUNPBF000"/>
    <s v="CS.1041"/>
    <s v="MPTF_07"/>
    <s v="GENERAL OPERATING AND OTHER DI"/>
    <x v="8"/>
    <s v="Office rental - Antananarivo"/>
    <s v="CS1041TUNPBF"/>
    <s v="303120"/>
    <s v="Building Rental"/>
    <s v="reversal 1901365166"/>
    <s v="1024173475"/>
    <s v="1700379312"/>
    <s v="3"/>
    <d v="2021-12-02T00:00:00"/>
    <n v="-414.82"/>
    <s v="USD"/>
    <n v="-414.82"/>
    <s v="USD"/>
    <n v="-414.82"/>
    <s v="USD"/>
    <s v="99"/>
    <s v="HRANDRIANA"/>
    <s v="1700379312"/>
    <s v="MG10"/>
  </r>
  <r>
    <s v="CS1041TUNPBF"/>
    <s v="TUNPBF000"/>
    <s v="CS.1041"/>
    <s v="MPTF_07"/>
    <s v="GENERAL OPERATING AND OTHER DI"/>
    <x v="4"/>
    <s v="Security Costs (compliance to UN MOSS/MO"/>
    <s v="CS1041TUNPBF"/>
    <s v="305720"/>
    <s v="Security"/>
    <s v="Security guard December"/>
    <s v="1022066592"/>
    <s v="1901114063"/>
    <s v="2"/>
    <d v="2021-01-14T00:00:00"/>
    <n v="208.44"/>
    <s v="USD"/>
    <n v="208.44"/>
    <s v="USD"/>
    <n v="790000"/>
    <s v="MGA"/>
    <s v="99"/>
    <s v="HRANDRIANA"/>
    <s v="1901114063"/>
    <s v="MG10"/>
  </r>
  <r>
    <s v="CS1041TUNPBF"/>
    <s v="TUNPBF000"/>
    <s v="CS.1041"/>
    <s v="MPTF_07"/>
    <s v="GENERAL OPERATING AND OTHER DI"/>
    <x v="4"/>
    <s v="Security Costs (compliance to UN MOSS/MO"/>
    <s v="CS1041TUNPBF"/>
    <s v="305720"/>
    <s v="Security"/>
    <s v="Security guard TNR January"/>
    <s v="1022300380"/>
    <s v="1901131614"/>
    <s v="2"/>
    <d v="2021-02-11T00:00:00"/>
    <n v="105.28"/>
    <s v="USD"/>
    <n v="105.28"/>
    <s v="USD"/>
    <n v="395000"/>
    <s v="MGA"/>
    <s v="99"/>
    <s v="HRANDRIANA"/>
    <s v="1901131614"/>
    <s v="MG10"/>
  </r>
  <r>
    <s v="CS1041TUNPBF"/>
    <s v="TUNPBF000"/>
    <s v="CS.1041"/>
    <s v="MPTF_07"/>
    <s v="GENERAL OPERATING AND OTHER DI"/>
    <x v="2"/>
    <s v="Offices costs (inc. utilities, equipemen"/>
    <s v="CS1041TUNPBF"/>
    <s v="303140"/>
    <s v="Utilities (e.g. gas, water, electricity, etc.)"/>
    <s v="Electricity December 2020"/>
    <s v="1022300426"/>
    <s v="1901131680"/>
    <s v="2"/>
    <d v="2021-02-11T00:00:00"/>
    <n v="93.21"/>
    <s v="USD"/>
    <n v="93.21"/>
    <s v="USD"/>
    <n v="349736"/>
    <s v="MGA"/>
    <s v="99"/>
    <s v="HRANDRIANA"/>
    <s v="1901131680"/>
    <s v="MG10"/>
  </r>
  <r>
    <s v="CS1041TUNPBF"/>
    <s v="TUNPBF000"/>
    <s v="CS.1041"/>
    <s v="MPTF_07"/>
    <s v="GENERAL OPERATING AND OTHER DI"/>
    <x v="2"/>
    <s v="Offices costs (inc. utilities, equipemen"/>
    <s v="CS1041TUNPBF"/>
    <s v="303020"/>
    <s v="Postage"/>
    <s v="Postage to Manila"/>
    <s v="1022332389"/>
    <s v="1901136820"/>
    <s v="5"/>
    <d v="2021-02-19T00:00:00"/>
    <n v="69.23"/>
    <s v="USD"/>
    <n v="69.23"/>
    <s v="USD"/>
    <n v="259735.2"/>
    <s v="MGA"/>
    <s v="99"/>
    <s v="HRANDRIANA"/>
    <s v="1901136820"/>
    <s v="MG10"/>
  </r>
  <r>
    <s v="CS1041TUNPBF"/>
    <s v="TUNPBF000"/>
    <s v="CS.1041"/>
    <s v="MPTF_07"/>
    <s v="GENERAL OPERATING AND OTHER DI"/>
    <x v="1"/>
    <s v="Communication Costs"/>
    <s v="CS1041TUNPBF"/>
    <s v="303010"/>
    <s v="Communications"/>
    <s v="Communication fees Giacomo"/>
    <s v="1022412745"/>
    <s v="1901147797"/>
    <s v="3"/>
    <d v="2021-03-05T00:00:00"/>
    <n v="10.69"/>
    <s v="USD"/>
    <n v="10.69"/>
    <s v="USD"/>
    <n v="40000"/>
    <s v="MGA"/>
    <s v="99"/>
    <s v="HRANDRIANA"/>
    <s v="1901147797"/>
    <s v="MG10"/>
  </r>
  <r>
    <s v="CS1041TUNPBF"/>
    <s v="TUNPBF000"/>
    <s v="CS.1041"/>
    <s v="MPTF_07"/>
    <s v="GENERAL OPERATING AND OTHER DI"/>
    <x v="2"/>
    <s v="Offices costs (inc. utilities, equipemen"/>
    <s v="CS1041TUNPBF"/>
    <s v="305330"/>
    <s v="Services on Information (printing, distrib.)"/>
    <s v="printing"/>
    <s v="1022412745"/>
    <s v="1901147797"/>
    <s v="4"/>
    <d v="2021-03-05T00:00:00"/>
    <n v="5.21"/>
    <s v="USD"/>
    <n v="5.21"/>
    <s v="USD"/>
    <n v="19500"/>
    <s v="MGA"/>
    <s v="99"/>
    <s v="HRANDRIANA"/>
    <s v="1901147797"/>
    <s v="MG10"/>
  </r>
  <r>
    <s v="CS1041TUNPBF"/>
    <s v="TUNPBF000"/>
    <s v="CS.1041"/>
    <s v="MPTF_07"/>
    <s v="GENERAL OPERATING AND OTHER DI"/>
    <x v="1"/>
    <s v="Communication Costs"/>
    <s v="CS1041TUNPBF"/>
    <s v="303010"/>
    <s v="Communications"/>
    <s v="communication fees February"/>
    <s v="1022457551"/>
    <s v="1901153857"/>
    <s v="2"/>
    <d v="2021-03-15T00:00:00"/>
    <n v="13.36"/>
    <s v="USD"/>
    <n v="13.36"/>
    <s v="USD"/>
    <n v="50000"/>
    <s v="MGA"/>
    <s v="99"/>
    <s v="HRANDRIANA"/>
    <s v="1901153857"/>
    <s v="MG10"/>
  </r>
  <r>
    <s v="CS1041TUNPBF"/>
    <s v="TUNPBF000"/>
    <s v="CS.1041"/>
    <s v="MPTF_07"/>
    <s v="GENERAL OPERATING AND OTHER DI"/>
    <x v="4"/>
    <s v="Security Costs (compliance to UN MOSS/MO"/>
    <s v="CS1041TUNPBF"/>
    <s v="305740"/>
    <s v="Other services"/>
    <s v="Contigence plan UN"/>
    <s v="1022525013"/>
    <s v="1901165618"/>
    <s v="2"/>
    <d v="2021-03-31T00:00:00"/>
    <n v="442.75"/>
    <s v="USD"/>
    <n v="442.75"/>
    <s v="USD"/>
    <n v="442.75"/>
    <s v="USD"/>
    <s v="99"/>
    <s v="HRANDRIANA"/>
    <s v="1901165618"/>
    <s v="MG10"/>
  </r>
  <r>
    <s v="CS1041TUNPBF"/>
    <s v="TUNPBF000"/>
    <s v="CS.1041"/>
    <s v="MPTF_07"/>
    <s v="GENERAL OPERATING AND OTHER DI"/>
    <x v="1"/>
    <s v="Communication Costs"/>
    <s v="CS1041TUNPBF"/>
    <s v="303010"/>
    <s v="Communications"/>
    <s v="communication fees Ranja March"/>
    <s v="1022564349"/>
    <s v="1901172227"/>
    <s v="2"/>
    <d v="2021-04-08T00:00:00"/>
    <n v="13.2"/>
    <s v="USD"/>
    <n v="13.2"/>
    <s v="USD"/>
    <n v="50000"/>
    <s v="MGA"/>
    <s v="99"/>
    <s v="HRANDRIANA"/>
    <s v="1901172227"/>
    <s v="MG10"/>
  </r>
  <r>
    <s v="CS1041TUNPBF"/>
    <s v="TUNPBF000"/>
    <s v="CS.1041"/>
    <s v="MPTF_07"/>
    <s v="GENERAL OPERATING AND OTHER DI"/>
    <x v="4"/>
    <s v="Security Costs (compliance to UN MOSS/MO"/>
    <s v="CS1041TUNPBF"/>
    <s v="305720"/>
    <s v="Security"/>
    <s v="Security guard TNR April"/>
    <s v="1022639929"/>
    <s v="1901175985"/>
    <s v="3"/>
    <d v="2021-04-14T00:00:00"/>
    <n v="41.71"/>
    <s v="USD"/>
    <n v="41.71"/>
    <s v="USD"/>
    <n v="158000"/>
    <s v="MGA"/>
    <s v="99"/>
    <s v="HRANDRIANA"/>
    <s v="1901175985"/>
    <s v="MG10"/>
  </r>
  <r>
    <s v="CS1041TUNPBF"/>
    <s v="TUNPBF000"/>
    <s v="CS.1041"/>
    <s v="MPTF_07"/>
    <s v="GENERAL OPERATING AND OTHER DI"/>
    <x v="1"/>
    <s v="Communication Costs"/>
    <s v="CS1041TUNPBF"/>
    <s v="303010"/>
    <s v="Communications"/>
    <s v="Communication fees March Diana"/>
    <s v="1022687002"/>
    <s v="1901178668"/>
    <s v="2"/>
    <d v="2021-04-19T00:00:00"/>
    <n v="13.2"/>
    <s v="USD"/>
    <n v="13.2"/>
    <s v="USD"/>
    <n v="50000"/>
    <s v="MGA"/>
    <s v="99"/>
    <s v="HRANDRIANA"/>
    <s v="1901178668"/>
    <s v="MG10"/>
  </r>
  <r>
    <s v="CS1041TUNPBF"/>
    <s v="TUNPBF000"/>
    <s v="CS.1041"/>
    <s v="MPTF_07"/>
    <s v="GENERAL OPERATING AND OTHER DI"/>
    <x v="0"/>
    <s v="Vehicle Running Costs"/>
    <s v="CS1041TUNPBF"/>
    <s v="303230"/>
    <s v="Rental of vehicles (including taxis)"/>
    <s v="Taxi Diana March"/>
    <s v="1022687002"/>
    <s v="1901178668"/>
    <s v="3"/>
    <d v="2021-04-19T00:00:00"/>
    <n v="10.029999999999999"/>
    <s v="USD"/>
    <n v="10.029999999999999"/>
    <s v="USD"/>
    <n v="38000"/>
    <s v="MGA"/>
    <s v="99"/>
    <s v="HRANDRIANA"/>
    <s v="1901178668"/>
    <s v="MG10"/>
  </r>
  <r>
    <s v="CS1041TUNPBF"/>
    <s v="TUNPBF000"/>
    <s v="CS.1041"/>
    <s v="MPTF_07"/>
    <s v="GENERAL OPERATING AND OTHER DI"/>
    <x v="1"/>
    <s v="Communication Costs"/>
    <s v="CS1041TUNPBF"/>
    <s v="303030"/>
    <s v="E-Mail / Internet/dataline charges"/>
    <s v="VSAT TNR"/>
    <s v="1022709574"/>
    <s v="1901182405"/>
    <s v="2"/>
    <d v="2021-04-23T00:00:00"/>
    <n v="3429.15"/>
    <s v="USD"/>
    <n v="3429.15"/>
    <s v="USD"/>
    <n v="3429.15"/>
    <s v="USD"/>
    <s v="99"/>
    <s v="HRANDRIANA"/>
    <s v="1901182405"/>
    <s v="MG10"/>
  </r>
  <r>
    <s v="CS1041TUNPBF"/>
    <s v="TUNPBF000"/>
    <s v="CS.1041"/>
    <s v="MPTF_07"/>
    <s v="GENERAL OPERATING AND OTHER DI"/>
    <x v="1"/>
    <s v="Communication Costs"/>
    <s v="CS1041TUNPBF"/>
    <s v="303010"/>
    <s v="Communications"/>
    <s v="Communication fees Ranja april"/>
    <s v="1022760750"/>
    <s v="1901190105"/>
    <s v="2"/>
    <d v="2021-05-04T00:00:00"/>
    <n v="13.27"/>
    <s v="USD"/>
    <n v="13.27"/>
    <s v="USD"/>
    <n v="50000"/>
    <s v="MGA"/>
    <s v="99"/>
    <s v="HRANDRIANA"/>
    <s v="1901190105"/>
    <s v="MG10"/>
  </r>
  <r>
    <s v="CS1041TUNPBF"/>
    <s v="TUNPBF000"/>
    <s v="CS.1041"/>
    <s v="MPTF_07"/>
    <s v="GENERAL OPERATING AND OTHER DI"/>
    <x v="1"/>
    <s v="Communication Costs"/>
    <s v="CS1041TUNPBF"/>
    <s v="303030"/>
    <s v="E-Mail / Internet/dataline charges"/>
    <s v="connection April"/>
    <s v="1022765932"/>
    <s v="1901190935"/>
    <s v="3"/>
    <d v="2021-04-27T00:00:00"/>
    <n v="55.43"/>
    <s v="USD"/>
    <n v="55.43"/>
    <s v="USD"/>
    <n v="210000"/>
    <s v="MGA"/>
    <s v="99"/>
    <s v="HRANDRIANA"/>
    <s v="1901190935"/>
    <s v="MG10"/>
  </r>
  <r>
    <s v="CS1041TUNPBF"/>
    <s v="TUNPBF000"/>
    <s v="CS.1041"/>
    <s v="MPTF_07"/>
    <s v="GENERAL OPERATING AND OTHER DI"/>
    <x v="1"/>
    <s v="Communication Costs"/>
    <s v="CS1041TUNPBF"/>
    <s v="303010"/>
    <s v="Communications"/>
    <s v="Communication fees Diana April"/>
    <s v="1022774699"/>
    <s v="1901192231"/>
    <s v="2"/>
    <d v="2021-05-06T00:00:00"/>
    <n v="9.83"/>
    <s v="USD"/>
    <n v="9.83"/>
    <s v="USD"/>
    <n v="37000"/>
    <s v="MGA"/>
    <s v="99"/>
    <s v="HRANDRIANA"/>
    <s v="1901192231"/>
    <s v="MG10"/>
  </r>
  <r>
    <s v="CS1041TUNPBF"/>
    <s v="TUNPBF000"/>
    <s v="CS.1041"/>
    <s v="MPTF_07"/>
    <s v="GENERAL OPERATING AND OTHER DI"/>
    <x v="0"/>
    <s v="Vehicle Running Costs"/>
    <s v="CS1041TUNPBF"/>
    <s v="303230"/>
    <s v="Rental of vehicles (including taxis)"/>
    <s v="Taxi Diana April"/>
    <s v="1022774699"/>
    <s v="1901192231"/>
    <s v="3"/>
    <d v="2021-05-06T00:00:00"/>
    <n v="20.170000000000002"/>
    <s v="USD"/>
    <n v="20.170000000000002"/>
    <s v="USD"/>
    <n v="76000"/>
    <s v="MGA"/>
    <s v="99"/>
    <s v="HRANDRIANA"/>
    <s v="1901192231"/>
    <s v="MG10"/>
  </r>
  <r>
    <s v="CS1041TUNPBF"/>
    <s v="TUNPBF000"/>
    <s v="CS.1041"/>
    <s v="MPTF_07"/>
    <s v="GENERAL OPERATING AND OTHER DI"/>
    <x v="0"/>
    <s v="Vehicle Running Costs"/>
    <s v="CS1041TUNPBF"/>
    <s v="303230"/>
    <s v="Rental of vehicles (including taxis)"/>
    <s v="Taxi Toky"/>
    <s v="1022870249"/>
    <s v="1901200757"/>
    <s v="3"/>
    <d v="2021-05-20T00:00:00"/>
    <n v="66.36"/>
    <s v="USD"/>
    <n v="66.36"/>
    <s v="USD"/>
    <n v="250000"/>
    <s v="MGA"/>
    <s v="99"/>
    <s v="HRANDRIANA"/>
    <s v="1901200757"/>
    <s v="MG10"/>
  </r>
  <r>
    <s v="CS1041TUNPBF"/>
    <s v="TUNPBF000"/>
    <s v="CS.1041"/>
    <s v="MPTF_07"/>
    <s v="GENERAL OPERATING AND OTHER DI"/>
    <x v="2"/>
    <s v="Offices costs (inc. utilities, equipemen"/>
    <s v="CS1041TUNPBF"/>
    <s v="303140"/>
    <s v="Utilities (e.g. gas, water, electricity, etc.)"/>
    <s v="Electricity March"/>
    <s v="1022898287"/>
    <s v="1901212537"/>
    <s v="2"/>
    <d v="2021-06-03T00:00:00"/>
    <n v="124.81"/>
    <s v="USD"/>
    <n v="124.81"/>
    <s v="USD"/>
    <n v="467332"/>
    <s v="MGA"/>
    <s v="99"/>
    <s v="HRANDRIANA"/>
    <s v="1901212537"/>
    <s v="MG10"/>
  </r>
  <r>
    <s v="CS1041TUNPBF"/>
    <s v="TUNPBF000"/>
    <s v="CS.1041"/>
    <s v="MPTF_07"/>
    <s v="GENERAL OPERATING AND OTHER DI"/>
    <x v="2"/>
    <s v="Offices costs (inc. utilities, equipemen"/>
    <s v="CS1041TUNPBF"/>
    <s v="303020"/>
    <s v="Postage"/>
    <s v="DHL - COURIER SERVICES, MAY 2021"/>
    <s v="1022907566"/>
    <s v="1901213962"/>
    <s v="6"/>
    <d v="2021-05-31T00:00:00"/>
    <n v="529.34"/>
    <s v="USD"/>
    <n v="529.34"/>
    <s v="USD"/>
    <n v="7599.15"/>
    <s v="ZAR"/>
    <s v="99"/>
    <s v="JSIGAUKE"/>
    <s v="1901213962"/>
    <s v="ZA10"/>
  </r>
  <r>
    <s v="CS1041TUNPBF"/>
    <s v="TUNPBF000"/>
    <s v="CS.1041"/>
    <s v="MPTF_07"/>
    <s v="GENERAL OPERATING AND OTHER DI"/>
    <x v="1"/>
    <s v="Communication Costs"/>
    <s v="CS1041TUNPBF"/>
    <s v="303010"/>
    <s v="Communications"/>
    <s v="Communication fees Ranja July"/>
    <s v="1023193013"/>
    <s v="1901246664"/>
    <s v="2"/>
    <d v="2021-07-15T00:00:00"/>
    <n v="13.26"/>
    <s v="USD"/>
    <n v="13.26"/>
    <s v="USD"/>
    <n v="50000"/>
    <s v="MGA"/>
    <s v="99"/>
    <s v="HRANDRIANA"/>
    <s v="1901246664"/>
    <s v="MG10"/>
  </r>
  <r>
    <s v="CS1041TUNPBF"/>
    <s v="TUNPBF000"/>
    <s v="CS.1041"/>
    <s v="MPTF_07"/>
    <s v="GENERAL OPERATING AND OTHER DI"/>
    <x v="1"/>
    <s v="Communication Costs"/>
    <s v="CS1041TUNPBF"/>
    <s v="303030"/>
    <s v="E-Mail / Internet/dataline charges"/>
    <s v="Connection July"/>
    <s v="1023215605"/>
    <s v="1901250319"/>
    <s v="2"/>
    <d v="2021-07-21T00:00:00"/>
    <n v="159.16999999999999"/>
    <s v="USD"/>
    <n v="159.16999999999999"/>
    <s v="USD"/>
    <n v="600000"/>
    <s v="MGA"/>
    <s v="99"/>
    <s v="HRANDRIANA"/>
    <s v="1901250319"/>
    <s v="MG10"/>
  </r>
  <r>
    <s v="CS1041TUNPBF"/>
    <s v="TUNPBF000"/>
    <s v="CS.1041"/>
    <s v="MPTF_07"/>
    <s v="GENERAL OPERATING AND OTHER DI"/>
    <x v="1"/>
    <s v="Communication Costs"/>
    <s v="CS1041TUNPBF"/>
    <s v="303010"/>
    <s v="Communications"/>
    <s v="Communication fees Diana"/>
    <s v="1023267985"/>
    <s v="1901259379"/>
    <s v="2"/>
    <d v="2021-07-27T00:00:00"/>
    <n v="13.27"/>
    <s v="USD"/>
    <n v="13.27"/>
    <s v="USD"/>
    <n v="50000"/>
    <s v="MGA"/>
    <s v="99"/>
    <s v="HRANDRIANA"/>
    <s v="1901259379"/>
    <s v="MG10"/>
  </r>
  <r>
    <s v="CS1041TUNPBF"/>
    <s v="TUNPBF000"/>
    <s v="CS.1041"/>
    <s v="MPTF_07"/>
    <s v="GENERAL OPERATING AND OTHER DI"/>
    <x v="0"/>
    <s v="Vehicle Running Costs"/>
    <s v="CS1041TUNPBF"/>
    <s v="303230"/>
    <s v="Rental of vehicles (including taxis)"/>
    <s v="Taxi Diana"/>
    <s v="1023267985"/>
    <s v="1901259379"/>
    <s v="3"/>
    <d v="2021-07-27T00:00:00"/>
    <n v="27.06"/>
    <s v="USD"/>
    <n v="27.06"/>
    <s v="USD"/>
    <n v="102000"/>
    <s v="MGA"/>
    <s v="99"/>
    <s v="HRANDRIANA"/>
    <s v="1901259379"/>
    <s v="MG10"/>
  </r>
  <r>
    <s v="CS1041TUNPBF"/>
    <s v="TUNPBF000"/>
    <s v="CS.1041"/>
    <s v="MPTF_07"/>
    <s v="GENERAL OPERATING AND OTHER DI"/>
    <x v="1"/>
    <s v="Communication Costs"/>
    <s v="CS1041TUNPBF"/>
    <s v="303010"/>
    <s v="Communications"/>
    <s v="Communication fees Giacomo June to August"/>
    <s v="1023301153"/>
    <s v="1901264898"/>
    <s v="2"/>
    <d v="2021-08-10T00:00:00"/>
    <n v="16.440000000000001"/>
    <s v="USD"/>
    <n v="16.440000000000001"/>
    <s v="USD"/>
    <n v="62500"/>
    <s v="MGA"/>
    <s v="99"/>
    <s v="HRANDRIANA"/>
    <s v="1901264898"/>
    <s v="MG10"/>
  </r>
  <r>
    <s v="CS1041TUNPBF"/>
    <s v="TUNPBF000"/>
    <s v="CS.1041"/>
    <s v="MPTF_07"/>
    <s v="GENERAL OPERATING AND OTHER DI"/>
    <x v="1"/>
    <s v="Communication Costs"/>
    <s v="CS1041TUNPBF"/>
    <s v="303010"/>
    <s v="Communications"/>
    <s v="Communication fees Ranja July"/>
    <s v="1023302430"/>
    <s v="1901265215"/>
    <s v="2"/>
    <d v="2021-08-10T00:00:00"/>
    <n v="13.15"/>
    <s v="USD"/>
    <n v="13.15"/>
    <s v="USD"/>
    <n v="50000"/>
    <s v="MGA"/>
    <s v="99"/>
    <s v="HRANDRIANA"/>
    <s v="1901265215"/>
    <s v="MG10"/>
  </r>
  <r>
    <s v="CS1041TUNPBF"/>
    <s v="TUNPBF000"/>
    <s v="CS.1041"/>
    <s v="MPTF_07"/>
    <s v="GENERAL OPERATING AND OTHER DI"/>
    <x v="1"/>
    <s v="Communication Costs"/>
    <s v="CS1041TUNPBF"/>
    <s v="303030"/>
    <s v="E-Mail / Internet/dataline charges"/>
    <s v="Connexion Ranja"/>
    <s v="1023302430"/>
    <s v="1901265215"/>
    <s v="3"/>
    <d v="2021-08-10T00:00:00"/>
    <n v="26.3"/>
    <s v="USD"/>
    <n v="26.3"/>
    <s v="USD"/>
    <n v="100000"/>
    <s v="MGA"/>
    <s v="99"/>
    <s v="HRANDRIANA"/>
    <s v="1901265215"/>
    <s v="MG10"/>
  </r>
  <r>
    <s v="CS1041TUNPBF"/>
    <s v="TUNPBF000"/>
    <s v="CS.1041"/>
    <s v="MPTF_07"/>
    <s v="GENERAL OPERATING AND OTHER DI"/>
    <x v="4"/>
    <s v="Security Costs (compliance to UN MOSS/MO"/>
    <s v="CS1041TUNPBF"/>
    <s v="305740"/>
    <s v="Other services"/>
    <s v="Contigence plan 2020"/>
    <s v="1023306890"/>
    <s v="1901266097"/>
    <s v="2"/>
    <d v="2021-08-11T00:00:00"/>
    <n v="1391.12"/>
    <s v="USD"/>
    <n v="1391.12"/>
    <s v="USD"/>
    <n v="1391.12"/>
    <s v="USD"/>
    <s v="99"/>
    <s v="HRANDRIANA"/>
    <s v="1901266097"/>
    <s v="MG10"/>
  </r>
  <r>
    <s v="CS1041TUNPBF"/>
    <s v="TUNPBF000"/>
    <s v="CS.1041"/>
    <s v="MPTF_07"/>
    <s v="GENERAL OPERATING AND OTHER DI"/>
    <x v="1"/>
    <s v="Communication Costs"/>
    <s v="CS1041TUNPBF"/>
    <s v="303540"/>
    <s v="I.T. Supplies Purchases"/>
    <s v="Connexion modem"/>
    <s v="1023314387"/>
    <s v="1901267438"/>
    <s v="2"/>
    <d v="2021-08-12T00:00:00"/>
    <n v="220.13"/>
    <s v="USD"/>
    <n v="220.13"/>
    <s v="USD"/>
    <n v="837000"/>
    <s v="MGA"/>
    <s v="99"/>
    <s v="HRANDRIANA"/>
    <s v="1901267438"/>
    <s v="MG10"/>
  </r>
  <r>
    <s v="CS1041TUNPBF"/>
    <s v="TUNPBF000"/>
    <s v="CS.1041"/>
    <s v="MPTF_07"/>
    <s v="GENERAL OPERATING AND OTHER DI"/>
    <x v="1"/>
    <s v="Communication Costs"/>
    <s v="CS1041TUNPBF"/>
    <s v="303030"/>
    <s v="E-Mail / Internet/dataline charges"/>
    <s v="Connection fees"/>
    <s v="1023331844"/>
    <s v="1901270822"/>
    <s v="3"/>
    <d v="2021-08-19T00:00:00"/>
    <n v="263"/>
    <s v="USD"/>
    <n v="263"/>
    <s v="USD"/>
    <n v="1000000"/>
    <s v="MGA"/>
    <s v="99"/>
    <s v="HRANDRIANA"/>
    <s v="1901270822"/>
    <s v="MG10"/>
  </r>
  <r>
    <s v="CS1041TUNPBF"/>
    <s v="TUNPBF000"/>
    <s v="CS.1041"/>
    <s v="MPTF_07"/>
    <s v="GENERAL OPERATING AND OTHER DI"/>
    <x v="2"/>
    <s v="Offices costs (inc. utilities, equipemen"/>
    <s v="CS1041TUNPBF"/>
    <s v="303230"/>
    <s v="Rental of vehicles (including taxis)"/>
    <s v="Rmt Taxi and Credit communication august 21"/>
    <s v="1023435732"/>
    <s v="1901287438"/>
    <s v="2"/>
    <d v="2021-08-31T00:00:00"/>
    <n v="131.5"/>
    <s v="USD"/>
    <n v="131.5"/>
    <s v="USD"/>
    <n v="500000"/>
    <s v="MGA"/>
    <s v="99"/>
    <s v="HRANDY"/>
    <s v="1901287438"/>
    <s v="MG10"/>
  </r>
  <r>
    <s v="CS1041TUNPBF"/>
    <s v="TUNPBF000"/>
    <s v="CS.1041"/>
    <s v="MPTF_07"/>
    <s v="GENERAL OPERATING AND OTHER DI"/>
    <x v="2"/>
    <s v="Offices costs (inc. utilities, equipemen"/>
    <s v="CS1041TUNPBF"/>
    <s v="303010"/>
    <s v="Communications"/>
    <s v="Rmt Taxi and Credit communication august 21"/>
    <s v="1023435732"/>
    <s v="1901287438"/>
    <s v="3"/>
    <d v="2021-08-31T00:00:00"/>
    <n v="10.52"/>
    <s v="USD"/>
    <n v="10.52"/>
    <s v="USD"/>
    <n v="40000"/>
    <s v="MGA"/>
    <s v="99"/>
    <s v="HRANDY"/>
    <s v="1901287438"/>
    <s v="MG10"/>
  </r>
  <r>
    <s v="CS1041TUNPBF"/>
    <s v="TUNPBF000"/>
    <s v="CS.1041"/>
    <s v="MPTF_07"/>
    <s v="GENERAL OPERATING AND OTHER DI"/>
    <x v="2"/>
    <s v="Offices costs (inc. utilities, equipemen"/>
    <s v="CS1041TUNPBF"/>
    <s v="303010"/>
    <s v="Communications"/>
    <s v="RMT TAXI AND COMMUNICATIO"/>
    <s v="1023435737"/>
    <s v="1901287440"/>
    <s v="2"/>
    <d v="2021-08-31T00:00:00"/>
    <n v="21.04"/>
    <s v="USD"/>
    <n v="21.04"/>
    <s v="USD"/>
    <n v="80000"/>
    <s v="MGA"/>
    <s v="99"/>
    <s v="HRANDY"/>
    <s v="1901287440"/>
    <s v="MG10"/>
  </r>
  <r>
    <s v="CS1041TUNPBF"/>
    <s v="TUNPBF000"/>
    <s v="CS.1041"/>
    <s v="MPTF_07"/>
    <s v="GENERAL OPERATING AND OTHER DI"/>
    <x v="2"/>
    <s v="Offices costs (inc. utilities, equipemen"/>
    <s v="CS1041TUNPBF"/>
    <s v="303230"/>
    <s v="Rental of vehicles (including taxis)"/>
    <s v="RMT TAXI AND COMMUNICATIO"/>
    <s v="1023435737"/>
    <s v="1901287440"/>
    <s v="3"/>
    <d v="2021-08-31T00:00:00"/>
    <n v="34.19"/>
    <s v="USD"/>
    <n v="34.19"/>
    <s v="USD"/>
    <n v="130000"/>
    <s v="MGA"/>
    <s v="99"/>
    <s v="HRANDY"/>
    <s v="1901287440"/>
    <s v="MG10"/>
  </r>
  <r>
    <s v="CS1041TUNPBF"/>
    <s v="TUNPBF000"/>
    <s v="CS.1041"/>
    <s v="MPTF_07"/>
    <s v="GENERAL OPERATING AND OTHER DI"/>
    <x v="1"/>
    <s v="Communication Costs"/>
    <s v="CS1041TUNPBF"/>
    <s v="303010"/>
    <s v="Communications"/>
    <s v="PMT CREDIT COMMUNICAION"/>
    <s v="1023438335"/>
    <s v="1901287873"/>
    <s v="2"/>
    <d v="2021-08-31T00:00:00"/>
    <n v="39.450000000000003"/>
    <s v="USD"/>
    <n v="39.450000000000003"/>
    <s v="USD"/>
    <n v="150000"/>
    <s v="MGA"/>
    <s v="99"/>
    <s v="HRANDY"/>
    <s v="1901287873"/>
    <s v="MG10"/>
  </r>
  <r>
    <s v="CS1041TUNPBF"/>
    <s v="TUNPBF000"/>
    <s v="CS.1041"/>
    <s v="MPTF_07"/>
    <s v="GENERAL OPERATING AND OTHER DI"/>
    <x v="1"/>
    <s v="Communication Costs"/>
    <s v="CS1041TUNPBF"/>
    <s v="303010"/>
    <s v="Communications"/>
    <s v="RMBT COMMUNICATION FEES"/>
    <s v="1023693162"/>
    <s v="1901313096"/>
    <s v="2"/>
    <d v="2021-09-30T00:00:00"/>
    <n v="39.04"/>
    <s v="USD"/>
    <n v="39.04"/>
    <s v="USD"/>
    <n v="150000"/>
    <s v="MGA"/>
    <s v="99"/>
    <s v="HRANDY"/>
    <s v="1901313096"/>
    <s v="MG10"/>
  </r>
  <r>
    <s v="CS1041TUNPBF"/>
    <s v="TUNPBF000"/>
    <s v="CS.1041"/>
    <s v="MPTF_07"/>
    <s v="GENERAL OPERATING AND OTHER DI"/>
    <x v="2"/>
    <s v="Offices costs (inc. utilities, equipemen"/>
    <s v="CS1041TUNPBF"/>
    <s v="303140"/>
    <s v="Utilities (e.g. gas, water, electricity, etc.)"/>
    <s v="ELECTRICTIY APRIL TO JUNE 21"/>
    <s v="1023815814"/>
    <s v="1901333322"/>
    <s v="2"/>
    <d v="2021-10-15T00:00:00"/>
    <n v="141.97999999999999"/>
    <s v="USD"/>
    <n v="141.97999999999999"/>
    <s v="USD"/>
    <n v="558212.5"/>
    <s v="MGA"/>
    <s v="99"/>
    <s v="HRANDY"/>
    <s v="1901333322"/>
    <s v="MG10"/>
  </r>
  <r>
    <s v="CS1041TUNPBF"/>
    <s v="TUNPBF000"/>
    <s v="CS.1041"/>
    <s v="MPTF_07"/>
    <s v="GENERAL OPERATING AND OTHER DI"/>
    <x v="1"/>
    <s v="Communication Costs"/>
    <s v="CS1041TUNPBF"/>
    <s v="303010"/>
    <s v="Communications"/>
    <s v="RMBT CREDI COMM"/>
    <s v="1023824270"/>
    <s v="1901334561"/>
    <s v="2"/>
    <d v="2021-10-22T00:00:00"/>
    <n v="38.15"/>
    <s v="USD"/>
    <n v="38.15"/>
    <s v="USD"/>
    <n v="150000"/>
    <s v="MGA"/>
    <s v="99"/>
    <s v="HRANDY"/>
    <s v="1901334561"/>
    <s v="MG10"/>
  </r>
  <r>
    <s v="CS1041TUNPBF"/>
    <s v="TUNPBF000"/>
    <s v="CS.1041"/>
    <s v="MPTF_07"/>
    <s v="GENERAL OPERATING AND OTHER DI"/>
    <x v="1"/>
    <s v="Communication Costs"/>
    <s v="CS1041TUNPBF"/>
    <s v="303090"/>
    <s v="Other communication supplies and services"/>
    <s v="credit communication october Ranja"/>
    <s v="1023905122"/>
    <s v="1901350382"/>
    <s v="2"/>
    <d v="2021-11-09T00:00:00"/>
    <n v="38.1"/>
    <s v="USD"/>
    <n v="38.1"/>
    <s v="USD"/>
    <n v="150000"/>
    <s v="MGA"/>
    <s v="99"/>
    <s v="HRANDY"/>
    <s v="1901350382"/>
    <s v="MG10"/>
  </r>
  <r>
    <s v="CS1041TUNPBF"/>
    <s v="TUNPBF000"/>
    <s v="CS.1041"/>
    <s v="MPTF_07"/>
    <s v="GENERAL OPERATING AND OTHER DI"/>
    <x v="4"/>
    <s v="Security Costs (compliance to UN MOSS/MO"/>
    <s v="CS1041TUNPBF"/>
    <s v="305750"/>
    <s v="Registration/conference/training fees"/>
    <s v="RMBT UNICEF  2021 contingence plan"/>
    <s v="1023907678"/>
    <s v="1901350722"/>
    <s v="2"/>
    <d v="2021-11-24T00:00:00"/>
    <n v="154"/>
    <s v="USD"/>
    <n v="154"/>
    <s v="USD"/>
    <n v="606247.18000000005"/>
    <s v="MGA"/>
    <s v="99"/>
    <s v="HRANDY"/>
    <s v="1901350722"/>
    <s v="MG10"/>
  </r>
  <r>
    <s v="CS1041TUNPBF"/>
    <s v="TUNPBF000"/>
    <s v="CS.1041"/>
    <s v="MPTF_07"/>
    <s v="GENERAL OPERATING AND OTHER DI"/>
    <x v="8"/>
    <s v="Office rental - Antananarivo"/>
    <s v="CS1041TUNPBF"/>
    <s v="303120"/>
    <s v="Building Rental"/>
    <s v="RENAL OFFICE"/>
    <s v="1023938672"/>
    <s v="1901356782"/>
    <s v="3"/>
    <d v="2021-11-30T00:00:00"/>
    <n v="1252.3900000000001"/>
    <s v="USD"/>
    <n v="1252.3900000000001"/>
    <s v="USD"/>
    <n v="4930249.8"/>
    <s v="MGA"/>
    <s v="99"/>
    <s v="HRANDY"/>
    <s v="1901356782"/>
    <s v="MG10"/>
  </r>
  <r>
    <s v="CS1041TUNPBF"/>
    <s v="TUNPBF000"/>
    <s v="CS.1041"/>
    <s v="MPTF_07"/>
    <s v="GENERAL OPERATING AND OTHER DI"/>
    <x v="1"/>
    <s v="Communication Costs"/>
    <s v="CS1041TUNPBF"/>
    <s v="303010"/>
    <s v="Communications"/>
    <s v="PHONE SEPT"/>
    <s v="1023938672"/>
    <s v="1901356782"/>
    <s v="5"/>
    <d v="2021-11-30T00:00:00"/>
    <n v="33.5"/>
    <s v="USD"/>
    <n v="33.5"/>
    <s v="USD"/>
    <n v="131896.79999999999"/>
    <s v="MGA"/>
    <s v="99"/>
    <s v="HRANDY"/>
    <s v="1901356782"/>
    <s v="MG10"/>
  </r>
  <r>
    <s v="CS1041TUNPBF"/>
    <s v="TUNPBF000"/>
    <s v="CS.1041"/>
    <s v="MPTF_07"/>
    <s v="GENERAL OPERATING AND OTHER DI"/>
    <x v="8"/>
    <s v="Office rental - Antananarivo"/>
    <s v="CS1041TUNPBF"/>
    <s v="303120"/>
    <s v="Building Rental"/>
    <s v="RENTOFFICE DEC"/>
    <s v="1023991127"/>
    <s v="1901365166"/>
    <s v="3"/>
    <d v="2021-12-09T00:00:00"/>
    <n v="414.82"/>
    <s v="USD"/>
    <n v="414.82"/>
    <s v="USD"/>
    <n v="1643416.6"/>
    <s v="MGA"/>
    <s v="99"/>
    <s v="HRANDY"/>
    <s v="1901365166"/>
    <s v="MG10"/>
  </r>
  <r>
    <s v="CS1041TUNPBF"/>
    <s v="TUNPBF000"/>
    <s v="CS.1041"/>
    <s v="MPTF_07"/>
    <s v="GENERAL OPERATING AND OTHER DI"/>
    <x v="1"/>
    <s v="Communication Costs"/>
    <s v="CS1041TUNPBF"/>
    <s v="303010"/>
    <s v="Communications"/>
    <s v="COMMUNICATION NOV 21"/>
    <s v="1024450294"/>
    <s v="1901416741"/>
    <s v="6"/>
    <d v="2022-02-09T00:00:00"/>
    <n v="89.39"/>
    <s v="USD"/>
    <n v="89.39"/>
    <s v="USD"/>
    <n v="355424"/>
    <s v="MGA"/>
    <s v="99"/>
    <s v="HRANDY"/>
    <s v="1901416741"/>
    <s v="MG10"/>
  </r>
  <r>
    <s v="CS1041TUNPBF"/>
    <s v="TUNPBF000"/>
    <s v="CS.1041"/>
    <s v="MPTF_07"/>
    <s v="GENERAL OPERATING AND OTHER DI"/>
    <x v="1"/>
    <s v="Communication Costs"/>
    <s v="CS1041TUNPBF"/>
    <s v="303010"/>
    <s v="Communications"/>
    <s v="COMMMUNICATION MOBIL NOV - DEC 21"/>
    <s v="1024450631"/>
    <s v="1901416762"/>
    <s v="2"/>
    <d v="2022-02-09T00:00:00"/>
    <n v="435.44"/>
    <s v="USD"/>
    <n v="435.44"/>
    <s v="USD"/>
    <n v="1731305.19"/>
    <s v="MGA"/>
    <s v="99"/>
    <s v="HRANDY"/>
    <s v="1901416762"/>
    <s v="MG10"/>
  </r>
  <r>
    <s v="CS1041TUNPBF"/>
    <s v="TUNPBF000"/>
    <s v="CS.1041"/>
    <s v="MPTF_07"/>
    <s v="GENERAL OPERATING AND OTHER DI"/>
    <x v="2"/>
    <s v="Offices costs (inc. utilities, equipemen"/>
    <s v="CS1041TUNPBF"/>
    <s v="303140"/>
    <s v="Utilities (e.g. gas, water, electricity, etc.)"/>
    <s v="ELETRICITY AUGUSTO TO OCTOBER 2021"/>
    <s v="1024450670"/>
    <s v="1901416790"/>
    <s v="2"/>
    <d v="2022-02-09T00:00:00"/>
    <n v="356.74"/>
    <s v="USD"/>
    <n v="356.74"/>
    <s v="USD"/>
    <n v="1418395"/>
    <s v="MGA"/>
    <s v="99"/>
    <s v="HRANDY"/>
    <s v="1901416790"/>
    <s v="MG10"/>
  </r>
  <r>
    <s v="CS1041TUNPBF"/>
    <s v="TUNPBF000"/>
    <s v="CS.1041"/>
    <s v="MPTF_07"/>
    <s v="GENERAL OPERATING AND OTHER DI"/>
    <x v="8"/>
    <s v="Office rental - Antananarivo"/>
    <s v="CS1041TUNPBF"/>
    <s v="303120"/>
    <s v="Building Rental"/>
    <s v="OFFICE RENT JAN 2021"/>
    <s v="1022066595"/>
    <s v="5000428287"/>
    <s v="5"/>
    <d v="2021-01-14T00:00:00"/>
    <n v="912.9"/>
    <s v="USD"/>
    <n v="912.9"/>
    <s v="USD"/>
    <n v="3459824.8"/>
    <s v="MGA"/>
    <s v="99"/>
    <s v="HRANDRIANA"/>
    <s v="5000866762"/>
    <s v="MG10"/>
  </r>
  <r>
    <s v="CS1041TUNPBF"/>
    <s v="TUNPBF000"/>
    <s v="CS.1041"/>
    <s v="MPTF_07"/>
    <s v="GENERAL OPERATING AND OTHER DI"/>
    <x v="0"/>
    <s v="Vehicle Running Costs"/>
    <s v="CS1041TUNPBF"/>
    <s v="303210"/>
    <s v="Vehicle maintenance supplies and services"/>
    <s v="Vehicle Maintenance 36.000KM"/>
    <s v="1022182142"/>
    <s v="5000430128"/>
    <s v="1"/>
    <d v="2021-01-20T00:00:00"/>
    <n v="307.19"/>
    <s v="USD"/>
    <n v="307.19"/>
    <s v="USD"/>
    <n v="1164250"/>
    <s v="MGA"/>
    <s v="99"/>
    <s v="HRANDRIANA"/>
    <s v="5000868530"/>
    <s v="MG10"/>
  </r>
  <r>
    <s v="CS1041TUNPBF"/>
    <s v="TUNPBF000"/>
    <s v="CS.1041"/>
    <s v="MPTF_07"/>
    <s v="GENERAL OPERATING AND OTHER DI"/>
    <x v="8"/>
    <s v="Office rental - Antananarivo"/>
    <s v="CS1041TUNPBF"/>
    <s v="303120"/>
    <s v="Building Rental"/>
    <s v=""/>
    <s v="1022310596"/>
    <s v="5000442396"/>
    <s v="4"/>
    <d v="2021-02-15T00:00:00"/>
    <n v="345.8"/>
    <s v="USD"/>
    <n v="345.8"/>
    <s v="USD"/>
    <n v="1297434.3"/>
    <s v="MGA"/>
    <s v="99"/>
    <s v="HRANDRIANA"/>
    <s v="5000880759"/>
    <s v="MG10"/>
  </r>
  <r>
    <s v="CS1041TUNPBF"/>
    <s v="TUNPBF000"/>
    <s v="CS.1041"/>
    <s v="MPTF_07"/>
    <s v="GENERAL OPERATING AND OTHER DI"/>
    <x v="8"/>
    <s v="Office rental - Antananarivo"/>
    <s v="CS1041TUNPBF"/>
    <s v="303120"/>
    <s v="Building Rental"/>
    <s v="OFFICE RENT MARCH 2021"/>
    <s v="1022422257"/>
    <s v="5000454655"/>
    <s v="4"/>
    <d v="2021-03-09T00:00:00"/>
    <n v="577.9"/>
    <s v="USD"/>
    <n v="577.9"/>
    <s v="USD"/>
    <n v="2162390.5"/>
    <s v="MGA"/>
    <s v="99"/>
    <s v="HRANDRIANA"/>
    <s v="5000893016"/>
    <s v="MG10"/>
  </r>
  <r>
    <s v="CS1041TUNPBF"/>
    <s v="TUNPBF000"/>
    <s v="CS.1041"/>
    <s v="MPTF_07"/>
    <s v="GENERAL OPERATING AND OTHER DI"/>
    <x v="2"/>
    <s v="Offices costs (inc. utilities, equipemen"/>
    <s v="CS1041TUNPBF"/>
    <s v="305310"/>
    <s v="Advertisment/Public./Marketing"/>
    <s v="N/B 1/4 page in the Express newspaper for March 6t"/>
    <s v="1022500651"/>
    <s v="5000463244"/>
    <s v="1"/>
    <d v="2021-03-25T00:00:00"/>
    <n v="102.62"/>
    <s v="USD"/>
    <n v="102.62"/>
    <s v="USD"/>
    <n v="384000"/>
    <s v="MGA"/>
    <s v="99"/>
    <s v="HRANDRIANA"/>
    <s v="5000901586"/>
    <s v="MG10"/>
  </r>
  <r>
    <s v="CS1041TUNPBF"/>
    <s v="TUNPBF000"/>
    <s v="CS.1041"/>
    <s v="MPTF_07"/>
    <s v="GENERAL OPERATING AND OTHER DI"/>
    <x v="8"/>
    <s v="Office rental - Antananarivo"/>
    <s v="CS1041TUNPBF"/>
    <s v="303120"/>
    <s v="Building Rental"/>
    <s v="OFFICE RENT APRIL 2021"/>
    <s v="1022569676"/>
    <s v="5000473091"/>
    <s v="3"/>
    <d v="2021-04-09T00:00:00"/>
    <n v="650.70000000000005"/>
    <s v="USD"/>
    <n v="650.70000000000005"/>
    <s v="USD"/>
    <n v="2465124.9"/>
    <s v="MGA"/>
    <s v="99"/>
    <s v="HRANDRIANA"/>
    <s v="5000911408"/>
    <s v="MG10"/>
  </r>
  <r>
    <s v="CS1041TUNPBF"/>
    <s v="TUNPBF000"/>
    <s v="CS.1041"/>
    <s v="MPTF_07"/>
    <s v="GENERAL OPERATING AND OTHER DI"/>
    <x v="1"/>
    <s v="Communication Costs"/>
    <s v="CS1041TUNPBF"/>
    <s v="303010"/>
    <s v="Communications"/>
    <s v="OFFICE PHONE FEB 2021"/>
    <s v="1022569676"/>
    <s v="5000473091"/>
    <s v="5"/>
    <d v="2021-04-09T00:00:00"/>
    <n v="47.9"/>
    <s v="USD"/>
    <n v="47.9"/>
    <s v="USD"/>
    <n v="181453"/>
    <s v="MGA"/>
    <s v="99"/>
    <s v="HRANDRIANA"/>
    <s v="5000911408"/>
    <s v="MG10"/>
  </r>
  <r>
    <s v="CS1041TUNPBF"/>
    <s v="TUNPBF000"/>
    <s v="CS.1041"/>
    <s v="MPTF_07"/>
    <s v="GENERAL OPERATING AND OTHER DI"/>
    <x v="8"/>
    <s v="Office rental - Antananarivo"/>
    <s v="CS1041TUNPBF"/>
    <s v="303120"/>
    <s v="Building Rental"/>
    <s v="OFFICE LEASE MAY 2021"/>
    <s v="1022801332"/>
    <s v="5000490438"/>
    <s v="3"/>
    <d v="2021-05-14T00:00:00"/>
    <n v="654.39"/>
    <s v="USD"/>
    <n v="654.39"/>
    <s v="USD"/>
    <n v="2465124.9"/>
    <s v="MGA"/>
    <s v="99"/>
    <s v="HRANDRIANA"/>
    <s v="5000928731"/>
    <s v="MG10"/>
  </r>
  <r>
    <s v="CS1041TUNPBF"/>
    <s v="TUNPBF000"/>
    <s v="CS.1041"/>
    <s v="MPTF_07"/>
    <s v="GENERAL OPERATING AND OTHER DI"/>
    <x v="1"/>
    <s v="Communication Costs"/>
    <s v="CS1041TUNPBF"/>
    <s v="303430"/>
    <s v="Reference/manual/books/periodicals"/>
    <s v="1/4 page publication on June 30rd, July 3rd and 7t"/>
    <s v="1023162117"/>
    <s v="5000524423"/>
    <s v="1"/>
    <d v="2021-07-12T00:00:00"/>
    <n v="101.87"/>
    <s v="USD"/>
    <n v="101.87"/>
    <s v="USD"/>
    <n v="384000"/>
    <s v="MGA"/>
    <s v="99"/>
    <s v="HRANDRIANA"/>
    <s v="5000962569"/>
    <s v="MG10"/>
  </r>
  <r>
    <s v="CS1041TUNPBF"/>
    <s v="TUNPBF000"/>
    <s v="CS.1041"/>
    <s v="MPTF_07"/>
    <s v="GENERAL OPERATING AND OTHER DI"/>
    <x v="8"/>
    <s v="Office rental - Antananarivo"/>
    <s v="CS1041TUNPBF"/>
    <s v="303120"/>
    <s v="Building Rental"/>
    <s v="OFFICE RENT JULY 2021"/>
    <s v="1023173623"/>
    <s v="5000524671"/>
    <s v="3"/>
    <d v="2021-07-12T00:00:00"/>
    <n v="1089.9100000000001"/>
    <s v="USD"/>
    <n v="1089.9100000000001"/>
    <s v="USD"/>
    <n v="4108541.5"/>
    <s v="MGA"/>
    <s v="99"/>
    <s v="HRANDRIANA"/>
    <s v="5000962818"/>
    <s v="MG10"/>
  </r>
  <r>
    <s v="CS1041TUNPBF"/>
    <s v="TUNPBF000"/>
    <s v="CS.1041"/>
    <s v="MPTF_07"/>
    <s v="GENERAL OPERATING AND OTHER DI"/>
    <x v="1"/>
    <s v="Communication Costs"/>
    <s v="CS1041TUNPBF"/>
    <s v="303010"/>
    <s v="Communications"/>
    <s v="OFFICE PHONE MAY 2021"/>
    <s v="1023173623"/>
    <s v="5000524671"/>
    <s v="4"/>
    <d v="2021-07-12T00:00:00"/>
    <n v="16.23"/>
    <s v="USD"/>
    <n v="16.23"/>
    <s v="USD"/>
    <n v="61190"/>
    <s v="MGA"/>
    <s v="99"/>
    <s v="HRANDRIANA"/>
    <s v="5000962818"/>
    <s v="MG10"/>
  </r>
  <r>
    <s v="CS1041TUNPBF"/>
    <s v="TUNPBF000"/>
    <s v="CS.1041"/>
    <s v="MPTF_07"/>
    <s v="GENERAL OPERATING AND OTHER DI"/>
    <x v="8"/>
    <s v="Office rental - Antananarivo"/>
    <s v="CS1041TUNPBF"/>
    <s v="303120"/>
    <s v="Building Rental"/>
    <s v="OFFICE RENT AUGUST 2021"/>
    <s v="1023306928"/>
    <s v="5000541335"/>
    <s v="3"/>
    <d v="2021-08-11T00:00:00"/>
    <n v="1296.67"/>
    <s v="USD"/>
    <n v="1296.67"/>
    <s v="USD"/>
    <n v="4930249.8"/>
    <s v="MGA"/>
    <s v="99"/>
    <s v="HRANDRIANA"/>
    <s v="5000979428"/>
    <s v="MG10"/>
  </r>
  <r>
    <s v="CS1041TUNPBF"/>
    <s v="TUNPBF000"/>
    <s v="CS.1041"/>
    <s v="MPTF_07"/>
    <s v="GENERAL OPERATING AND OTHER DI"/>
    <x v="1"/>
    <s v="Communication Costs"/>
    <s v="CS1041TUNPBF"/>
    <s v="303010"/>
    <s v="Communications"/>
    <s v="OFFICE PHONE JULY 2021"/>
    <s v="1023306928"/>
    <s v="5000541335"/>
    <s v="4"/>
    <d v="2021-08-11T00:00:00"/>
    <n v="14.26"/>
    <s v="USD"/>
    <n v="14.26"/>
    <s v="USD"/>
    <n v="54205"/>
    <s v="MGA"/>
    <s v="99"/>
    <s v="HRANDRIANA"/>
    <s v="5000979428"/>
    <s v="MG10"/>
  </r>
  <r>
    <s v="CS1041TUNPBF"/>
    <s v="TUNPBF000"/>
    <s v="CS.1041"/>
    <s v="MPTF_07"/>
    <s v="GENERAL OPERATING AND OTHER DI"/>
    <x v="2"/>
    <s v="Offices costs (inc. utilities, equipemen"/>
    <s v="CS1041TUNPBF"/>
    <s v="305330"/>
    <s v="Services on Information (printing, distrib.)"/>
    <s v="Printing of Business Cards Pack of 50 Units for Me"/>
    <s v="1023768314"/>
    <s v="5000591063"/>
    <s v="1"/>
    <d v="2021-10-26T00:00:00"/>
    <n v="16.02"/>
    <s v="USD"/>
    <n v="16.02"/>
    <s v="USD"/>
    <n v="63000"/>
    <s v="MGA"/>
    <s v="99"/>
    <s v="HRANDY"/>
    <s v="5001029019"/>
    <s v="MG10"/>
  </r>
  <r>
    <s v="CS1041TUNPBF"/>
    <s v="TUNPBF000"/>
    <s v="CS.1041"/>
    <s v="MPTF_07"/>
    <s v="GENERAL OPERATING AND OTHER DI"/>
    <x v="8"/>
    <s v="Office rental - Antananarivo"/>
    <s v="CS1041TUNPBF"/>
    <s v="303120"/>
    <s v="Building Rental"/>
    <s v="OFFICE RENT SEPT 2021"/>
    <s v="1023794952"/>
    <s v="5000594882"/>
    <s v="2"/>
    <d v="2021-10-31T00:00:00"/>
    <n v="1044.95"/>
    <s v="USD"/>
    <n v="1044.95"/>
    <s v="USD"/>
    <n v="4108541.5"/>
    <s v="MGA"/>
    <s v="99"/>
    <s v="HRANDY"/>
    <s v="5001032899"/>
    <s v="MG10"/>
  </r>
  <r>
    <s v="CS1041TUNPBF"/>
    <s v="TUNPBF000"/>
    <s v="CS.1041"/>
    <s v="MPTF_07"/>
    <s v="GENERAL OPERATING AND OTHER DI"/>
    <x v="2"/>
    <s v="Offices costs (inc. utilities, equipemen"/>
    <s v="CS1041TUNPBF"/>
    <s v="303410"/>
    <s v="Office supplies"/>
    <s v="IOM Enveloppes - A4 Size"/>
    <s v="1023807141"/>
    <s v="5000596868"/>
    <s v="1"/>
    <d v="2021-10-02T00:00:00"/>
    <n v="70.5"/>
    <s v="USD"/>
    <n v="70.5"/>
    <s v="USD"/>
    <n v="277200"/>
    <s v="MGA"/>
    <s v="99"/>
    <s v="HRANDY"/>
    <s v="5001034884"/>
    <s v="MG10"/>
  </r>
  <r>
    <s v="CS1041TUNPBF"/>
    <s v="TUNPBF000"/>
    <s v="CS.1041"/>
    <s v="MPTF_07"/>
    <s v="GENERAL OPERATING AND OTHER DI"/>
    <x v="2"/>
    <s v="Offices costs (inc. utilities, equipemen"/>
    <s v="CS1041TUNPBF"/>
    <s v="303540"/>
    <s v="I.T. Supplies Purchases"/>
    <s v="Toner noir HP 83A (CF283A)"/>
    <s v="1023816555"/>
    <s v="5000598212"/>
    <s v="1"/>
    <d v="2021-10-10T00:00:00"/>
    <n v="90.29"/>
    <s v="USD"/>
    <n v="90.29"/>
    <s v="USD"/>
    <n v="355000"/>
    <s v="MGA"/>
    <s v="99"/>
    <s v="HRANDY"/>
    <s v="5001036121"/>
    <s v="MG10"/>
  </r>
  <r>
    <s v="CS1041TUNPBF"/>
    <s v="TUNPBF000"/>
    <s v="CS.1041"/>
    <s v="MPTF_07"/>
    <s v="GENERAL OPERATING AND OTHER DI"/>
    <x v="2"/>
    <s v="Offices costs (inc. utilities, equipemen"/>
    <s v="CS1041TUNPBF"/>
    <s v="303540"/>
    <s v="I.T. Supplies Purchases"/>
    <s v="Toner noir HP 203A (CF540A)"/>
    <s v="1023816555"/>
    <s v="5000598212"/>
    <s v="3"/>
    <d v="2021-10-10T00:00:00"/>
    <n v="45.78"/>
    <s v="USD"/>
    <n v="45.78"/>
    <s v="USD"/>
    <n v="180000"/>
    <s v="MGA"/>
    <s v="99"/>
    <s v="HRANDY"/>
    <s v="5001036121"/>
    <s v="MG10"/>
  </r>
  <r>
    <s v="CS1041TUNPBF"/>
    <s v="TUNPBF000"/>
    <s v="CS.1041"/>
    <s v="MPTF_07"/>
    <s v="GENERAL OPERATING AND OTHER DI"/>
    <x v="2"/>
    <s v="Offices costs (inc. utilities, equipemen"/>
    <s v="CS1041TUNPBF"/>
    <s v="303540"/>
    <s v="I.T. Supplies Purchases"/>
    <s v="Toner noir HP 130A (CF350A"/>
    <s v="1023816555"/>
    <s v="5000598212"/>
    <s v="5"/>
    <d v="2021-10-10T00:00:00"/>
    <n v="144.97"/>
    <s v="USD"/>
    <n v="144.97"/>
    <s v="USD"/>
    <n v="570000"/>
    <s v="MGA"/>
    <s v="99"/>
    <s v="HRANDY"/>
    <s v="5001036121"/>
    <s v="MG10"/>
  </r>
  <r>
    <s v="CS1041TUNPBF"/>
    <s v="TUNPBF000"/>
    <s v="CS.1041"/>
    <s v="MPTF_07"/>
    <s v="GENERAL OPERATING AND OTHER DI"/>
    <x v="2"/>
    <s v="Offices costs (inc. utilities, equipemen"/>
    <s v="CS1041TUNPBF"/>
    <s v="303540"/>
    <s v="I.T. Supplies Purchases"/>
    <s v="Toner cyan HP 130A (CF351A)"/>
    <s v="1023816555"/>
    <s v="5000598212"/>
    <s v="7"/>
    <d v="2021-10-10T00:00:00"/>
    <n v="101.74"/>
    <s v="USD"/>
    <n v="101.74"/>
    <s v="USD"/>
    <n v="400000"/>
    <s v="MGA"/>
    <s v="99"/>
    <s v="HRANDY"/>
    <s v="5001036121"/>
    <s v="MG10"/>
  </r>
  <r>
    <s v="CS1041TUNPBF"/>
    <s v="TUNPBF000"/>
    <s v="CS.1041"/>
    <s v="MPTF_07"/>
    <s v="GENERAL OPERATING AND OTHER DI"/>
    <x v="2"/>
    <s v="Offices costs (inc. utilities, equipemen"/>
    <s v="CS1041TUNPBF"/>
    <s v="303540"/>
    <s v="I.T. Supplies Purchases"/>
    <s v="Toner magenta HP 130A (CF353A)"/>
    <s v="1023816555"/>
    <s v="5000598212"/>
    <s v="9"/>
    <d v="2021-10-10T00:00:00"/>
    <n v="101.74"/>
    <s v="USD"/>
    <n v="101.74"/>
    <s v="USD"/>
    <n v="400000"/>
    <s v="MGA"/>
    <s v="99"/>
    <s v="HRANDY"/>
    <s v="5001036121"/>
    <s v="MG10"/>
  </r>
  <r>
    <s v="CS1041TUNPBF"/>
    <s v="TUNPBF000"/>
    <s v="CS.1041"/>
    <s v="MPTF_07"/>
    <s v="GENERAL OPERATING AND OTHER DI"/>
    <x v="8"/>
    <s v="Office rental - Antananarivo"/>
    <s v="CS1041TUNPBF"/>
    <s v="303120"/>
    <s v="Building Rental"/>
    <s v="OFFICE RENT OCTOBER 2021"/>
    <s v="1023822735"/>
    <s v="5000599135"/>
    <s v="2"/>
    <d v="2021-10-28T00:00:00"/>
    <n v="1044.95"/>
    <s v="USD"/>
    <n v="1044.95"/>
    <s v="USD"/>
    <n v="4108541.5"/>
    <s v="MGA"/>
    <s v="99"/>
    <s v="HRANDY"/>
    <s v="5001037024"/>
    <s v="MG10"/>
  </r>
  <r>
    <s v="CS1041TUNPBF"/>
    <s v="TUNPBF000"/>
    <s v="CS.1041"/>
    <s v="MPTF_07"/>
    <s v="GENERAL OPERATING AND OTHER DI"/>
    <x v="2"/>
    <s v="Offices costs (inc. utilities, equipemen"/>
    <s v="CS1041TUNPBF"/>
    <s v="305330"/>
    <s v="Services on Information (printing, distrib.)"/>
    <s v="Printing of IOM Business Cards (Maxime 200 Ex, Rog"/>
    <s v="1023927668"/>
    <s v="5000614733"/>
    <s v="1"/>
    <d v="2021-11-29T00:00:00"/>
    <n v="89.42"/>
    <s v="USD"/>
    <n v="89.42"/>
    <s v="USD"/>
    <n v="352000"/>
    <s v="MGA"/>
    <s v="99"/>
    <s v="HRANDY"/>
    <s v="5001052556"/>
    <s v="MG10"/>
  </r>
  <r>
    <s v="CS1041TUNPBF"/>
    <s v="TUNPBF000"/>
    <s v="CS.1041"/>
    <s v="MPTF_07"/>
    <s v="GENERAL OPERATING AND OTHER DI"/>
    <x v="0"/>
    <s v="Vehicle Running Costs"/>
    <s v="CS1041TUNPBF"/>
    <s v="303210"/>
    <s v="Vehicle maintenance supplies and services"/>
    <s v="Vehicle Paint Repair 215CD003"/>
    <s v="1024023677"/>
    <s v="5000630922"/>
    <s v="1"/>
    <d v="2021-12-16T00:00:00"/>
    <n v="130.75"/>
    <s v="USD"/>
    <n v="130.75"/>
    <s v="USD"/>
    <n v="518000"/>
    <s v="MGA"/>
    <s v="99"/>
    <s v="HRANDY"/>
    <s v="5001068736"/>
    <s v="MG10"/>
  </r>
  <r>
    <s v="CS1041TUNPBF"/>
    <s v="TUNPBF000"/>
    <s v="CS.1041"/>
    <s v="MPTF_07"/>
    <s v="GENERAL OPERATING AND OTHER DI"/>
    <x v="0"/>
    <s v="Vehicle Running Costs"/>
    <s v="CS1041TUNPBF"/>
    <s v="303210"/>
    <s v="Vehicle maintenance supplies and services"/>
    <s v="Vehicle Periodical Maintenance 215CD003"/>
    <s v="1024023681"/>
    <s v="5000630926"/>
    <s v="1"/>
    <d v="2021-12-16T00:00:00"/>
    <n v="359.48"/>
    <s v="USD"/>
    <n v="359.48"/>
    <s v="USD"/>
    <n v="1424150"/>
    <s v="MGA"/>
    <s v="99"/>
    <s v="HRANDY"/>
    <s v="5001068740"/>
    <s v="MG10"/>
  </r>
  <r>
    <s v="CS1041TUNPBF"/>
    <s v="TUNPBF000"/>
    <s v="CS.1041"/>
    <s v="MPTF_07"/>
    <s v="GENERAL OPERATING AND OTHER DI"/>
    <x v="8"/>
    <s v="Office rental - Antananarivo"/>
    <s v="CS1041TUNPBF"/>
    <s v="303120"/>
    <s v="Building Rental"/>
    <s v="OFFICE RENT NOVEMBER 2021"/>
    <s v="1024173477"/>
    <s v="5000647695"/>
    <s v="2"/>
    <d v="2021-12-01T00:00:00"/>
    <n v="1244.46"/>
    <s v="USD"/>
    <n v="1244.46"/>
    <s v="USD"/>
    <n v="4930249.8"/>
    <s v="MGA"/>
    <s v="99"/>
    <s v="HRANDRIANA"/>
    <s v="5001085474"/>
    <s v="MG10"/>
  </r>
  <r>
    <s v="CS1041TUNPBF"/>
    <s v="TUNPBF000"/>
    <s v="CS.1041"/>
    <s v="MPTF_07"/>
    <s v="GENERAL OPERATING AND OTHER DI"/>
    <x v="1"/>
    <s v="Communication Costs"/>
    <s v="CS1041TUNPBF"/>
    <s v="303010"/>
    <s v="Communications"/>
    <s v="OFFICE PHONE SEPTEMBER 2021"/>
    <s v="1024173477"/>
    <s v="5000647695"/>
    <s v="4"/>
    <d v="2021-12-01T00:00:00"/>
    <n v="33.29"/>
    <s v="USD"/>
    <n v="33.29"/>
    <s v="USD"/>
    <n v="131896.79999999999"/>
    <s v="MGA"/>
    <s v="99"/>
    <s v="HRANDRIANA"/>
    <s v="5001085474"/>
    <s v="MG10"/>
  </r>
  <r>
    <s v="CS1041TUNPBF"/>
    <s v="TUNPBF000"/>
    <s v="CS.1041"/>
    <s v="MPTF_07"/>
    <s v="GENERAL OPERATING AND OTHER DI"/>
    <x v="8"/>
    <s v="Office rental - Antananarivo"/>
    <s v="CS1041TUNPBF"/>
    <s v="303120"/>
    <s v="Building Rental"/>
    <s v="OFFICE RENT DEC 2021"/>
    <s v="1024173478"/>
    <s v="5000647696"/>
    <s v="2"/>
    <d v="2021-12-01T00:00:00"/>
    <n v="414.82"/>
    <s v="USD"/>
    <n v="414.82"/>
    <s v="USD"/>
    <n v="1643416.6"/>
    <s v="MGA"/>
    <s v="99"/>
    <s v="HRANDRIANA"/>
    <s v="5001085475"/>
    <s v="MG10"/>
  </r>
  <r>
    <s v="CS1041TUNPBF"/>
    <s v="TUNPBF000"/>
    <s v="CS.1041"/>
    <s v="MPTF_07"/>
    <s v="GENERAL OPERATING AND OTHER DI"/>
    <x v="1"/>
    <s v="Communication Costs"/>
    <s v="CS1041TUNPBF"/>
    <s v="303430"/>
    <s v="Reference/manual/books/periodicals"/>
    <s v="Recruitment publications (1/4 page) on June 30th,"/>
    <s v="1024407885"/>
    <s v="5000660359"/>
    <s v="1"/>
    <d v="2022-02-01T00:00:00"/>
    <n v="120.25"/>
    <s v="USD"/>
    <n v="120.25"/>
    <s v="USD"/>
    <n v="478131"/>
    <s v="MGA"/>
    <s v="99"/>
    <s v="HRANDY"/>
    <s v="5001098163"/>
    <s v="MG10"/>
  </r>
  <r>
    <s v="CS1041TUNPBF"/>
    <s v="TUNPBF000"/>
    <s v="CS.1041"/>
    <s v="MPTF_07"/>
    <s v="GENERAL OPERATING AND OTHER DI"/>
    <x v="1"/>
    <s v="Communication Costs"/>
    <s v="CS1041TUNPBF"/>
    <s v="303430"/>
    <s v="Reference/manual/books/periodicals"/>
    <s v="Recruitment publications (1/4 page) on June 30th,"/>
    <s v="1024528603"/>
    <s v="5000677804"/>
    <s v="1"/>
    <d v="2022-02-28T00:00:00"/>
    <n v="-120.25"/>
    <s v="USD"/>
    <n v="-120.25"/>
    <s v="USD"/>
    <n v="-478131"/>
    <s v="MGA"/>
    <s v="99"/>
    <s v="HRANDRIANA"/>
    <s v="5001115456"/>
    <s v="MG10"/>
  </r>
  <r>
    <s v="CS1041TUNPBF"/>
    <s v="TUNPBF000"/>
    <s v="CS.1041"/>
    <s v="MPTF_07"/>
    <s v="GENERAL OPERATING AND OTHER DI"/>
    <x v="8"/>
    <s v="Office rental - Antananarivo"/>
    <s v="CS1041TUNPBF"/>
    <s v="303120"/>
    <s v="Building Rental"/>
    <s v="OFFICE RENT JAN 2021"/>
    <s v="1022066596"/>
    <s v="5200001673"/>
    <s v="1"/>
    <d v="2021-01-14T00:00:00"/>
    <n v="-0.01"/>
    <s v="USD"/>
    <n v="-0.01"/>
    <s v="USD"/>
    <n v="0"/>
    <s v="MGA"/>
    <s v="99"/>
    <s v="HRANDRIANA"/>
    <s v="5200001673"/>
    <s v="MG10"/>
  </r>
  <r>
    <s v="CS1041TUNPBF"/>
    <s v="TUNPBF000"/>
    <s v="CS.1041"/>
    <s v="MPTF_07"/>
    <s v="GENERAL OPERATING AND OTHER DI"/>
    <x v="2"/>
    <s v="Offices costs (inc. utilities, equipemen"/>
    <s v="CS1041TUNPBF"/>
    <s v="303540"/>
    <s v="I.T. Supplies Purchases"/>
    <s v="Toner cyan HP 130A (CF351A)"/>
    <s v="1023816562"/>
    <s v="5200144321"/>
    <s v="4"/>
    <d v="2021-10-10T00:00:00"/>
    <n v="-0.01"/>
    <s v="USD"/>
    <n v="-0.01"/>
    <s v="USD"/>
    <n v="0"/>
    <s v="MGA"/>
    <s v="99"/>
    <s v="HRANDY"/>
    <s v="5200144321"/>
    <s v="MG10"/>
  </r>
  <r>
    <s v="CS1041TUNPBF"/>
    <s v="TUNPBF000"/>
    <s v="CS.1041"/>
    <s v="MPTF_07"/>
    <s v="GENERAL OPERATING AND OTHER DI"/>
    <x v="2"/>
    <s v="Offices costs (inc. utilities, equipemen"/>
    <s v="CS1041TUNPBF"/>
    <s v="303540"/>
    <s v="I.T. Supplies Purchases"/>
    <s v="Toner magenta HP 130A (CF353A)"/>
    <s v="1023816562"/>
    <s v="5200144321"/>
    <s v="5"/>
    <d v="2021-10-10T00:00:00"/>
    <n v="-0.01"/>
    <s v="USD"/>
    <n v="-0.01"/>
    <s v="USD"/>
    <n v="0"/>
    <s v="MGA"/>
    <s v="99"/>
    <s v="HRANDY"/>
    <s v="5200144321"/>
    <s v="MG10"/>
  </r>
  <r>
    <s v="CS1041TUNPBF"/>
    <s v="TUNPBF000"/>
    <s v="CS.1041"/>
    <s v="MPTF_07"/>
    <s v="GENERAL OPERATING AND OTHER DI"/>
    <x v="0"/>
    <s v="Vehicle Running Costs"/>
    <s v="CS1041TUNPBF"/>
    <s v="303210"/>
    <s v="Vehicle maintenance supplies and services"/>
    <s v="Vehicle Periodical Maintenance 215CD003"/>
    <s v="1024026967"/>
    <s v="5200169415"/>
    <s v="1"/>
    <d v="2021-12-16T00:00:00"/>
    <n v="-0.01"/>
    <s v="USD"/>
    <n v="-0.01"/>
    <s v="USD"/>
    <n v="0"/>
    <s v="MGA"/>
    <s v="99"/>
    <s v="HRANDY"/>
    <s v="5200169415"/>
    <s v="MG10"/>
  </r>
  <r>
    <m/>
    <m/>
    <m/>
    <m/>
    <m/>
    <x v="9"/>
    <m/>
    <m/>
    <m/>
    <m/>
    <m/>
    <m/>
    <m/>
    <m/>
    <m/>
    <n v="137.26"/>
    <m/>
    <n v="137.26"/>
    <m/>
    <m/>
    <m/>
    <m/>
    <m/>
    <m/>
    <m/>
  </r>
  <r>
    <m/>
    <m/>
    <m/>
    <m/>
    <m/>
    <x v="10"/>
    <m/>
    <m/>
    <m/>
    <m/>
    <m/>
    <m/>
    <m/>
    <m/>
    <m/>
    <n v="381.03"/>
    <m/>
    <n v="381.03"/>
    <m/>
    <m/>
    <m/>
    <m/>
    <m/>
    <m/>
    <m/>
  </r>
  <r>
    <m/>
    <m/>
    <m/>
    <m/>
    <m/>
    <x v="9"/>
    <m/>
    <m/>
    <m/>
    <m/>
    <m/>
    <m/>
    <m/>
    <m/>
    <m/>
    <n v="190.16"/>
    <m/>
    <n v="190.16"/>
    <m/>
    <m/>
    <m/>
    <m/>
    <m/>
    <m/>
    <m/>
  </r>
  <r>
    <m/>
    <m/>
    <m/>
    <m/>
    <m/>
    <x v="11"/>
    <m/>
    <m/>
    <m/>
    <m/>
    <m/>
    <m/>
    <m/>
    <m/>
    <m/>
    <n v="93.56"/>
    <m/>
    <n v="93.56"/>
    <m/>
    <m/>
    <m/>
    <m/>
    <m/>
    <m/>
    <m/>
  </r>
  <r>
    <m/>
    <m/>
    <m/>
    <m/>
    <m/>
    <x v="11"/>
    <m/>
    <m/>
    <m/>
    <m/>
    <m/>
    <m/>
    <m/>
    <m/>
    <m/>
    <n v="10.52"/>
    <m/>
    <n v="10.52"/>
    <m/>
    <m/>
    <m/>
    <m/>
    <m/>
    <m/>
    <m/>
  </r>
  <r>
    <m/>
    <m/>
    <m/>
    <m/>
    <m/>
    <x v="12"/>
    <m/>
    <m/>
    <m/>
    <m/>
    <m/>
    <m/>
    <m/>
    <m/>
    <m/>
    <n v="946.81"/>
    <m/>
    <n v="946.81"/>
    <m/>
    <m/>
    <m/>
    <m/>
    <m/>
    <m/>
    <m/>
  </r>
  <r>
    <m/>
    <m/>
    <m/>
    <m/>
    <m/>
    <x v="12"/>
    <m/>
    <m/>
    <m/>
    <m/>
    <m/>
    <m/>
    <m/>
    <m/>
    <m/>
    <n v="946.81"/>
    <m/>
    <n v="946.81"/>
    <m/>
    <m/>
    <m/>
    <m/>
    <m/>
    <m/>
    <m/>
  </r>
  <r>
    <m/>
    <m/>
    <m/>
    <m/>
    <m/>
    <x v="12"/>
    <m/>
    <m/>
    <m/>
    <m/>
    <m/>
    <m/>
    <m/>
    <m/>
    <m/>
    <n v="142.02000000000001"/>
    <m/>
    <n v="142.02000000000001"/>
    <m/>
    <m/>
    <m/>
    <m/>
    <m/>
    <m/>
    <m/>
  </r>
  <r>
    <m/>
    <m/>
    <m/>
    <m/>
    <m/>
    <x v="12"/>
    <m/>
    <m/>
    <m/>
    <m/>
    <m/>
    <m/>
    <m/>
    <m/>
    <m/>
    <n v="49.61"/>
    <m/>
    <n v="49.61"/>
    <m/>
    <m/>
    <m/>
    <m/>
    <m/>
    <m/>
    <m/>
  </r>
  <r>
    <m/>
    <m/>
    <m/>
    <m/>
    <m/>
    <x v="10"/>
    <m/>
    <m/>
    <m/>
    <m/>
    <m/>
    <m/>
    <m/>
    <m/>
    <m/>
    <n v="35.56"/>
    <m/>
    <n v="35.56"/>
    <m/>
    <m/>
    <m/>
    <m/>
    <m/>
    <m/>
    <m/>
  </r>
  <r>
    <m/>
    <m/>
    <m/>
    <m/>
    <m/>
    <x v="10"/>
    <m/>
    <m/>
    <m/>
    <m/>
    <m/>
    <m/>
    <m/>
    <m/>
    <m/>
    <n v="495.67"/>
    <m/>
    <n v="495.67"/>
    <m/>
    <m/>
    <m/>
    <m/>
    <m/>
    <m/>
    <m/>
  </r>
  <r>
    <m/>
    <m/>
    <m/>
    <m/>
    <m/>
    <x v="13"/>
    <m/>
    <m/>
    <m/>
    <m/>
    <m/>
    <m/>
    <m/>
    <m/>
    <m/>
    <n v="1443.81"/>
    <m/>
    <n v="1443.81"/>
    <m/>
    <m/>
    <m/>
    <m/>
    <m/>
    <m/>
    <m/>
  </r>
  <r>
    <m/>
    <m/>
    <m/>
    <m/>
    <m/>
    <x v="13"/>
    <m/>
    <m/>
    <m/>
    <m/>
    <m/>
    <m/>
    <m/>
    <m/>
    <m/>
    <n v="507.6"/>
    <m/>
    <n v="507.6"/>
    <m/>
    <m/>
    <m/>
    <m/>
    <m/>
    <m/>
    <m/>
  </r>
  <r>
    <m/>
    <m/>
    <m/>
    <m/>
    <m/>
    <x v="14"/>
    <m/>
    <m/>
    <m/>
    <m/>
    <m/>
    <m/>
    <m/>
    <m/>
    <m/>
    <n v="53.01"/>
    <m/>
    <n v="53.01"/>
    <m/>
    <m/>
    <m/>
    <m/>
    <m/>
    <m/>
    <m/>
  </r>
  <r>
    <m/>
    <m/>
    <m/>
    <m/>
    <m/>
    <x v="15"/>
    <m/>
    <m/>
    <m/>
    <m/>
    <m/>
    <m/>
    <m/>
    <m/>
    <m/>
    <n v="316.08"/>
    <m/>
    <n v="316.08"/>
    <m/>
    <m/>
    <m/>
    <m/>
    <m/>
    <m/>
    <m/>
  </r>
  <r>
    <m/>
    <m/>
    <m/>
    <m/>
    <m/>
    <x v="16"/>
    <m/>
    <m/>
    <m/>
    <m/>
    <m/>
    <m/>
    <m/>
    <m/>
    <m/>
    <n v="19.190000000000001"/>
    <m/>
    <n v="19.190000000000001"/>
    <m/>
    <m/>
    <m/>
    <m/>
    <m/>
    <m/>
    <m/>
  </r>
  <r>
    <m/>
    <m/>
    <m/>
    <m/>
    <m/>
    <x v="16"/>
    <m/>
    <m/>
    <m/>
    <m/>
    <m/>
    <m/>
    <m/>
    <m/>
    <m/>
    <n v="78.67"/>
    <m/>
    <n v="78.67"/>
    <m/>
    <m/>
    <m/>
    <m/>
    <m/>
    <m/>
    <m/>
  </r>
  <r>
    <m/>
    <m/>
    <m/>
    <m/>
    <m/>
    <x v="16"/>
    <m/>
    <m/>
    <m/>
    <m/>
    <m/>
    <m/>
    <m/>
    <m/>
    <m/>
    <n v="78.67"/>
    <m/>
    <n v="78.67"/>
    <m/>
    <m/>
    <m/>
    <m/>
    <m/>
    <m/>
    <m/>
  </r>
  <r>
    <m/>
    <m/>
    <m/>
    <m/>
    <m/>
    <x v="16"/>
    <m/>
    <m/>
    <m/>
    <m/>
    <m/>
    <m/>
    <m/>
    <m/>
    <m/>
    <n v="182.39"/>
    <m/>
    <n v="182.39"/>
    <m/>
    <m/>
    <m/>
    <m/>
    <m/>
    <m/>
    <m/>
  </r>
  <r>
    <m/>
    <m/>
    <m/>
    <m/>
    <m/>
    <x v="16"/>
    <m/>
    <m/>
    <m/>
    <m/>
    <m/>
    <m/>
    <m/>
    <m/>
    <m/>
    <n v="26.3"/>
    <m/>
    <n v="26.3"/>
    <m/>
    <m/>
    <m/>
    <m/>
    <m/>
    <m/>
    <m/>
  </r>
  <r>
    <m/>
    <m/>
    <m/>
    <m/>
    <m/>
    <x v="17"/>
    <m/>
    <m/>
    <m/>
    <m/>
    <m/>
    <m/>
    <m/>
    <m/>
    <m/>
    <n v="52.07"/>
    <m/>
    <n v="52.07"/>
    <m/>
    <m/>
    <m/>
    <m/>
    <m/>
    <m/>
    <m/>
  </r>
  <r>
    <m/>
    <m/>
    <m/>
    <m/>
    <m/>
    <x v="18"/>
    <m/>
    <m/>
    <m/>
    <m/>
    <m/>
    <m/>
    <m/>
    <m/>
    <m/>
    <n v="296.8"/>
    <m/>
    <n v="296.8"/>
    <m/>
    <m/>
    <m/>
    <m/>
    <m/>
    <m/>
    <m/>
  </r>
  <r>
    <m/>
    <m/>
    <m/>
    <m/>
    <m/>
    <x v="18"/>
    <m/>
    <m/>
    <m/>
    <m/>
    <m/>
    <m/>
    <m/>
    <m/>
    <m/>
    <n v="886.49"/>
    <m/>
    <n v="886.49"/>
    <m/>
    <m/>
    <m/>
    <m/>
    <m/>
    <m/>
    <m/>
  </r>
  <r>
    <m/>
    <m/>
    <m/>
    <m/>
    <m/>
    <x v="19"/>
    <m/>
    <m/>
    <m/>
    <m/>
    <m/>
    <m/>
    <m/>
    <m/>
    <m/>
    <n v="17.63"/>
    <m/>
    <n v="17.63"/>
    <m/>
    <m/>
    <m/>
    <m/>
    <m/>
    <m/>
    <m/>
  </r>
  <r>
    <m/>
    <m/>
    <m/>
    <m/>
    <m/>
    <x v="19"/>
    <m/>
    <m/>
    <m/>
    <m/>
    <m/>
    <m/>
    <m/>
    <m/>
    <m/>
    <n v="6.25"/>
    <m/>
    <n v="6.25"/>
    <m/>
    <m/>
    <m/>
    <m/>
    <m/>
    <m/>
    <m/>
  </r>
  <r>
    <m/>
    <m/>
    <m/>
    <m/>
    <m/>
    <x v="19"/>
    <m/>
    <m/>
    <m/>
    <m/>
    <m/>
    <m/>
    <m/>
    <m/>
    <m/>
    <n v="62.48"/>
    <m/>
    <n v="62.48"/>
    <m/>
    <m/>
    <m/>
    <m/>
    <m/>
    <m/>
    <m/>
  </r>
  <r>
    <m/>
    <m/>
    <m/>
    <m/>
    <m/>
    <x v="19"/>
    <m/>
    <m/>
    <m/>
    <m/>
    <m/>
    <m/>
    <m/>
    <m/>
    <m/>
    <n v="195.52"/>
    <m/>
    <n v="195.52"/>
    <m/>
    <m/>
    <m/>
    <m/>
    <m/>
    <m/>
    <m/>
  </r>
  <r>
    <m/>
    <m/>
    <m/>
    <m/>
    <m/>
    <x v="19"/>
    <m/>
    <m/>
    <m/>
    <m/>
    <m/>
    <m/>
    <m/>
    <m/>
    <m/>
    <n v="411.34"/>
    <m/>
    <n v="411.34"/>
    <m/>
    <m/>
    <m/>
    <m/>
    <m/>
    <m/>
    <m/>
  </r>
  <r>
    <m/>
    <m/>
    <m/>
    <m/>
    <m/>
    <x v="20"/>
    <m/>
    <m/>
    <m/>
    <m/>
    <m/>
    <m/>
    <m/>
    <m/>
    <m/>
    <n v="487.52"/>
    <m/>
    <n v="487.52"/>
    <m/>
    <m/>
    <m/>
    <m/>
    <m/>
    <m/>
    <m/>
  </r>
  <r>
    <m/>
    <m/>
    <m/>
    <m/>
    <m/>
    <x v="4"/>
    <m/>
    <m/>
    <m/>
    <m/>
    <m/>
    <m/>
    <m/>
    <m/>
    <m/>
    <n v="174.51"/>
    <m/>
    <n v="174.51"/>
    <m/>
    <m/>
    <m/>
    <m/>
    <m/>
    <m/>
    <m/>
  </r>
  <r>
    <m/>
    <m/>
    <m/>
    <m/>
    <m/>
    <x v="4"/>
    <m/>
    <m/>
    <m/>
    <m/>
    <m/>
    <m/>
    <m/>
    <m/>
    <m/>
    <n v="105.76"/>
    <m/>
    <n v="105.76"/>
    <m/>
    <m/>
    <m/>
    <m/>
    <m/>
    <m/>
    <m/>
  </r>
  <r>
    <m/>
    <m/>
    <m/>
    <m/>
    <m/>
    <x v="4"/>
    <m/>
    <m/>
    <m/>
    <m/>
    <m/>
    <m/>
    <m/>
    <m/>
    <m/>
    <n v="104.27"/>
    <m/>
    <n v="104.27"/>
    <m/>
    <m/>
    <m/>
    <m/>
    <m/>
    <m/>
    <m/>
  </r>
  <r>
    <m/>
    <m/>
    <m/>
    <m/>
    <m/>
    <x v="4"/>
    <m/>
    <m/>
    <m/>
    <m/>
    <m/>
    <m/>
    <m/>
    <m/>
    <m/>
    <n v="104.45"/>
    <m/>
    <n v="104.45"/>
    <m/>
    <m/>
    <m/>
    <m/>
    <m/>
    <m/>
    <m/>
  </r>
  <r>
    <m/>
    <m/>
    <m/>
    <m/>
    <m/>
    <x v="4"/>
    <m/>
    <m/>
    <m/>
    <m/>
    <m/>
    <m/>
    <m/>
    <m/>
    <m/>
    <n v="241.19"/>
    <m/>
    <n v="241.19"/>
    <m/>
    <m/>
    <m/>
    <m/>
    <m/>
    <m/>
    <m/>
  </r>
  <r>
    <m/>
    <m/>
    <m/>
    <m/>
    <m/>
    <x v="4"/>
    <m/>
    <m/>
    <m/>
    <m/>
    <m/>
    <m/>
    <m/>
    <m/>
    <m/>
    <n v="88.35"/>
    <m/>
    <n v="88.35"/>
    <m/>
    <m/>
    <m/>
    <m/>
    <m/>
    <m/>
    <m/>
  </r>
  <r>
    <m/>
    <m/>
    <m/>
    <m/>
    <m/>
    <x v="4"/>
    <m/>
    <m/>
    <m/>
    <m/>
    <m/>
    <m/>
    <m/>
    <m/>
    <m/>
    <n v="145.80000000000001"/>
    <m/>
    <n v="145.80000000000001"/>
    <m/>
    <m/>
    <m/>
    <m/>
    <m/>
    <m/>
    <m/>
  </r>
  <r>
    <m/>
    <m/>
    <m/>
    <m/>
    <m/>
    <x v="4"/>
    <m/>
    <m/>
    <m/>
    <m/>
    <m/>
    <m/>
    <m/>
    <m/>
    <m/>
    <n v="529"/>
    <m/>
    <n v="529"/>
    <m/>
    <m/>
    <m/>
    <m/>
    <m/>
    <m/>
    <m/>
  </r>
  <r>
    <m/>
    <m/>
    <m/>
    <m/>
    <m/>
    <x v="4"/>
    <m/>
    <m/>
    <m/>
    <m/>
    <m/>
    <m/>
    <m/>
    <m/>
    <m/>
    <n v="102.26"/>
    <m/>
    <n v="102.26"/>
    <m/>
    <m/>
    <m/>
    <m/>
    <m/>
    <m/>
    <m/>
  </r>
  <r>
    <m/>
    <m/>
    <m/>
    <m/>
    <m/>
    <x v="4"/>
    <m/>
    <m/>
    <m/>
    <m/>
    <m/>
    <m/>
    <m/>
    <m/>
    <m/>
    <n v="65.23"/>
    <m/>
    <n v="65.23"/>
    <m/>
    <m/>
    <m/>
    <m/>
    <m/>
    <m/>
    <m/>
  </r>
  <r>
    <m/>
    <m/>
    <m/>
    <m/>
    <m/>
    <x v="4"/>
    <m/>
    <m/>
    <m/>
    <m/>
    <m/>
    <m/>
    <m/>
    <m/>
    <m/>
    <n v="135.75"/>
    <m/>
    <n v="135.75"/>
    <m/>
    <m/>
    <m/>
    <m/>
    <m/>
    <m/>
    <m/>
  </r>
  <r>
    <m/>
    <m/>
    <m/>
    <m/>
    <m/>
    <x v="4"/>
    <m/>
    <m/>
    <m/>
    <m/>
    <m/>
    <m/>
    <m/>
    <m/>
    <m/>
    <n v="129.68"/>
    <m/>
    <n v="129.68"/>
    <m/>
    <m/>
    <m/>
    <m/>
    <m/>
    <m/>
    <m/>
  </r>
  <r>
    <m/>
    <m/>
    <m/>
    <m/>
    <m/>
    <x v="4"/>
    <m/>
    <m/>
    <m/>
    <m/>
    <m/>
    <m/>
    <m/>
    <m/>
    <m/>
    <n v="250.41"/>
    <m/>
    <n v="250.41"/>
    <m/>
    <m/>
    <m/>
    <m/>
    <m/>
    <m/>
    <m/>
  </r>
  <r>
    <m/>
    <m/>
    <m/>
    <m/>
    <m/>
    <x v="4"/>
    <m/>
    <m/>
    <m/>
    <m/>
    <m/>
    <m/>
    <m/>
    <m/>
    <m/>
    <n v="200.59"/>
    <m/>
    <n v="200.59"/>
    <m/>
    <m/>
    <m/>
    <m/>
    <m/>
    <m/>
    <m/>
  </r>
  <r>
    <m/>
    <m/>
    <m/>
    <m/>
    <m/>
    <x v="4"/>
    <m/>
    <m/>
    <m/>
    <m/>
    <m/>
    <m/>
    <m/>
    <m/>
    <m/>
    <n v="0"/>
    <m/>
    <n v="0"/>
    <m/>
    <m/>
    <m/>
    <m/>
    <m/>
    <m/>
    <m/>
  </r>
  <r>
    <m/>
    <m/>
    <m/>
    <m/>
    <m/>
    <x v="4"/>
    <m/>
    <m/>
    <m/>
    <m/>
    <m/>
    <m/>
    <m/>
    <m/>
    <m/>
    <n v="1458.29"/>
    <m/>
    <n v="1458.29"/>
    <m/>
    <m/>
    <m/>
    <m/>
    <m/>
    <m/>
    <m/>
  </r>
  <r>
    <m/>
    <m/>
    <m/>
    <m/>
    <m/>
    <x v="4"/>
    <m/>
    <m/>
    <m/>
    <m/>
    <m/>
    <m/>
    <m/>
    <m/>
    <m/>
    <n v="1899"/>
    <m/>
    <n v="1899"/>
    <m/>
    <m/>
    <m/>
    <m/>
    <m/>
    <m/>
    <m/>
  </r>
  <r>
    <m/>
    <m/>
    <m/>
    <m/>
    <m/>
    <x v="4"/>
    <m/>
    <m/>
    <m/>
    <m/>
    <m/>
    <m/>
    <m/>
    <m/>
    <m/>
    <n v="102.84"/>
    <m/>
    <n v="102.84"/>
    <m/>
    <m/>
    <m/>
    <m/>
    <m/>
    <m/>
    <m/>
  </r>
  <r>
    <m/>
    <m/>
    <m/>
    <m/>
    <m/>
    <x v="4"/>
    <m/>
    <m/>
    <m/>
    <m/>
    <m/>
    <m/>
    <m/>
    <m/>
    <m/>
    <n v="51.79"/>
    <m/>
    <n v="51.79"/>
    <m/>
    <m/>
    <m/>
    <m/>
    <m/>
    <m/>
    <m/>
  </r>
  <r>
    <m/>
    <m/>
    <m/>
    <m/>
    <m/>
    <x v="2"/>
    <m/>
    <m/>
    <m/>
    <m/>
    <m/>
    <m/>
    <m/>
    <m/>
    <m/>
    <n v="69.739999999999995"/>
    <m/>
    <n v="69.739999999999995"/>
    <m/>
    <m/>
    <m/>
    <m/>
    <m/>
    <m/>
    <m/>
  </r>
  <r>
    <m/>
    <m/>
    <m/>
    <m/>
    <m/>
    <x v="2"/>
    <m/>
    <m/>
    <m/>
    <m/>
    <m/>
    <m/>
    <m/>
    <m/>
    <m/>
    <n v="2.23"/>
    <m/>
    <n v="2.23"/>
    <m/>
    <m/>
    <m/>
    <m/>
    <m/>
    <m/>
    <m/>
  </r>
  <r>
    <m/>
    <m/>
    <m/>
    <m/>
    <m/>
    <x v="2"/>
    <m/>
    <m/>
    <m/>
    <m/>
    <m/>
    <m/>
    <m/>
    <m/>
    <m/>
    <n v="3.11"/>
    <m/>
    <n v="3.11"/>
    <m/>
    <m/>
    <m/>
    <m/>
    <m/>
    <m/>
    <m/>
  </r>
  <r>
    <m/>
    <m/>
    <m/>
    <m/>
    <m/>
    <x v="2"/>
    <m/>
    <m/>
    <m/>
    <m/>
    <m/>
    <m/>
    <m/>
    <m/>
    <m/>
    <n v="1.65"/>
    <m/>
    <n v="1.65"/>
    <m/>
    <m/>
    <m/>
    <m/>
    <m/>
    <m/>
    <m/>
  </r>
  <r>
    <m/>
    <m/>
    <m/>
    <m/>
    <m/>
    <x v="2"/>
    <m/>
    <m/>
    <m/>
    <m/>
    <m/>
    <m/>
    <m/>
    <m/>
    <m/>
    <n v="-171846.5"/>
    <m/>
    <n v="-171846.5"/>
    <m/>
    <m/>
    <m/>
    <m/>
    <m/>
    <m/>
    <m/>
  </r>
  <r>
    <m/>
    <m/>
    <m/>
    <m/>
    <m/>
    <x v="2"/>
    <m/>
    <m/>
    <m/>
    <m/>
    <m/>
    <m/>
    <m/>
    <m/>
    <m/>
    <n v="45.19"/>
    <m/>
    <n v="45.19"/>
    <m/>
    <m/>
    <m/>
    <m/>
    <m/>
    <m/>
    <m/>
  </r>
  <r>
    <m/>
    <m/>
    <m/>
    <m/>
    <m/>
    <x v="2"/>
    <m/>
    <m/>
    <m/>
    <m/>
    <m/>
    <m/>
    <m/>
    <m/>
    <m/>
    <n v="51.55"/>
    <m/>
    <n v="51.55"/>
    <m/>
    <m/>
    <m/>
    <m/>
    <m/>
    <m/>
    <m/>
  </r>
  <r>
    <m/>
    <m/>
    <m/>
    <m/>
    <m/>
    <x v="2"/>
    <m/>
    <m/>
    <m/>
    <m/>
    <m/>
    <m/>
    <m/>
    <m/>
    <m/>
    <n v="237.97"/>
    <m/>
    <n v="237.97"/>
    <m/>
    <m/>
    <m/>
    <m/>
    <m/>
    <m/>
    <m/>
  </r>
  <r>
    <m/>
    <m/>
    <m/>
    <m/>
    <m/>
    <x v="2"/>
    <m/>
    <m/>
    <m/>
    <m/>
    <m/>
    <m/>
    <m/>
    <m/>
    <m/>
    <n v="24.68"/>
    <m/>
    <n v="24.68"/>
    <m/>
    <m/>
    <m/>
    <m/>
    <m/>
    <m/>
    <m/>
  </r>
  <r>
    <m/>
    <m/>
    <m/>
    <m/>
    <m/>
    <x v="2"/>
    <m/>
    <m/>
    <m/>
    <m/>
    <m/>
    <m/>
    <m/>
    <m/>
    <m/>
    <n v="108.73"/>
    <m/>
    <n v="108.73"/>
    <m/>
    <m/>
    <m/>
    <m/>
    <m/>
    <m/>
    <m/>
  </r>
  <r>
    <m/>
    <m/>
    <m/>
    <m/>
    <m/>
    <x v="2"/>
    <m/>
    <m/>
    <m/>
    <m/>
    <m/>
    <m/>
    <m/>
    <m/>
    <m/>
    <n v="171846.5"/>
    <m/>
    <n v="171846.5"/>
    <m/>
    <m/>
    <m/>
    <m/>
    <m/>
    <m/>
    <m/>
  </r>
  <r>
    <m/>
    <m/>
    <m/>
    <m/>
    <m/>
    <x v="2"/>
    <m/>
    <m/>
    <m/>
    <m/>
    <m/>
    <m/>
    <m/>
    <m/>
    <m/>
    <n v="151.71"/>
    <m/>
    <n v="151.71"/>
    <m/>
    <m/>
    <m/>
    <m/>
    <m/>
    <m/>
    <m/>
  </r>
  <r>
    <m/>
    <m/>
    <m/>
    <m/>
    <m/>
    <x v="2"/>
    <m/>
    <m/>
    <m/>
    <m/>
    <m/>
    <m/>
    <m/>
    <m/>
    <m/>
    <n v="31.73"/>
    <m/>
    <n v="31.73"/>
    <m/>
    <m/>
    <m/>
    <m/>
    <m/>
    <m/>
    <m/>
  </r>
  <r>
    <m/>
    <m/>
    <m/>
    <m/>
    <m/>
    <x v="2"/>
    <m/>
    <m/>
    <m/>
    <m/>
    <m/>
    <m/>
    <m/>
    <m/>
    <m/>
    <n v="56.45"/>
    <m/>
    <n v="56.45"/>
    <m/>
    <m/>
    <m/>
    <m/>
    <m/>
    <m/>
    <m/>
  </r>
  <r>
    <m/>
    <m/>
    <m/>
    <m/>
    <m/>
    <x v="2"/>
    <m/>
    <m/>
    <m/>
    <m/>
    <m/>
    <m/>
    <m/>
    <m/>
    <m/>
    <n v="2.73"/>
    <m/>
    <n v="2.73"/>
    <m/>
    <m/>
    <m/>
    <m/>
    <m/>
    <m/>
    <m/>
  </r>
  <r>
    <m/>
    <m/>
    <m/>
    <m/>
    <m/>
    <x v="2"/>
    <m/>
    <m/>
    <m/>
    <m/>
    <m/>
    <m/>
    <m/>
    <m/>
    <m/>
    <n v="103.05"/>
    <m/>
    <n v="103.05"/>
    <m/>
    <m/>
    <m/>
    <m/>
    <m/>
    <m/>
    <m/>
  </r>
  <r>
    <m/>
    <m/>
    <m/>
    <m/>
    <m/>
    <x v="2"/>
    <m/>
    <m/>
    <m/>
    <m/>
    <m/>
    <m/>
    <m/>
    <m/>
    <m/>
    <n v="160.12"/>
    <m/>
    <n v="160.12"/>
    <m/>
    <m/>
    <m/>
    <m/>
    <m/>
    <m/>
    <m/>
  </r>
  <r>
    <m/>
    <m/>
    <m/>
    <m/>
    <m/>
    <x v="2"/>
    <m/>
    <m/>
    <m/>
    <m/>
    <m/>
    <m/>
    <m/>
    <m/>
    <m/>
    <n v="358.66"/>
    <m/>
    <n v="358.66"/>
    <m/>
    <m/>
    <m/>
    <m/>
    <m/>
    <m/>
    <m/>
  </r>
  <r>
    <m/>
    <m/>
    <m/>
    <m/>
    <m/>
    <x v="2"/>
    <m/>
    <m/>
    <m/>
    <m/>
    <m/>
    <m/>
    <m/>
    <m/>
    <m/>
    <n v="247.42"/>
    <m/>
    <n v="247.42"/>
    <m/>
    <m/>
    <m/>
    <m/>
    <m/>
    <m/>
    <m/>
  </r>
  <r>
    <m/>
    <m/>
    <m/>
    <m/>
    <m/>
    <x v="2"/>
    <m/>
    <m/>
    <m/>
    <m/>
    <m/>
    <m/>
    <m/>
    <m/>
    <m/>
    <n v="30.51"/>
    <m/>
    <n v="30.51"/>
    <m/>
    <m/>
    <m/>
    <m/>
    <m/>
    <m/>
    <m/>
  </r>
  <r>
    <m/>
    <m/>
    <m/>
    <m/>
    <m/>
    <x v="2"/>
    <m/>
    <m/>
    <m/>
    <m/>
    <m/>
    <m/>
    <m/>
    <m/>
    <m/>
    <n v="2.77"/>
    <m/>
    <n v="2.77"/>
    <m/>
    <m/>
    <m/>
    <m/>
    <m/>
    <m/>
    <m/>
  </r>
  <r>
    <m/>
    <m/>
    <m/>
    <m/>
    <m/>
    <x v="2"/>
    <m/>
    <m/>
    <m/>
    <m/>
    <m/>
    <m/>
    <m/>
    <m/>
    <m/>
    <n v="42.66"/>
    <m/>
    <n v="42.66"/>
    <m/>
    <m/>
    <m/>
    <m/>
    <m/>
    <m/>
    <m/>
  </r>
  <r>
    <m/>
    <m/>
    <m/>
    <m/>
    <m/>
    <x v="0"/>
    <m/>
    <m/>
    <m/>
    <m/>
    <m/>
    <m/>
    <m/>
    <m/>
    <m/>
    <n v="29.89"/>
    <m/>
    <n v="29.89"/>
    <m/>
    <m/>
    <m/>
    <m/>
    <m/>
    <m/>
    <m/>
  </r>
  <r>
    <m/>
    <m/>
    <m/>
    <m/>
    <m/>
    <x v="0"/>
    <m/>
    <m/>
    <m/>
    <m/>
    <m/>
    <m/>
    <m/>
    <m/>
    <m/>
    <n v="101.54"/>
    <m/>
    <n v="101.54"/>
    <m/>
    <m/>
    <m/>
    <m/>
    <m/>
    <m/>
    <m/>
  </r>
  <r>
    <m/>
    <m/>
    <m/>
    <m/>
    <m/>
    <x v="0"/>
    <m/>
    <m/>
    <m/>
    <m/>
    <m/>
    <m/>
    <m/>
    <m/>
    <m/>
    <n v="52.79"/>
    <m/>
    <n v="52.79"/>
    <m/>
    <m/>
    <m/>
    <m/>
    <m/>
    <m/>
    <m/>
  </r>
  <r>
    <m/>
    <m/>
    <m/>
    <m/>
    <m/>
    <x v="0"/>
    <m/>
    <m/>
    <m/>
    <m/>
    <m/>
    <m/>
    <m/>
    <m/>
    <m/>
    <n v="15.08"/>
    <m/>
    <n v="15.08"/>
    <m/>
    <m/>
    <m/>
    <m/>
    <m/>
    <m/>
    <m/>
  </r>
  <r>
    <m/>
    <m/>
    <m/>
    <m/>
    <m/>
    <x v="0"/>
    <m/>
    <m/>
    <m/>
    <m/>
    <m/>
    <m/>
    <m/>
    <m/>
    <m/>
    <n v="109.25"/>
    <m/>
    <n v="109.25"/>
    <m/>
    <m/>
    <m/>
    <m/>
    <m/>
    <m/>
    <m/>
  </r>
  <r>
    <m/>
    <m/>
    <m/>
    <m/>
    <m/>
    <x v="0"/>
    <m/>
    <m/>
    <m/>
    <m/>
    <m/>
    <m/>
    <m/>
    <m/>
    <m/>
    <n v="-262.83"/>
    <m/>
    <n v="-262.83"/>
    <m/>
    <m/>
    <m/>
    <m/>
    <m/>
    <m/>
    <m/>
  </r>
  <r>
    <m/>
    <m/>
    <m/>
    <m/>
    <m/>
    <x v="0"/>
    <m/>
    <m/>
    <m/>
    <m/>
    <m/>
    <m/>
    <m/>
    <m/>
    <m/>
    <n v="265.26"/>
    <m/>
    <n v="265.26"/>
    <m/>
    <m/>
    <m/>
    <m/>
    <m/>
    <m/>
    <m/>
  </r>
  <r>
    <m/>
    <m/>
    <m/>
    <m/>
    <m/>
    <x v="0"/>
    <m/>
    <m/>
    <m/>
    <m/>
    <m/>
    <m/>
    <m/>
    <m/>
    <m/>
    <n v="185.65"/>
    <m/>
    <n v="185.65"/>
    <m/>
    <m/>
    <m/>
    <m/>
    <m/>
    <m/>
    <m/>
  </r>
  <r>
    <m/>
    <m/>
    <m/>
    <m/>
    <m/>
    <x v="0"/>
    <m/>
    <m/>
    <m/>
    <m/>
    <m/>
    <m/>
    <m/>
    <m/>
    <m/>
    <n v="-0.01"/>
    <m/>
    <n v="-0.01"/>
    <m/>
    <m/>
    <m/>
    <m/>
    <m/>
    <m/>
    <m/>
  </r>
  <r>
    <m/>
    <m/>
    <m/>
    <m/>
    <m/>
    <x v="1"/>
    <m/>
    <m/>
    <m/>
    <m/>
    <m/>
    <m/>
    <m/>
    <m/>
    <m/>
    <n v="75.069999999999993"/>
    <m/>
    <n v="75.069999999999993"/>
    <m/>
    <m/>
    <m/>
    <m/>
    <m/>
    <m/>
    <m/>
  </r>
  <r>
    <m/>
    <m/>
    <m/>
    <m/>
    <m/>
    <x v="1"/>
    <m/>
    <m/>
    <m/>
    <m/>
    <m/>
    <m/>
    <m/>
    <m/>
    <m/>
    <n v="41.54"/>
    <m/>
    <n v="41.54"/>
    <m/>
    <m/>
    <m/>
    <m/>
    <m/>
    <m/>
    <m/>
  </r>
  <r>
    <m/>
    <m/>
    <m/>
    <m/>
    <m/>
    <x v="1"/>
    <m/>
    <m/>
    <m/>
    <m/>
    <m/>
    <m/>
    <m/>
    <m/>
    <m/>
    <n v="11.65"/>
    <m/>
    <n v="11.65"/>
    <m/>
    <m/>
    <m/>
    <m/>
    <m/>
    <m/>
    <m/>
  </r>
  <r>
    <m/>
    <m/>
    <m/>
    <m/>
    <m/>
    <x v="1"/>
    <m/>
    <m/>
    <m/>
    <m/>
    <m/>
    <m/>
    <m/>
    <m/>
    <m/>
    <n v="93.4"/>
    <m/>
    <n v="93.4"/>
    <m/>
    <m/>
    <m/>
    <m/>
    <m/>
    <m/>
    <m/>
  </r>
  <r>
    <m/>
    <m/>
    <m/>
    <m/>
    <m/>
    <x v="1"/>
    <m/>
    <m/>
    <m/>
    <m/>
    <m/>
    <m/>
    <m/>
    <m/>
    <m/>
    <n v="7.29"/>
    <m/>
    <n v="7.29"/>
    <m/>
    <m/>
    <m/>
    <m/>
    <m/>
    <m/>
    <m/>
  </r>
  <r>
    <m/>
    <m/>
    <m/>
    <m/>
    <m/>
    <x v="1"/>
    <m/>
    <m/>
    <m/>
    <m/>
    <m/>
    <m/>
    <m/>
    <m/>
    <m/>
    <n v="66.650000000000006"/>
    <m/>
    <n v="66.650000000000006"/>
    <m/>
    <m/>
    <m/>
    <m/>
    <m/>
    <m/>
    <m/>
  </r>
  <r>
    <m/>
    <m/>
    <m/>
    <m/>
    <m/>
    <x v="1"/>
    <m/>
    <m/>
    <m/>
    <m/>
    <m/>
    <m/>
    <m/>
    <m/>
    <m/>
    <n v="27.42"/>
    <m/>
    <n v="27.42"/>
    <m/>
    <m/>
    <m/>
    <m/>
    <m/>
    <m/>
    <m/>
  </r>
  <r>
    <m/>
    <m/>
    <m/>
    <m/>
    <m/>
    <x v="1"/>
    <m/>
    <m/>
    <m/>
    <m/>
    <m/>
    <m/>
    <m/>
    <m/>
    <m/>
    <n v="47.99"/>
    <m/>
    <n v="47.99"/>
    <m/>
    <m/>
    <m/>
    <m/>
    <m/>
    <m/>
    <m/>
  </r>
  <r>
    <m/>
    <m/>
    <m/>
    <m/>
    <m/>
    <x v="1"/>
    <m/>
    <m/>
    <m/>
    <m/>
    <m/>
    <m/>
    <m/>
    <m/>
    <m/>
    <n v="7.68"/>
    <m/>
    <n v="7.68"/>
    <m/>
    <m/>
    <m/>
    <m/>
    <m/>
    <m/>
    <m/>
  </r>
  <r>
    <m/>
    <m/>
    <m/>
    <m/>
    <m/>
    <x v="1"/>
    <m/>
    <m/>
    <m/>
    <m/>
    <m/>
    <m/>
    <m/>
    <m/>
    <m/>
    <n v="26.05"/>
    <m/>
    <n v="26.05"/>
    <m/>
    <m/>
    <m/>
    <m/>
    <m/>
    <m/>
    <m/>
  </r>
  <r>
    <m/>
    <m/>
    <m/>
    <m/>
    <m/>
    <x v="1"/>
    <m/>
    <m/>
    <m/>
    <m/>
    <m/>
    <m/>
    <m/>
    <m/>
    <m/>
    <n v="26.22"/>
    <m/>
    <n v="26.22"/>
    <m/>
    <m/>
    <m/>
    <m/>
    <m/>
    <m/>
    <m/>
  </r>
  <r>
    <m/>
    <m/>
    <m/>
    <m/>
    <m/>
    <x v="1"/>
    <m/>
    <m/>
    <m/>
    <m/>
    <m/>
    <m/>
    <m/>
    <m/>
    <m/>
    <n v="5.51"/>
    <m/>
    <n v="5.51"/>
    <m/>
    <m/>
    <m/>
    <m/>
    <m/>
    <m/>
    <m/>
  </r>
  <r>
    <m/>
    <m/>
    <m/>
    <m/>
    <m/>
    <x v="1"/>
    <m/>
    <m/>
    <m/>
    <m/>
    <m/>
    <m/>
    <m/>
    <m/>
    <m/>
    <n v="1959.12"/>
    <m/>
    <n v="1959.12"/>
    <m/>
    <m/>
    <m/>
    <m/>
    <m/>
    <m/>
    <m/>
  </r>
  <r>
    <m/>
    <m/>
    <m/>
    <m/>
    <m/>
    <x v="1"/>
    <m/>
    <m/>
    <m/>
    <m/>
    <m/>
    <m/>
    <m/>
    <m/>
    <m/>
    <n v="26.44"/>
    <m/>
    <n v="26.44"/>
    <m/>
    <m/>
    <m/>
    <m/>
    <m/>
    <m/>
    <m/>
  </r>
  <r>
    <m/>
    <m/>
    <m/>
    <m/>
    <m/>
    <x v="21"/>
    <m/>
    <m/>
    <m/>
    <m/>
    <m/>
    <m/>
    <m/>
    <m/>
    <m/>
    <n v="-442.06"/>
    <m/>
    <n v="-442.06"/>
    <m/>
    <m/>
    <m/>
    <m/>
    <m/>
    <m/>
    <m/>
  </r>
  <r>
    <m/>
    <m/>
    <m/>
    <m/>
    <m/>
    <x v="21"/>
    <m/>
    <m/>
    <m/>
    <m/>
    <m/>
    <m/>
    <m/>
    <m/>
    <m/>
    <n v="-425.31"/>
    <m/>
    <n v="-425.31"/>
    <m/>
    <m/>
    <m/>
    <m/>
    <m/>
    <m/>
    <m/>
  </r>
  <r>
    <m/>
    <m/>
    <m/>
    <m/>
    <m/>
    <x v="21"/>
    <m/>
    <m/>
    <m/>
    <m/>
    <m/>
    <m/>
    <m/>
    <m/>
    <m/>
    <n v="3827.79"/>
    <m/>
    <n v="3827.79"/>
    <m/>
    <m/>
    <m/>
    <m/>
    <m/>
    <m/>
    <m/>
  </r>
  <r>
    <m/>
    <m/>
    <m/>
    <m/>
    <m/>
    <x v="21"/>
    <m/>
    <m/>
    <m/>
    <m/>
    <m/>
    <m/>
    <m/>
    <m/>
    <m/>
    <n v="425.31"/>
    <m/>
    <n v="425.31"/>
    <m/>
    <m/>
    <m/>
    <m/>
    <m/>
    <m/>
    <m/>
  </r>
  <r>
    <m/>
    <m/>
    <m/>
    <m/>
    <m/>
    <x v="8"/>
    <m/>
    <m/>
    <m/>
    <m/>
    <m/>
    <m/>
    <m/>
    <m/>
    <m/>
    <n v="686.11"/>
    <m/>
    <n v="686.11"/>
    <m/>
    <m/>
    <m/>
    <m/>
    <m/>
    <m/>
    <m/>
  </r>
  <r>
    <m/>
    <m/>
    <m/>
    <m/>
    <m/>
    <x v="8"/>
    <m/>
    <m/>
    <m/>
    <m/>
    <m/>
    <m/>
    <m/>
    <m/>
    <m/>
    <n v="340.22"/>
    <m/>
    <n v="340.22"/>
    <m/>
    <m/>
    <m/>
    <m/>
    <m/>
    <m/>
    <m/>
  </r>
  <r>
    <m/>
    <m/>
    <m/>
    <m/>
    <m/>
    <x v="8"/>
    <m/>
    <m/>
    <m/>
    <m/>
    <m/>
    <m/>
    <m/>
    <m/>
    <m/>
    <n v="570.78"/>
    <m/>
    <n v="570.78"/>
    <m/>
    <m/>
    <m/>
    <m/>
    <m/>
    <m/>
    <m/>
  </r>
  <r>
    <m/>
    <m/>
    <m/>
    <m/>
    <m/>
    <x v="8"/>
    <m/>
    <m/>
    <m/>
    <m/>
    <m/>
    <m/>
    <m/>
    <m/>
    <m/>
    <n v="346.24"/>
    <m/>
    <n v="346.24"/>
    <m/>
    <m/>
    <m/>
    <m/>
    <m/>
    <m/>
    <m/>
  </r>
  <r>
    <m/>
    <m/>
    <m/>
    <m/>
    <m/>
    <x v="8"/>
    <m/>
    <m/>
    <m/>
    <m/>
    <m/>
    <m/>
    <m/>
    <m/>
    <m/>
    <n v="562.98"/>
    <m/>
    <n v="562.98"/>
    <m/>
    <m/>
    <m/>
    <m/>
    <m/>
    <m/>
    <m/>
  </r>
  <r>
    <m/>
    <m/>
    <m/>
    <m/>
    <m/>
    <x v="8"/>
    <m/>
    <m/>
    <m/>
    <m/>
    <m/>
    <m/>
    <m/>
    <m/>
    <m/>
    <n v="439.25"/>
    <m/>
    <n v="439.25"/>
    <m/>
    <m/>
    <m/>
    <m/>
    <m/>
    <m/>
    <m/>
  </r>
  <r>
    <m/>
    <m/>
    <m/>
    <m/>
    <m/>
    <x v="8"/>
    <m/>
    <m/>
    <m/>
    <m/>
    <m/>
    <m/>
    <m/>
    <m/>
    <m/>
    <n v="-0.01"/>
    <m/>
    <n v="-0.01"/>
    <m/>
    <m/>
    <m/>
    <m/>
    <m/>
    <m/>
    <m/>
  </r>
  <r>
    <m/>
    <m/>
    <m/>
    <m/>
    <m/>
    <x v="8"/>
    <m/>
    <m/>
    <m/>
    <m/>
    <m/>
    <m/>
    <m/>
    <m/>
    <m/>
    <n v="447.86"/>
    <m/>
    <n v="447.86"/>
    <m/>
    <m/>
    <m/>
    <m/>
    <m/>
    <m/>
    <m/>
  </r>
  <r>
    <m/>
    <m/>
    <m/>
    <m/>
    <m/>
    <x v="8"/>
    <m/>
    <m/>
    <m/>
    <m/>
    <m/>
    <m/>
    <m/>
    <m/>
    <m/>
    <n v="454.88"/>
    <m/>
    <n v="454.88"/>
    <m/>
    <m/>
    <m/>
    <m/>
    <m/>
    <m/>
    <m/>
  </r>
  <r>
    <m/>
    <m/>
    <m/>
    <m/>
    <m/>
    <x v="22"/>
    <m/>
    <m/>
    <m/>
    <m/>
    <m/>
    <m/>
    <m/>
    <m/>
    <m/>
    <n v="54806.650000000038"/>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1">
  <r>
    <s v="CS1041TUNPBF"/>
    <s v="TUNPBF000"/>
    <s v="CS.1041"/>
    <s v="MPTF_04"/>
    <s v="CONTRACTUAL COSTS"/>
    <x v="0"/>
    <s v="Capacity building workshops - consultant"/>
    <s v="CS1041TUNPBF"/>
    <s v="303230"/>
    <s v="Rental of vehicles (including taxis)"/>
    <s v="Transportation colis express"/>
    <s v="1023944106"/>
    <s v="0102478166"/>
    <s v="3"/>
    <d v="2021-11-20T00:00:00"/>
    <n v="35.56"/>
    <s v="USD"/>
    <n v="35.56"/>
    <s v="USD"/>
    <n v="140000"/>
    <s v="MGA"/>
    <s v="99"/>
    <s v="HRANDY"/>
    <s v="2600105653"/>
  </r>
  <r>
    <s v="CS1041TUNPBF"/>
    <s v="TUNPBF000"/>
    <s v="CS.1041"/>
    <s v="MPTF_04"/>
    <s v="CONTRACTUAL COSTS"/>
    <x v="1"/>
    <s v="Do not use"/>
    <s v="CS1041TUNPBF"/>
    <s v="303230"/>
    <s v="Rental of vehicles (including taxis)"/>
    <s v="reversal 5000391653"/>
    <s v="1023071429"/>
    <s v="0105539977"/>
    <s v="1"/>
    <d v="2021-06-25T00:00:00"/>
    <n v="-411.34"/>
    <s v="USD"/>
    <n v="-411.34"/>
    <s v="USD"/>
    <n v="-411.34"/>
    <s v="USD"/>
    <s v="66"/>
    <s v="HRANDRIANA"/>
    <s v="0105539977"/>
  </r>
  <r>
    <s v="CS1041TUNPBF"/>
    <s v="TUNPBF000"/>
    <s v="CS.1041"/>
    <s v="MPTF_04"/>
    <s v="CONTRACTUAL COSTS"/>
    <x v="1"/>
    <s v="Do not use"/>
    <s v="CS1041TUNPBF"/>
    <s v="303230"/>
    <s v="Rental of vehicles (including taxis)"/>
    <s v="reversal 5200117597"/>
    <s v="1023071429"/>
    <s v="0105539977"/>
    <s v="2"/>
    <d v="2021-06-25T00:00:00"/>
    <n v="-195.52"/>
    <s v="USD"/>
    <n v="-195.52"/>
    <s v="USD"/>
    <n v="-195.52"/>
    <s v="USD"/>
    <s v="66"/>
    <s v="HRANDRIANA"/>
    <s v="0105539977"/>
  </r>
  <r>
    <s v="CS1041TUNPBF"/>
    <s v="TUNPBF000"/>
    <s v="CS.1041"/>
    <s v="MPTF_04"/>
    <s v="CONTRACTUAL COSTS"/>
    <x v="1"/>
    <s v="Do not use"/>
    <s v="CS1041TUNPBF"/>
    <s v="306270"/>
    <s v="Subsistence for non-IOM staff"/>
    <s v="reversal 1901069793"/>
    <s v="1023071429"/>
    <s v="0105539977"/>
    <s v="3"/>
    <d v="2021-06-25T00:00:00"/>
    <n v="-1004.7"/>
    <s v="USD"/>
    <n v="-1004.7"/>
    <s v="USD"/>
    <n v="-1004.7"/>
    <s v="USD"/>
    <s v="66"/>
    <s v="HRANDRIANA"/>
    <s v="0105539977"/>
  </r>
  <r>
    <s v="CS1041TUNPBF"/>
    <s v="TUNPBF000"/>
    <s v="CS.1041"/>
    <s v="MPTF_04"/>
    <s v="CONTRACTUAL COSTS"/>
    <x v="1"/>
    <s v="Do not use"/>
    <s v="CS1041TUNPBF"/>
    <s v="303460"/>
    <s v="Other supplies"/>
    <s v="reversal 1901086460"/>
    <s v="1023071429"/>
    <s v="0105539977"/>
    <s v="4"/>
    <d v="2021-06-25T00:00:00"/>
    <n v="-6.25"/>
    <s v="USD"/>
    <n v="-6.25"/>
    <s v="USD"/>
    <n v="-6.25"/>
    <s v="USD"/>
    <s v="66"/>
    <s v="HRANDRIANA"/>
    <s v="0105539977"/>
  </r>
  <r>
    <s v="CS1041TUNPBF"/>
    <s v="TUNPBF000"/>
    <s v="CS.1041"/>
    <s v="MPTF_04"/>
    <s v="CONTRACTUAL COSTS"/>
    <x v="1"/>
    <s v="Do not use"/>
    <s v="CS1041TUNPBF"/>
    <s v="305330"/>
    <s v="Services on Information (printing, distrib.)"/>
    <s v="reversal 1901086460"/>
    <s v="1023071429"/>
    <s v="0105539977"/>
    <s v="5"/>
    <d v="2021-06-25T00:00:00"/>
    <n v="-17.63"/>
    <s v="USD"/>
    <n v="-17.63"/>
    <s v="USD"/>
    <n v="-17.63"/>
    <s v="USD"/>
    <s v="66"/>
    <s v="HRANDRIANA"/>
    <s v="0105539977"/>
  </r>
  <r>
    <s v="CS1041TUNPBF"/>
    <s v="TUNPBF000"/>
    <s v="CS.1041"/>
    <s v="MPTF_04"/>
    <s v="CONTRACTUAL COSTS"/>
    <x v="1"/>
    <s v="Do not use"/>
    <s v="CS1041TUNPBF"/>
    <s v="305750"/>
    <s v="Registration/conference/training fees"/>
    <s v="reversal 1901086460"/>
    <s v="1023071429"/>
    <s v="0105539977"/>
    <s v="6"/>
    <d v="2021-06-25T00:00:00"/>
    <n v="-62.48"/>
    <s v="USD"/>
    <n v="-62.48"/>
    <s v="USD"/>
    <n v="-62.48"/>
    <s v="USD"/>
    <s v="66"/>
    <s v="HRANDRIANA"/>
    <s v="0105539977"/>
  </r>
  <r>
    <s v="CS1041TUNPBF"/>
    <s v="TUNPBF000"/>
    <s v="CS.1041"/>
    <s v="MPTF_04"/>
    <s v="CONTRACTUAL COSTS"/>
    <x v="1"/>
    <s v="Do not use"/>
    <s v="CS1041TUNPBF"/>
    <s v="306270"/>
    <s v="Subsistence for non-IOM staff"/>
    <s v="reversal 1901086460"/>
    <s v="1023071429"/>
    <s v="0105539977"/>
    <s v="7"/>
    <d v="2021-06-25T00:00:00"/>
    <n v="-384.07"/>
    <s v="USD"/>
    <n v="-384.07"/>
    <s v="USD"/>
    <n v="-384.07"/>
    <s v="USD"/>
    <s v="66"/>
    <s v="HRANDRIANA"/>
    <s v="0105539977"/>
  </r>
  <r>
    <s v="CS1041TUNPBF"/>
    <s v="TUNPBF000"/>
    <s v="CS.1041"/>
    <s v="MPTF_04"/>
    <s v="CONTRACTUAL COSTS"/>
    <x v="1"/>
    <s v="Do not use"/>
    <s v="CS1041TUNPBF"/>
    <s v="301050"/>
    <s v="Subsistence and other"/>
    <s v="reversal 1901086437"/>
    <s v="1023071429"/>
    <s v="0105539977"/>
    <s v="8"/>
    <d v="2021-06-25T00:00:00"/>
    <n v="-1004.7"/>
    <s v="USD"/>
    <n v="-1004.7"/>
    <s v="USD"/>
    <n v="-1004.7"/>
    <s v="USD"/>
    <s v="66"/>
    <s v="HRANDRIANA"/>
    <s v="0105539977"/>
  </r>
  <r>
    <s v="CS1041TUNPBF"/>
    <s v="TUNPBF000"/>
    <s v="CS.1041"/>
    <s v="MPTF_04"/>
    <s v="CONTRACTUAL COSTS"/>
    <x v="2"/>
    <s v="Workshop livelihoods program - venue cat"/>
    <s v="CS1041TUNPBF"/>
    <s v="303230"/>
    <s v="Rental of vehicles (including taxis)"/>
    <s v="vehicle rent Morondava du 22 au 30 Oc"/>
    <s v="1023071429"/>
    <s v="0105539977"/>
    <s v="9"/>
    <d v="2021-06-25T00:00:00"/>
    <n v="411.34"/>
    <s v="USD"/>
    <n v="411.34"/>
    <s v="USD"/>
    <n v="411.34"/>
    <s v="USD"/>
    <s v="66"/>
    <s v="HRANDRIANA"/>
    <s v="0105539977"/>
  </r>
  <r>
    <s v="CS1041TUNPBF"/>
    <s v="TUNPBF000"/>
    <s v="CS.1041"/>
    <s v="MPTF_04"/>
    <s v="CONTRACTUAL COSTS"/>
    <x v="2"/>
    <s v="Workshop livelihoods program - venue cat"/>
    <s v="CS1041TUNPBF"/>
    <s v="303230"/>
    <s v="Rental of vehicles (including taxis)"/>
    <s v="Fuel vehicle rent 22-30oct"/>
    <s v="1023071429"/>
    <s v="0105539977"/>
    <s v="10"/>
    <d v="2021-06-25T00:00:00"/>
    <n v="195.52"/>
    <s v="USD"/>
    <n v="195.52"/>
    <s v="USD"/>
    <n v="195.52"/>
    <s v="USD"/>
    <s v="66"/>
    <s v="HRANDRIANA"/>
    <s v="0105539977"/>
  </r>
  <r>
    <s v="CS1041TUNPBF"/>
    <s v="TUNPBF000"/>
    <s v="CS.1041"/>
    <s v="MPTF_04"/>
    <s v="CONTRACTUAL COSTS"/>
    <x v="2"/>
    <s v="Workshop livelihoods program - venue cat"/>
    <s v="CS1041TUNPBF"/>
    <s v="306270"/>
    <s v="Subsistence for non-IOM staff"/>
    <s v="DSA TDY Morondava 22-30/10"/>
    <s v="1023071429"/>
    <s v="0105539977"/>
    <s v="11"/>
    <d v="2021-06-25T00:00:00"/>
    <n v="1004.7"/>
    <s v="USD"/>
    <n v="1004.7"/>
    <s v="USD"/>
    <n v="1004.7"/>
    <s v="USD"/>
    <s v="66"/>
    <s v="HRANDRIANA"/>
    <s v="0105539977"/>
  </r>
  <r>
    <s v="CS1041TUNPBF"/>
    <s v="TUNPBF000"/>
    <s v="CS.1041"/>
    <s v="MPTF_04"/>
    <s v="CONTRACTUAL COSTS"/>
    <x v="2"/>
    <s v="Workshop livelihoods program - venue cat"/>
    <s v="CS1041TUNPBF"/>
    <s v="305750"/>
    <s v="Registration/conference/training fees"/>
    <s v="Worshop Morondava rent"/>
    <s v="1023071429"/>
    <s v="0105539977"/>
    <s v="14"/>
    <d v="2021-06-25T00:00:00"/>
    <n v="62.48"/>
    <s v="USD"/>
    <n v="62.48"/>
    <s v="USD"/>
    <n v="62.48"/>
    <s v="USD"/>
    <s v="66"/>
    <s v="HRANDRIANA"/>
    <s v="0105539977"/>
  </r>
  <r>
    <s v="CS1041TUNPBF"/>
    <s v="TUNPBF000"/>
    <s v="CS.1041"/>
    <s v="MPTF_04"/>
    <s v="CONTRACTUAL COSTS"/>
    <x v="2"/>
    <s v="Workshop livelihoods program - venue cat"/>
    <s v="CS1041TUNPBF"/>
    <s v="306270"/>
    <s v="Subsistence for non-IOM staff"/>
    <s v="DSA participant TDY Morondava"/>
    <s v="1023071429"/>
    <s v="0105539977"/>
    <s v="15"/>
    <d v="2021-06-25T00:00:00"/>
    <n v="384.07"/>
    <s v="USD"/>
    <n v="384.07"/>
    <s v="USD"/>
    <n v="384.07"/>
    <s v="USD"/>
    <s v="66"/>
    <s v="HRANDRIANA"/>
    <s v="0105539977"/>
  </r>
  <r>
    <s v="CS1041TUNPBF"/>
    <s v="TUNPBF000"/>
    <s v="CS.1041"/>
    <s v="MPTF_04"/>
    <s v="CONTRACTUAL COSTS"/>
    <x v="2"/>
    <s v="Workshop livelihoods program - venue cat"/>
    <s v="CS1041TUNPBF"/>
    <s v="301050"/>
    <s v="Subsistence and other"/>
    <s v="DSA TDY Giacomo Morondava 22-30oct"/>
    <s v="1023071429"/>
    <s v="0105539977"/>
    <s v="16"/>
    <d v="2021-06-25T00:00:00"/>
    <n v="1004.7"/>
    <s v="USD"/>
    <n v="1004.7"/>
    <s v="USD"/>
    <n v="1004.7"/>
    <s v="USD"/>
    <s v="66"/>
    <s v="HRANDRIANA"/>
    <s v="0105539977"/>
  </r>
  <r>
    <s v="CS1041TUNPBF"/>
    <s v="TUNPBF000"/>
    <s v="CS.1041"/>
    <s v="MPTF_04"/>
    <s v="CONTRACTUAL COSTS"/>
    <x v="2"/>
    <s v="Workshop livelihoods program - venue cat"/>
    <s v="CS1041TUNPBF"/>
    <s v="303230"/>
    <s v="Rental of vehicles (including taxis)"/>
    <s v="renversal 105539977"/>
    <s v="1023263011"/>
    <s v="0105602363"/>
    <s v="1"/>
    <d v="2021-08-02T00:00:00"/>
    <n v="-411.34"/>
    <s v="USD"/>
    <n v="-411.34"/>
    <s v="USD"/>
    <n v="-411.34"/>
    <s v="USD"/>
    <s v="66"/>
    <s v="HRANDY"/>
    <s v="0105602363"/>
  </r>
  <r>
    <s v="CS1041TUNPBF"/>
    <s v="TUNPBF000"/>
    <s v="CS.1041"/>
    <s v="MPTF_04"/>
    <s v="CONTRACTUAL COSTS"/>
    <x v="2"/>
    <s v="Workshop livelihoods program - venue cat"/>
    <s v="CS1041TUNPBF"/>
    <s v="303230"/>
    <s v="Rental of vehicles (including taxis)"/>
    <s v="renversal 105539977"/>
    <s v="1023263026"/>
    <s v="0105602381"/>
    <s v="1"/>
    <d v="2021-08-02T00:00:00"/>
    <n v="-195.52"/>
    <s v="USD"/>
    <n v="-195.52"/>
    <s v="USD"/>
    <n v="-195.52"/>
    <s v="USD"/>
    <s v="66"/>
    <s v="HRANDY"/>
    <s v="0105602381"/>
  </r>
  <r>
    <s v="CS1041TUNPBF"/>
    <s v="TUNPBF000"/>
    <s v="CS.1041"/>
    <s v="MPTF_04"/>
    <s v="CONTRACTUAL COSTS"/>
    <x v="2"/>
    <s v="Workshop livelihoods program - venue cat"/>
    <s v="CS1041TUNPBF"/>
    <s v="306270"/>
    <s v="Subsistence for non-IOM staff"/>
    <s v="105539977"/>
    <s v="1023263687"/>
    <s v="0105602505"/>
    <s v="1"/>
    <d v="2021-08-02T00:00:00"/>
    <n v="-1004.7"/>
    <s v="USD"/>
    <n v="-1004.7"/>
    <s v="USD"/>
    <n v="-1004.7"/>
    <s v="USD"/>
    <s v="66"/>
    <s v="HRANDY"/>
    <s v="0105602505"/>
  </r>
  <r>
    <s v="CS1041TUNPBF"/>
    <s v="TUNPBF000"/>
    <s v="CS.1041"/>
    <s v="MPTF_04"/>
    <s v="CONTRACTUAL COSTS"/>
    <x v="2"/>
    <s v="Workshop livelihoods program - venue cat"/>
    <s v="CS1041TUNPBF"/>
    <s v="306270"/>
    <s v="Subsistence for non-IOM staff"/>
    <s v="105539977"/>
    <s v="1023263697"/>
    <s v="0105602511"/>
    <s v="1"/>
    <d v="2021-08-02T00:00:00"/>
    <n v="-384.07"/>
    <s v="USD"/>
    <n v="-384.07"/>
    <s v="USD"/>
    <n v="-384.07"/>
    <s v="USD"/>
    <s v="66"/>
    <s v="HRANDY"/>
    <s v="0105602511"/>
  </r>
  <r>
    <s v="CS1041TUNPBF"/>
    <s v="TUNPBF000"/>
    <s v="CS.1041"/>
    <s v="MPTF_04"/>
    <s v="CONTRACTUAL COSTS"/>
    <x v="2"/>
    <s v="Workshop livelihoods program - venue cat"/>
    <s v="CS1041TUNPBF"/>
    <s v="301050"/>
    <s v="Subsistence and other"/>
    <s v="105539977"/>
    <s v="1023264070"/>
    <s v="0105602576"/>
    <s v="1"/>
    <d v="2021-08-02T00:00:00"/>
    <n v="-1004.7"/>
    <s v="USD"/>
    <n v="-1004.7"/>
    <s v="USD"/>
    <n v="-1004.7"/>
    <s v="USD"/>
    <s v="66"/>
    <s v="HRANDY"/>
    <s v="0105602576"/>
  </r>
  <r>
    <s v="CS1041TUNPBF"/>
    <s v="TUNPBF000"/>
    <s v="CS.1041"/>
    <s v="MPTF_04"/>
    <s v="CONTRACTUAL COSTS"/>
    <x v="3"/>
    <s v="Capacity building Observatory"/>
    <s v="CS1041TUNPBF"/>
    <s v="307050"/>
    <s v="Training allowance"/>
    <s v="Renforcement de capacité du personnel de l'Observ"/>
    <s v="1023266914"/>
    <s v="0105603200"/>
    <s v="2"/>
    <d v="2021-08-03T00:00:00"/>
    <n v="1542.23"/>
    <s v="USD"/>
    <n v="1542.23"/>
    <s v="USD"/>
    <n v="1542.23"/>
    <s v="USD"/>
    <s v="66"/>
    <s v="HRANDY"/>
    <s v="0105603200"/>
  </r>
  <r>
    <s v="CS1041TUNPBF"/>
    <s v="TUNPBF000"/>
    <s v="CS.1041"/>
    <s v="MPTF_04"/>
    <s v="CONTRACTUAL COSTS"/>
    <x v="4"/>
    <s v="Capacity building workshops -venue cater"/>
    <s v="CS1041TUNPBF"/>
    <s v="305630"/>
    <s v="Consultants - Training and Education matters"/>
    <s v="5000496178"/>
    <s v="1023267937"/>
    <s v="0105603489"/>
    <s v="1"/>
    <d v="2021-08-03T00:00:00"/>
    <n v="-1977.41"/>
    <s v="USD"/>
    <n v="-1977.41"/>
    <s v="USD"/>
    <n v="-1977.41"/>
    <s v="USD"/>
    <s v="66"/>
    <s v="HRANDY"/>
    <s v="0105603489"/>
  </r>
  <r>
    <s v="CS1041TUNPBF"/>
    <s v="TUNPBF000"/>
    <s v="CS.1041"/>
    <s v="MPTF_04"/>
    <s v="CONTRACTUAL COSTS"/>
    <x v="0"/>
    <s v="Capacity building workshops - consultant"/>
    <s v="CS1041TUNPBF"/>
    <s v="305630"/>
    <s v="Consultants - Training and Education matters"/>
    <s v="Ravelonandro fees as a Consultant for the support"/>
    <s v="1023267937"/>
    <s v="0105603489"/>
    <s v="2"/>
    <d v="2021-08-03T00:00:00"/>
    <n v="1977.41"/>
    <s v="USD"/>
    <n v="1977.41"/>
    <s v="USD"/>
    <n v="1977.41"/>
    <s v="USD"/>
    <s v="66"/>
    <s v="HRANDY"/>
    <s v="0105603489"/>
  </r>
  <r>
    <s v="CS1041TUNPBF"/>
    <s v="TUNPBF000"/>
    <s v="CS.1041"/>
    <s v="MPTF_04"/>
    <s v="CONTRACTUAL COSTS"/>
    <x v="5"/>
    <s v="Identification needs - venue catering Mo"/>
    <s v="CS1041TUNPBF"/>
    <s v="306620"/>
    <s v="Food  &amp; beverages"/>
    <s v="1901190275"/>
    <s v="1023267945"/>
    <s v="0105603510"/>
    <s v="1"/>
    <d v="2021-08-03T00:00:00"/>
    <n v="-36.630000000000003"/>
    <s v="USD"/>
    <n v="-36.630000000000003"/>
    <s v="USD"/>
    <n v="-36.630000000000003"/>
    <s v="USD"/>
    <s v="66"/>
    <s v="HRANDY"/>
    <s v="0105603510"/>
  </r>
  <r>
    <s v="CS1041TUNPBF"/>
    <s v="TUNPBF000"/>
    <s v="CS.1041"/>
    <s v="MPTF_04"/>
    <s v="CONTRACTUAL COSTS"/>
    <x v="6"/>
    <s v="Financial support infrastructure investm"/>
    <s v="CS1041TUNPBF"/>
    <s v="303020"/>
    <s v="Postage"/>
    <s v="Shipment Colis Express"/>
    <s v="1023311839"/>
    <s v="1700354490"/>
    <s v="2"/>
    <d v="2021-08-12T00:00:00"/>
    <n v="-355720"/>
    <s v="USD"/>
    <n v="-355720"/>
    <s v="USD"/>
    <n v="-355720"/>
    <s v="USD"/>
    <s v="99"/>
    <s v="HRANDRIANA"/>
    <s v="1700354490"/>
  </r>
  <r>
    <s v="CS1041TUNPBF"/>
    <s v="TUNPBF000"/>
    <s v="CS.1041"/>
    <s v="MPTF_04"/>
    <s v="CONTRACTUAL COSTS"/>
    <x v="6"/>
    <s v="Financial support infrastructure investm"/>
    <s v="CS1041TUNPBF"/>
    <s v="301050"/>
    <s v="Subsistence and other"/>
    <s v="DSA RANJA"/>
    <s v="1024124798"/>
    <s v="1700377722"/>
    <s v="2"/>
    <d v="2021-12-28T00:00:00"/>
    <n v="-974325.83"/>
    <s v="USD"/>
    <n v="-974325.83"/>
    <s v="USD"/>
    <n v="-974325.83"/>
    <s v="USD"/>
    <s v="99"/>
    <s v="HRANDY"/>
    <s v="1700377722"/>
  </r>
  <r>
    <s v="CS1041TUNPBF"/>
    <s v="TUNPBF000"/>
    <s v="CS.1041"/>
    <s v="MPTF_04"/>
    <s v="CONTRACTUAL COSTS"/>
    <x v="6"/>
    <s v="Financial support infrastructure investm"/>
    <s v="CS1041TUNPBF"/>
    <s v="303230"/>
    <s v="Rental of vehicles (including taxis)"/>
    <s v="VEHICLE RENTAL  15.12 TO 18.12.21"/>
    <s v="1024138352"/>
    <s v="1700378027"/>
    <s v="2"/>
    <d v="2021-12-21T00:00:00"/>
    <n v="-302.89999999999998"/>
    <s v="USD"/>
    <n v="-302.89999999999998"/>
    <s v="USD"/>
    <n v="-1200000"/>
    <s v="MGA"/>
    <s v="99"/>
    <s v="HRANDRIANA"/>
    <s v="1700378027"/>
  </r>
  <r>
    <s v="CS1041TUNPBF"/>
    <s v="TUNPBF000"/>
    <s v="CS.1041"/>
    <s v="MPTF_04"/>
    <s v="CONTRACTUAL COSTS"/>
    <x v="6"/>
    <s v="Financial support infrastructure investm"/>
    <s v="CS1041TUNPBF"/>
    <s v="305350"/>
    <s v="Construction services"/>
    <s v="RENVERSAL5200144325"/>
    <s v="1024175086"/>
    <s v="1700379363"/>
    <s v="2"/>
    <d v="2021-12-31T00:00:00"/>
    <n v="-2240.08"/>
    <s v="USD"/>
    <n v="-2240.08"/>
    <s v="USD"/>
    <n v="-8874631"/>
    <s v="MGA"/>
    <s v="99"/>
    <s v="HRANDY"/>
    <s v="1700379363"/>
  </r>
  <r>
    <s v="CS1041TUNPBF"/>
    <s v="TUNPBF000"/>
    <s v="CS.1041"/>
    <s v="MPTF_04"/>
    <s v="CONTRACTUAL COSTS"/>
    <x v="6"/>
    <s v="Financial support infrastructure investm"/>
    <s v="CS1041TUNPBF"/>
    <s v="305350"/>
    <s v="Construction services"/>
    <s v="RENVERSAL5200144325"/>
    <s v="1024184280"/>
    <s v="1700379817"/>
    <s v="2"/>
    <d v="2021-12-31T00:00:00"/>
    <n v="2240.08"/>
    <s v="USD"/>
    <n v="2240.08"/>
    <s v="USD"/>
    <n v="8874631"/>
    <s v="MGA"/>
    <s v="99"/>
    <s v="HRANDY"/>
    <s v="1700379817"/>
  </r>
  <r>
    <s v="CS1041TUNPBF"/>
    <s v="TUNPBF000"/>
    <s v="CS.1041"/>
    <s v="MPTF_04"/>
    <s v="CONTRACTUAL COSTS"/>
    <x v="6"/>
    <s v="Financial support infrastructure investm"/>
    <s v="CS1041TUNPBF"/>
    <s v="305350"/>
    <s v="Construction services"/>
    <s v="RENVERSAL 5200144326"/>
    <s v="1024184282"/>
    <s v="1700379818"/>
    <s v="2"/>
    <d v="2021-12-31T00:00:00"/>
    <n v="-2265.3200000000002"/>
    <s v="USD"/>
    <n v="-2265.3200000000002"/>
    <s v="USD"/>
    <n v="-8974631"/>
    <s v="MGA"/>
    <s v="99"/>
    <s v="HRANDY"/>
    <s v="1700379818"/>
  </r>
  <r>
    <s v="CS1041TUNPBF"/>
    <s v="TUNPBF000"/>
    <s v="CS.1041"/>
    <s v="MPTF_04"/>
    <s v="CONTRACTUAL COSTS"/>
    <x v="6"/>
    <s v="Financial support infrastructure investm"/>
    <s v="CS1041TUNPBF"/>
    <s v="306270"/>
    <s v="Subsistence for non-IOM staff"/>
    <s v="DSA PARTNERS"/>
    <s v="1024346845"/>
    <s v="1700381090"/>
    <s v="2"/>
    <d v="2022-01-17T00:00:00"/>
    <n v="-88.1"/>
    <s v="USD"/>
    <n v="-88.1"/>
    <s v="USD"/>
    <n v="-348200"/>
    <s v="MGA"/>
    <s v="99"/>
    <s v="HRANDY"/>
    <s v="1700381090"/>
  </r>
  <r>
    <s v="CS1041TUNPBF"/>
    <s v="TUNPBF000"/>
    <s v="CS.1041"/>
    <s v="MPTF_04"/>
    <s v="CONTRACTUAL COSTS"/>
    <x v="5"/>
    <s v="Identification needs - venue catering Mo"/>
    <s v="CS1041TUNPBF"/>
    <s v="305330"/>
    <s v="Services on Information (printing, distrib.)"/>
    <s v="Printing invitation"/>
    <s v="1022761750"/>
    <s v="1901190275"/>
    <s v="3"/>
    <d v="2021-05-04T00:00:00"/>
    <n v="2.31"/>
    <s v="USD"/>
    <n v="2.31"/>
    <s v="USD"/>
    <n v="8700"/>
    <s v="MGA"/>
    <s v="99"/>
    <s v="HRANDRIANA"/>
    <s v="1901190275"/>
  </r>
  <r>
    <s v="CS1041TUNPBF"/>
    <s v="TUNPBF000"/>
    <s v="CS.1041"/>
    <s v="MPTF_04"/>
    <s v="CONTRACTUAL COSTS"/>
    <x v="5"/>
    <s v="Identification needs - venue catering Mo"/>
    <s v="CS1041TUNPBF"/>
    <s v="306620"/>
    <s v="Food  &amp; beverages"/>
    <s v="WATER"/>
    <s v="1022761750"/>
    <s v="1901190275"/>
    <s v="4"/>
    <d v="2021-05-04T00:00:00"/>
    <n v="36.630000000000003"/>
    <s v="USD"/>
    <n v="36.630000000000003"/>
    <s v="USD"/>
    <n v="138000"/>
    <s v="MGA"/>
    <s v="99"/>
    <s v="HRANDRIANA"/>
    <s v="1901190275"/>
  </r>
  <r>
    <s v="CS1041TUNPBF"/>
    <s v="TUNPBF000"/>
    <s v="CS.1041"/>
    <s v="MPTF_04"/>
    <s v="CONTRACTUAL COSTS"/>
    <x v="4"/>
    <s v="Capacity building workshops -venue cater"/>
    <s v="CS1041TUNPBF"/>
    <s v="303220"/>
    <s v="Vehicle running costs (fuel, oil)"/>
    <s v="Fuel Nadia Rahavavy"/>
    <s v="1023239617"/>
    <s v="1901255029"/>
    <s v="2"/>
    <d v="2021-07-28T00:00:00"/>
    <n v="49.61"/>
    <s v="USD"/>
    <n v="49.61"/>
    <s v="USD"/>
    <n v="187000"/>
    <s v="MGA"/>
    <s v="99"/>
    <s v="HRANDRIANA"/>
    <s v="1901255029"/>
  </r>
  <r>
    <s v="CS1041TUNPBF"/>
    <s v="TUNPBF000"/>
    <s v="CS.1041"/>
    <s v="MPTF_04"/>
    <s v="CONTRACTUAL COSTS"/>
    <x v="6"/>
    <s v="Financial support infrastructure investm"/>
    <s v="CS1041TUNPBF"/>
    <s v="303020"/>
    <s v="Postage"/>
    <s v="Shipment Colis Express"/>
    <s v="1023311541"/>
    <s v="1901266985"/>
    <s v="2"/>
    <d v="2021-08-12T00:00:00"/>
    <n v="355720"/>
    <s v="USD"/>
    <n v="355720"/>
    <s v="USD"/>
    <n v="355720"/>
    <s v="USD"/>
    <s v="99"/>
    <s v="HRANDY"/>
    <s v="1901266985"/>
  </r>
  <r>
    <s v="CS1041TUNPBF"/>
    <s v="TUNPBF000"/>
    <s v="CS.1041"/>
    <s v="MPTF_04"/>
    <s v="CONTRACTUAL COSTS"/>
    <x v="6"/>
    <s v="Financial support infrastructure investm"/>
    <s v="CS1041TUNPBF"/>
    <s v="303020"/>
    <s v="Postage"/>
    <s v="Clearence Advance Shipment Colis Express"/>
    <s v="1023311566"/>
    <s v="1901267042"/>
    <s v="2"/>
    <d v="2021-08-12T00:00:00"/>
    <n v="93.56"/>
    <s v="USD"/>
    <n v="93.56"/>
    <s v="USD"/>
    <n v="355720"/>
    <s v="MGA"/>
    <s v="99"/>
    <s v="HRANDY"/>
    <s v="1901267042"/>
  </r>
  <r>
    <s v="CS1041TUNPBF"/>
    <s v="TUNPBF000"/>
    <s v="CS.1041"/>
    <s v="MPTF_04"/>
    <s v="CONTRACTUAL COSTS"/>
    <x v="6"/>
    <s v="Financial support infrastructure investm"/>
    <s v="CS1041TUNPBF"/>
    <s v="303230"/>
    <s v="Rental of vehicles (including taxis)"/>
    <s v="Taxis for sending Colis"/>
    <s v="1023311566"/>
    <s v="1901267042"/>
    <s v="3"/>
    <d v="2021-08-12T00:00:00"/>
    <n v="10.52"/>
    <s v="USD"/>
    <n v="10.52"/>
    <s v="USD"/>
    <n v="40000"/>
    <s v="MGA"/>
    <s v="99"/>
    <s v="HRANDY"/>
    <s v="1901267042"/>
  </r>
  <r>
    <s v="CS1041TUNPBF"/>
    <s v="TUNPBF000"/>
    <s v="CS.1041"/>
    <s v="MPTF_04"/>
    <s v="CONTRACTUAL COSTS"/>
    <x v="6"/>
    <s v="Financial support infrastructure investm"/>
    <s v="CS1041TUNPBF"/>
    <s v="305350"/>
    <s v="Construction services"/>
    <s v="1ST PAYMEN ARY MIANGALY"/>
    <s v="1023822036"/>
    <s v="1901334190"/>
    <s v="2"/>
    <d v="2021-11-04T00:00:00"/>
    <n v="3110.72"/>
    <s v="USD"/>
    <n v="3110.72"/>
    <s v="USD"/>
    <n v="12245880"/>
    <s v="MGA"/>
    <s v="99"/>
    <s v="HRANDY"/>
    <s v="1901334190"/>
  </r>
  <r>
    <s v="CS1041TUNPBF"/>
    <s v="TUNPBF000"/>
    <s v="CS.1041"/>
    <s v="MPTF_04"/>
    <s v="CONTRACTUAL COSTS"/>
    <x v="0"/>
    <s v="Capacity building workshops - consultant"/>
    <s v="CS1041TUNPBF"/>
    <s v="303020"/>
    <s v="Postage"/>
    <s v="COLIS eXPRESS"/>
    <s v="1023905661"/>
    <s v="1901350422"/>
    <s v="2"/>
    <d v="2021-11-18T00:00:00"/>
    <n v="495.67"/>
    <s v="USD"/>
    <n v="495.67"/>
    <s v="USD"/>
    <n v="1951300"/>
    <s v="MGA"/>
    <s v="99"/>
    <s v="HRANDY"/>
    <s v="1901350422"/>
  </r>
  <r>
    <s v="CS1041TUNPBF"/>
    <s v="TUNPBF000"/>
    <s v="CS.1041"/>
    <s v="MPTF_04"/>
    <s v="CONTRACTUAL COSTS"/>
    <x v="0"/>
    <s v="Capacity building workshops - consultant"/>
    <s v="CS1041TUNPBF"/>
    <s v="306270"/>
    <s v="Subsistence for non-IOM staff"/>
    <s v="TEC RANJA ACTICTY SEPT- NOVEMBER  MORONDAVA"/>
    <s v="1023905680"/>
    <s v="1901350438"/>
    <s v="2"/>
    <d v="2021-11-11T00:00:00"/>
    <n v="3371.73"/>
    <s v="USD"/>
    <n v="3371.73"/>
    <s v="USD"/>
    <n v="13273400"/>
    <s v="MGA"/>
    <s v="99"/>
    <s v="HRANDY"/>
    <s v="1901350438"/>
  </r>
  <r>
    <s v="CS1041TUNPBF"/>
    <s v="TUNPBF000"/>
    <s v="CS.1041"/>
    <s v="MPTF_04"/>
    <s v="CONTRACTUAL COSTS"/>
    <x v="6"/>
    <s v="Financial support infrastructure investm"/>
    <s v="CS1041TUNPBF"/>
    <s v="303230"/>
    <s v="Rental of vehicles (including taxis)"/>
    <s v="VEHICLE RENTAL  15.12 TO 18.12.21"/>
    <s v="1024093326"/>
    <s v="1901376165"/>
    <s v="2"/>
    <d v="2021-12-21T00:00:00"/>
    <n v="302.89999999999998"/>
    <s v="USD"/>
    <n v="302.89999999999998"/>
    <s v="USD"/>
    <n v="1200000"/>
    <s v="MGA"/>
    <s v="99"/>
    <s v="HRANDY"/>
    <s v="1901376165"/>
  </r>
  <r>
    <s v="CS1041TUNPBF"/>
    <s v="TUNPBF000"/>
    <s v="CS.1041"/>
    <s v="MPTF_04"/>
    <s v="CONTRACTUAL COSTS"/>
    <x v="6"/>
    <s v="Financial support infrastructure investm"/>
    <s v="CS1041TUNPBF"/>
    <s v="306270"/>
    <s v="Subsistence for non-IOM staff"/>
    <s v="DSA PARTNRS"/>
    <s v="1024125392"/>
    <s v="1901382960"/>
    <s v="2"/>
    <d v="2021-12-28T00:00:00"/>
    <n v="257.45999999999998"/>
    <s v="USD"/>
    <n v="257.45999999999998"/>
    <s v="USD"/>
    <n v="1020000"/>
    <s v="MGA"/>
    <s v="99"/>
    <s v="HRANDY"/>
    <s v="1901382960"/>
  </r>
  <r>
    <s v="CS1041TUNPBF"/>
    <s v="TUNPBF000"/>
    <s v="CS.1041"/>
    <s v="MPTF_04"/>
    <s v="CONTRACTUAL COSTS"/>
    <x v="6"/>
    <s v="Financial support infrastructure investm"/>
    <s v="CS1041TUNPBF"/>
    <s v="301050"/>
    <s v="Subsistence and other"/>
    <s v="DSA RANJA"/>
    <s v="1024124791"/>
    <s v="1901382988"/>
    <s v="2"/>
    <d v="2021-12-28T00:00:00"/>
    <n v="974325.83"/>
    <s v="USD"/>
    <n v="974325.83"/>
    <s v="USD"/>
    <n v="974325.83"/>
    <s v="USD"/>
    <s v="99"/>
    <s v="HRANDY"/>
    <s v="1901382988"/>
  </r>
  <r>
    <s v="CS1041TUNPBF"/>
    <s v="TUNPBF000"/>
    <s v="CS.1041"/>
    <s v="MPTF_04"/>
    <s v="CONTRACTUAL COSTS"/>
    <x v="6"/>
    <s v="Financial support infrastructure investm"/>
    <s v="CS1041TUNPBF"/>
    <s v="301050"/>
    <s v="Subsistence and other"/>
    <s v="DSA RANJA"/>
    <s v="1024124804"/>
    <s v="1901383005"/>
    <s v="2"/>
    <d v="2021-12-28T00:00:00"/>
    <n v="245.93"/>
    <s v="USD"/>
    <n v="245.93"/>
    <s v="USD"/>
    <n v="974325"/>
    <s v="MGA"/>
    <s v="99"/>
    <s v="HRANDY"/>
    <s v="1901383005"/>
  </r>
  <r>
    <s v="CS1041TUNPBF"/>
    <s v="TUNPBF000"/>
    <s v="CS.1041"/>
    <s v="MPTF_04"/>
    <s v="CONTRACTUAL COSTS"/>
    <x v="6"/>
    <s v="Financial support infrastructure investm"/>
    <s v="CS1041TUNPBF"/>
    <s v="306270"/>
    <s v="Subsistence for non-IOM staff"/>
    <s v="DSA PARTNERS"/>
    <s v="1024346839"/>
    <s v="1901399988"/>
    <s v="2"/>
    <d v="2022-01-17T00:00:00"/>
    <n v="88.1"/>
    <s v="USD"/>
    <n v="88.1"/>
    <s v="USD"/>
    <n v="348200"/>
    <s v="MGA"/>
    <s v="99"/>
    <s v="HRANDY"/>
    <s v="1901399988"/>
  </r>
  <r>
    <s v="CS1041TUNPBF"/>
    <s v="TUNPBF000"/>
    <s v="CS.1041"/>
    <s v="MPTF_04"/>
    <s v="CONTRACTUAL COSTS"/>
    <x v="6"/>
    <s v="Financial support infrastructure investm"/>
    <s v="CS1041TUNPBF"/>
    <s v="306270"/>
    <s v="Subsistence for non-IOM staff"/>
    <s v="3482000"/>
    <s v="1024346855"/>
    <s v="1901399994"/>
    <s v="2"/>
    <d v="2022-01-17T00:00:00"/>
    <n v="881.01"/>
    <s v="USD"/>
    <n v="881.01"/>
    <s v="USD"/>
    <n v="3482000"/>
    <s v="MGA"/>
    <s v="99"/>
    <s v="HRANDY"/>
    <s v="1901399994"/>
  </r>
  <r>
    <s v="CS1041TUNPBF"/>
    <s v="TUNPBF000"/>
    <s v="CS.1041"/>
    <s v="MPTF_04"/>
    <s v="CONTRACTUAL COSTS"/>
    <x v="4"/>
    <s v="Capacity building workshops -venue cater"/>
    <s v="CS1041TUNPBF"/>
    <s v="305630"/>
    <s v="Consultants - Training and Education matters"/>
    <s v="Ravelonandro fees as a Consultant for the support"/>
    <s v="1022847654"/>
    <s v="5000496178"/>
    <s v="1"/>
    <d v="2021-05-26T00:00:00"/>
    <n v="1977.41"/>
    <s v="USD"/>
    <n v="1977.41"/>
    <s v="USD"/>
    <n v="7449000"/>
    <s v="MGA"/>
    <s v="99"/>
    <s v="HRANDRIANA"/>
    <s v="5000934407"/>
  </r>
  <r>
    <s v="CS1041TUNPBF"/>
    <s v="TUNPBF000"/>
    <s v="CS.1041"/>
    <s v="MPTF_04"/>
    <s v="CONTRACTUAL COSTS"/>
    <x v="6"/>
    <s v="Financial support infrastructure investm"/>
    <s v="CS1041TUNPBF"/>
    <s v="306630"/>
    <s v="Non food items (e.g clothing, kits)"/>
    <s v="Solar street lights for APMA villages in Menabe: 3"/>
    <s v="1023299986"/>
    <s v="5000540566"/>
    <s v="1"/>
    <d v="2021-08-10T00:00:00"/>
    <n v="5917.56"/>
    <s v="USD"/>
    <n v="5917.56"/>
    <s v="USD"/>
    <n v="22500000"/>
    <s v="MGA"/>
    <s v="99"/>
    <s v="HRANDRIANA"/>
    <s v="5000978658"/>
  </r>
  <r>
    <s v="CS1041TUNPBF"/>
    <s v="TUNPBF000"/>
    <s v="CS.1041"/>
    <s v="MPTF_04"/>
    <s v="CONTRACTUAL COSTS"/>
    <x v="4"/>
    <s v="Capacity building workshops -venue cater"/>
    <s v="CS1041TUNPBF"/>
    <s v="305630"/>
    <s v="Consultants - Training and Education matters"/>
    <s v="Ravelonandro fees as a Consultant for the support"/>
    <s v="1023300787"/>
    <s v="5000540663"/>
    <s v="1"/>
    <d v="2021-08-10T00:00:00"/>
    <n v="2285.63"/>
    <s v="USD"/>
    <n v="2285.63"/>
    <s v="USD"/>
    <n v="8690500"/>
    <s v="MGA"/>
    <s v="99"/>
    <s v="HRANDRIANA"/>
    <s v="5000978750"/>
  </r>
  <r>
    <s v="CS1041TUNPBF"/>
    <s v="TUNPBF000"/>
    <s v="CS.1041"/>
    <s v="MPTF_04"/>
    <s v="CONTRACTUAL COSTS"/>
    <x v="4"/>
    <s v="Capacity building workshops -venue cater"/>
    <s v="CS1041TUNPBF"/>
    <s v="306620"/>
    <s v="Food  &amp; beverages"/>
    <s v="Lunch for 60 pax, for 3 days"/>
    <s v="1023305136"/>
    <s v="5000541151"/>
    <s v="1"/>
    <d v="2021-08-11T00:00:00"/>
    <n v="946.81"/>
    <s v="USD"/>
    <n v="946.81"/>
    <s v="USD"/>
    <n v="3600000"/>
    <s v="MGA"/>
    <s v="99"/>
    <s v="HRANDRIANA"/>
    <s v="5000979241"/>
  </r>
  <r>
    <s v="CS1041TUNPBF"/>
    <s v="TUNPBF000"/>
    <s v="CS.1041"/>
    <s v="MPTF_04"/>
    <s v="CONTRACTUAL COSTS"/>
    <x v="4"/>
    <s v="Capacity building workshops -venue cater"/>
    <s v="CS1041TUNPBF"/>
    <s v="306620"/>
    <s v="Food  &amp; beverages"/>
    <s v="Coffee &amp; snacks for 60 pax, twice a day for 3 days"/>
    <s v="1023305136"/>
    <s v="5000541151"/>
    <s v="2"/>
    <d v="2021-08-11T00:00:00"/>
    <n v="946.81"/>
    <s v="USD"/>
    <n v="946.81"/>
    <s v="USD"/>
    <n v="3600000"/>
    <s v="MGA"/>
    <s v="99"/>
    <s v="HRANDRIANA"/>
    <s v="5000979241"/>
  </r>
  <r>
    <s v="CS1041TUNPBF"/>
    <s v="TUNPBF000"/>
    <s v="CS.1041"/>
    <s v="MPTF_04"/>
    <s v="CONTRACTUAL COSTS"/>
    <x v="4"/>
    <s v="Capacity building workshops -venue cater"/>
    <s v="CS1041TUNPBF"/>
    <s v="306620"/>
    <s v="Food  &amp; beverages"/>
    <s v="60 bottle waters per day, for 3 days"/>
    <s v="1023305136"/>
    <s v="5000541151"/>
    <s v="3"/>
    <d v="2021-08-11T00:00:00"/>
    <n v="142.02000000000001"/>
    <s v="USD"/>
    <n v="142.02000000000001"/>
    <s v="USD"/>
    <n v="540000"/>
    <s v="MGA"/>
    <s v="99"/>
    <s v="HRANDRIANA"/>
    <s v="5000979241"/>
  </r>
  <r>
    <s v="CS1041TUNPBF"/>
    <s v="TUNPBF000"/>
    <s v="CS.1041"/>
    <s v="MPTF_04"/>
    <s v="CONTRACTUAL COSTS"/>
    <x v="6"/>
    <s v="Financial support infrastructure investm"/>
    <s v="CS1041TUNPBF"/>
    <s v="307910"/>
    <s v="Miscellaneous other expenses"/>
    <s v="1st Payment of Construction of two markets in the"/>
    <s v="1023693744"/>
    <s v="5000581899"/>
    <s v="1"/>
    <d v="2021-09-30T00:00:00"/>
    <n v="4116.49"/>
    <s v="USD"/>
    <n v="4116.49"/>
    <s v="USD"/>
    <n v="15815748"/>
    <s v="MGA"/>
    <s v="99"/>
    <s v="HRANDY"/>
    <s v="5001019909"/>
  </r>
  <r>
    <s v="CS1041TUNPBF"/>
    <s v="TUNPBF000"/>
    <s v="CS.1041"/>
    <s v="MPTF_04"/>
    <s v="CONTRACTUAL COSTS"/>
    <x v="6"/>
    <s v="Financial support infrastructure investm"/>
    <s v="CS1041TUNPBF"/>
    <s v="307910"/>
    <s v="Miscellaneous other expenses"/>
    <s v="Payment of preparation of the fixing structure for"/>
    <s v="1023782173"/>
    <s v="5000593207"/>
    <s v="1"/>
    <d v="2021-10-28T00:00:00"/>
    <n v="422.2"/>
    <s v="USD"/>
    <n v="422.2"/>
    <s v="USD"/>
    <n v="1660000"/>
    <s v="MGA"/>
    <s v="99"/>
    <s v="HRANDY"/>
    <s v="5001031196"/>
  </r>
  <r>
    <s v="CS1041TUNPBF"/>
    <s v="TUNPBF000"/>
    <s v="CS.1041"/>
    <s v="MPTF_04"/>
    <s v="CONTRACTUAL COSTS"/>
    <x v="6"/>
    <s v="Financial support infrastructure investm"/>
    <s v="CS1041TUNPBF"/>
    <s v="307910"/>
    <s v="Miscellaneous other expenses"/>
    <s v="1st Payment Financial support to the realization o"/>
    <s v="1023798469"/>
    <s v="5000595515"/>
    <s v="1"/>
    <d v="2021-10-31T00:00:00"/>
    <n v="2282.58"/>
    <s v="USD"/>
    <n v="2282.58"/>
    <s v="USD"/>
    <n v="8974631"/>
    <s v="MGA"/>
    <s v="99"/>
    <s v="HRANDY"/>
    <s v="5001033455"/>
  </r>
  <r>
    <s v="CS1041TUNPBF"/>
    <s v="TUNPBF000"/>
    <s v="CS.1041"/>
    <s v="MPTF_04"/>
    <s v="CONTRACTUAL COSTS"/>
    <x v="6"/>
    <s v="Financial support infrastructure investm"/>
    <s v="CS1041TUNPBF"/>
    <s v="307910"/>
    <s v="Miscellaneous other expenses"/>
    <s v="1st Payment of realization Market construction in"/>
    <s v="1023798482"/>
    <s v="5000595516"/>
    <s v="1"/>
    <d v="2021-10-31T00:00:00"/>
    <n v="2278.5300000000002"/>
    <s v="USD"/>
    <n v="2278.5300000000002"/>
    <s v="USD"/>
    <n v="8958705"/>
    <s v="MGA"/>
    <s v="99"/>
    <s v="HRANDY"/>
    <s v="5001033461"/>
  </r>
  <r>
    <s v="CS1041TUNPBF"/>
    <s v="TUNPBF000"/>
    <s v="CS.1041"/>
    <s v="MPTF_04"/>
    <s v="CONTRACTUAL COSTS"/>
    <x v="6"/>
    <s v="Financial support infrastructure investm"/>
    <s v="CS1041TUNPBF"/>
    <s v="307910"/>
    <s v="Miscellaneous other expenses"/>
    <s v="2nd Payment Financial support to the realization o"/>
    <s v="1023816578"/>
    <s v="5000598214"/>
    <s v="1"/>
    <d v="2021-10-10T00:00:00"/>
    <n v="2282.58"/>
    <s v="USD"/>
    <n v="2282.58"/>
    <s v="USD"/>
    <n v="8974631"/>
    <s v="MGA"/>
    <s v="99"/>
    <s v="HRANDY"/>
    <s v="5001036128"/>
  </r>
  <r>
    <s v="CS1041TUNPBF"/>
    <s v="TUNPBF000"/>
    <s v="CS.1041"/>
    <s v="MPTF_04"/>
    <s v="CONTRACTUAL COSTS"/>
    <x v="6"/>
    <s v="Financial support infrastructure investm"/>
    <s v="CS1041TUNPBF"/>
    <s v="307910"/>
    <s v="Miscellaneous other expenses"/>
    <s v="2nd Payment of Construction of two markets in the"/>
    <s v="1023820527"/>
    <s v="5000598912"/>
    <s v="1"/>
    <d v="2021-10-25T00:00:00"/>
    <n v="4022.52"/>
    <s v="USD"/>
    <n v="4022.52"/>
    <s v="USD"/>
    <n v="15815748"/>
    <s v="MGA"/>
    <s v="99"/>
    <s v="HRANDY"/>
    <s v="5001036809"/>
  </r>
  <r>
    <s v="CS1041TUNPBF"/>
    <s v="TUNPBF000"/>
    <s v="CS.1041"/>
    <s v="MPTF_04"/>
    <s v="CONTRACTUAL COSTS"/>
    <x v="6"/>
    <s v="Financial support infrastructure investm"/>
    <s v="CS1041TUNPBF"/>
    <s v="306060"/>
    <s v="Surface transportation"/>
    <s v="Rental of vehicles, fuel included for IOM celebrat"/>
    <s v="1023824820"/>
    <s v="5000599432"/>
    <s v="1"/>
    <d v="2021-10-28T00:00:00"/>
    <n v="152.6"/>
    <s v="USD"/>
    <n v="152.6"/>
    <s v="USD"/>
    <n v="600000"/>
    <s v="MGA"/>
    <s v="99"/>
    <s v="HRANDY"/>
    <s v="5001037327"/>
  </r>
  <r>
    <s v="CS1041TUNPBF"/>
    <s v="TUNPBF000"/>
    <s v="CS.1041"/>
    <s v="MPTF_04"/>
    <s v="CONTRACTUAL COSTS"/>
    <x v="6"/>
    <s v="Financial support infrastructure investm"/>
    <s v="CS1041TUNPBF"/>
    <s v="307910"/>
    <s v="Miscellaneous other expenses"/>
    <s v="2nd Payment of realization Market construction in"/>
    <s v="1023827031"/>
    <s v="5000599702"/>
    <s v="1"/>
    <d v="2021-10-05T00:00:00"/>
    <n v="2278.5300000000002"/>
    <s v="USD"/>
    <n v="2278.5300000000002"/>
    <s v="USD"/>
    <n v="8958705"/>
    <s v="MGA"/>
    <s v="99"/>
    <s v="HRANDY"/>
    <s v="5001037652"/>
  </r>
  <r>
    <s v="CS1041TUNPBF"/>
    <s v="TUNPBF000"/>
    <s v="CS.1041"/>
    <s v="MPTF_04"/>
    <s v="CONTRACTUAL COSTS"/>
    <x v="4"/>
    <s v="Capacity building workshops -venue cater"/>
    <s v="CS1041TUNPBF"/>
    <s v="305630"/>
    <s v="Consultants - Training and Education matters"/>
    <s v="Ravelonandro fees as a Consultant for the support"/>
    <s v="1023906801"/>
    <s v="5000611082"/>
    <s v="1"/>
    <d v="2021-11-24T00:00:00"/>
    <n v="2207.58"/>
    <s v="USD"/>
    <n v="2207.58"/>
    <s v="USD"/>
    <n v="8690500"/>
    <s v="MGA"/>
    <s v="99"/>
    <s v="HRANDY"/>
    <s v="5001048933"/>
  </r>
  <r>
    <s v="CS1041TUNPBF"/>
    <s v="TUNPBF000"/>
    <s v="CS.1041"/>
    <s v="MPTF_04"/>
    <s v="CONTRACTUAL COSTS"/>
    <x v="6"/>
    <s v="Financial support infrastructure investm"/>
    <s v="CS1041TUNPBF"/>
    <s v="307910"/>
    <s v="Miscellaneous other expenses"/>
    <s v="4th Payment of realization Market construction in"/>
    <s v="1023926672"/>
    <s v="5000614428"/>
    <s v="1"/>
    <d v="2021-11-29T00:00:00"/>
    <n v="758.57"/>
    <s v="USD"/>
    <n v="758.57"/>
    <s v="USD"/>
    <n v="2986237"/>
    <s v="MGA"/>
    <s v="99"/>
    <s v="HRANDY"/>
    <s v="5001052407"/>
  </r>
  <r>
    <s v="CS1041TUNPBF"/>
    <s v="TUNPBF000"/>
    <s v="CS.1041"/>
    <s v="MPTF_04"/>
    <s v="CONTRACTUAL COSTS"/>
    <x v="6"/>
    <s v="Financial support infrastructure investm"/>
    <s v="CS1041TUNPBF"/>
    <s v="307910"/>
    <s v="Miscellaneous other expenses"/>
    <s v="3rd Payment of realization Market construction in"/>
    <s v="1023926686"/>
    <s v="5000614429"/>
    <s v="1"/>
    <d v="2021-11-29T00:00:00"/>
    <n v="2275.71"/>
    <s v="USD"/>
    <n v="2275.71"/>
    <s v="USD"/>
    <n v="8958705"/>
    <s v="MGA"/>
    <s v="99"/>
    <s v="HRANDY"/>
    <s v="5001052428"/>
  </r>
  <r>
    <s v="CS1041TUNPBF"/>
    <s v="TUNPBF000"/>
    <s v="CS.1041"/>
    <s v="MPTF_04"/>
    <s v="CONTRACTUAL COSTS"/>
    <x v="6"/>
    <s v="Financial support infrastructure investm"/>
    <s v="CS1041TUNPBF"/>
    <s v="307910"/>
    <s v="Miscellaneous other expenses"/>
    <s v="3rd Payment Financial support to the realization o"/>
    <s v="1023926549"/>
    <s v="5000614507"/>
    <s v="1"/>
    <d v="2021-11-29T00:00:00"/>
    <n v="2279.75"/>
    <s v="USD"/>
    <n v="2279.75"/>
    <s v="USD"/>
    <n v="8974631"/>
    <s v="MGA"/>
    <s v="99"/>
    <s v="HRANDY"/>
    <s v="5001052347"/>
  </r>
  <r>
    <s v="CS1041TUNPBF"/>
    <s v="TUNPBF000"/>
    <s v="CS.1041"/>
    <s v="MPTF_04"/>
    <s v="CONTRACTUAL COSTS"/>
    <x v="6"/>
    <s v="Financial support infrastructure investm"/>
    <s v="CS1041TUNPBF"/>
    <s v="307910"/>
    <s v="Miscellaneous other expenses"/>
    <s v="Financial support to the realization of 2 drilling"/>
    <s v="1023926701"/>
    <s v="5000614610"/>
    <s v="1"/>
    <d v="2021-11-29T00:00:00"/>
    <n v="3110.72"/>
    <s v="USD"/>
    <n v="3110.72"/>
    <s v="USD"/>
    <n v="12245880"/>
    <s v="MGA"/>
    <s v="99"/>
    <s v="HRANDY"/>
    <s v="5001052433"/>
  </r>
  <r>
    <s v="CS1041TUNPBF"/>
    <s v="TUNPBF000"/>
    <s v="CS.1041"/>
    <s v="MPTF_04"/>
    <s v="CONTRACTUAL COSTS"/>
    <x v="6"/>
    <s v="Financial support infrastructure investm"/>
    <s v="CS1041TUNPBF"/>
    <s v="307910"/>
    <s v="Miscellaneous other expenses"/>
    <s v="Financial support to the realization of 2 drilling"/>
    <s v="1023926701"/>
    <s v="5000614610"/>
    <s v="2"/>
    <d v="2021-11-29T00:00:00"/>
    <n v="1555.36"/>
    <s v="USD"/>
    <n v="1555.36"/>
    <s v="USD"/>
    <n v="6122940"/>
    <s v="MGA"/>
    <s v="99"/>
    <s v="HRANDY"/>
    <s v="5001052433"/>
  </r>
  <r>
    <s v="CS1041TUNPBF"/>
    <s v="TUNPBF000"/>
    <s v="CS.1041"/>
    <s v="MPTF_04"/>
    <s v="CONTRACTUAL COSTS"/>
    <x v="6"/>
    <s v="Financial support infrastructure investm"/>
    <s v="CS1041TUNPBF"/>
    <s v="307910"/>
    <s v="Miscellaneous other expenses"/>
    <s v="Financial support to the realization of one drilli"/>
    <s v="1023926701"/>
    <s v="5000614610"/>
    <s v="3"/>
    <d v="2021-11-29T00:00:00"/>
    <n v="7258.22"/>
    <s v="USD"/>
    <n v="7258.22"/>
    <s v="USD"/>
    <n v="28573200"/>
    <s v="MGA"/>
    <s v="99"/>
    <s v="HRANDY"/>
    <s v="5001052433"/>
  </r>
  <r>
    <s v="CS1041TUNPBF"/>
    <s v="TUNPBF000"/>
    <s v="CS.1041"/>
    <s v="MPTF_04"/>
    <s v="CONTRACTUAL COSTS"/>
    <x v="6"/>
    <s v="Financial support infrastructure investm"/>
    <s v="CS1041TUNPBF"/>
    <s v="307910"/>
    <s v="Miscellaneous other expenses"/>
    <s v="FORAGE TOMITSY - LAMBOKELY 4/4"/>
    <s v="1023926701"/>
    <s v="5000614610"/>
    <s v="4"/>
    <d v="2021-11-29T00:00:00"/>
    <n v="3629.17"/>
    <s v="USD"/>
    <n v="3629.17"/>
    <s v="USD"/>
    <n v="14286860"/>
    <s v="MGA"/>
    <s v="99"/>
    <s v="HRANDY"/>
    <s v="5001052433"/>
  </r>
  <r>
    <s v="CS1041TUNPBF"/>
    <s v="TUNPBF000"/>
    <s v="CS.1041"/>
    <s v="MPTF_04"/>
    <s v="CONTRACTUAL COSTS"/>
    <x v="0"/>
    <s v="Capacity building workshops - consultant"/>
    <s v="CS1041TUNPBF"/>
    <s v="307910"/>
    <s v="Miscellaneous other expenses"/>
    <s v="Payment of preparation of the fixing structure for"/>
    <s v="1023932988"/>
    <s v="5000615626"/>
    <s v="1"/>
    <d v="2021-11-30T00:00:00"/>
    <n v="482.64"/>
    <s v="USD"/>
    <n v="482.64"/>
    <s v="USD"/>
    <n v="1900000"/>
    <s v="MGA"/>
    <s v="99"/>
    <s v="HRANDY"/>
    <s v="5001053447"/>
  </r>
  <r>
    <s v="CS1041TUNPBF"/>
    <s v="TUNPBF000"/>
    <s v="CS.1041"/>
    <s v="MPTF_04"/>
    <s v="CONTRACTUAL COSTS"/>
    <x v="0"/>
    <s v="Capacity building workshops - consultant"/>
    <s v="CS1041TUNPBF"/>
    <s v="306060"/>
    <s v="Surface transportation"/>
    <s v="Rental of 2 vehicles, fuel included for IOM/Partne"/>
    <s v="1023933144"/>
    <s v="5000615659"/>
    <s v="1"/>
    <d v="2021-11-30T00:00:00"/>
    <n v="381.03"/>
    <s v="USD"/>
    <n v="381.03"/>
    <s v="USD"/>
    <n v="1500000"/>
    <s v="MGA"/>
    <s v="99"/>
    <s v="HRANDY"/>
    <s v="5001053494"/>
  </r>
  <r>
    <s v="CS1041TUNPBF"/>
    <s v="TUNPBF000"/>
    <s v="CS.1041"/>
    <s v="MPTF_04"/>
    <s v="CONTRACTUAL COSTS"/>
    <x v="0"/>
    <s v="Capacity building workshops - consultant"/>
    <s v="CS1041TUNPBF"/>
    <s v="180160"/>
    <s v="Beneficiary Asset Acq. 01"/>
    <s v="Payment for solar street lamps and solar kits for"/>
    <s v="1023936022"/>
    <s v="5000616138"/>
    <s v="2"/>
    <d v="2021-11-30T00:00:00"/>
    <n v="2002.21"/>
    <s v="USD"/>
    <n v="2002.21"/>
    <s v="USD"/>
    <n v="7882050"/>
    <s v="MGA"/>
    <s v="99"/>
    <s v="HRANDY"/>
    <s v="5001053974"/>
  </r>
  <r>
    <s v="CS1041TUNPBF"/>
    <s v="TUNPBF000"/>
    <s v="CS.1041"/>
    <s v="MPTF_04"/>
    <s v="CONTRACTUAL COSTS"/>
    <x v="7"/>
    <s v="End of project symposium - venue cateri"/>
    <s v="CS1041TUNPBF"/>
    <s v="306620"/>
    <s v="Food  &amp; beverages"/>
    <s v="Banquet and catering services for symposium end of"/>
    <s v="1024027848"/>
    <s v="5000631106"/>
    <s v="1"/>
    <d v="2021-12-16T00:00:00"/>
    <n v="1443.81"/>
    <s v="USD"/>
    <n v="1443.81"/>
    <s v="USD"/>
    <n v="5720000"/>
    <s v="MGA"/>
    <s v="99"/>
    <s v="HRANDY"/>
    <s v="5001068940"/>
  </r>
  <r>
    <s v="CS1041TUNPBF"/>
    <s v="TUNPBF000"/>
    <s v="CS.1041"/>
    <s v="MPTF_04"/>
    <s v="CONTRACTUAL COSTS"/>
    <x v="7"/>
    <s v="End of project symposium - venue cateri"/>
    <s v="CS1041TUNPBF"/>
    <s v="306620"/>
    <s v="Food  &amp; beverages"/>
    <s v="Banquet and catering services for symposium end of"/>
    <s v="1024093260"/>
    <s v="5000634872"/>
    <s v="1"/>
    <d v="2021-12-21T00:00:00"/>
    <n v="507.6"/>
    <s v="USD"/>
    <n v="507.6"/>
    <s v="USD"/>
    <n v="2011000"/>
    <s v="MGA"/>
    <s v="99"/>
    <s v="HRANDY"/>
    <s v="5001072683"/>
  </r>
  <r>
    <s v="CS1041TUNPBF"/>
    <s v="TUNPBF000"/>
    <s v="CS.1041"/>
    <s v="MPTF_04"/>
    <s v="CONTRACTUAL COSTS"/>
    <x v="8"/>
    <s v="Printing and dissemination costs"/>
    <s v="CS1041TUNPBF"/>
    <s v="307910"/>
    <s v="Miscellaneous other expenses"/>
    <s v="Print research report CNRE and INSUCO for symposiu"/>
    <s v="1024095112"/>
    <s v="5000635109"/>
    <s v="1"/>
    <d v="2021-12-21T00:00:00"/>
    <n v="491.22"/>
    <s v="USD"/>
    <n v="491.22"/>
    <s v="USD"/>
    <n v="1946080"/>
    <s v="MGA"/>
    <s v="99"/>
    <s v="HRANDY"/>
    <s v="5001072964"/>
  </r>
  <r>
    <s v="CS1041TUNPBF"/>
    <s v="TUNPBF000"/>
    <s v="CS.1041"/>
    <s v="MPTF_04"/>
    <s v="CONTRACTUAL COSTS"/>
    <x v="6"/>
    <s v="Financial support infrastructure investm"/>
    <s v="CS1041TUNPBF"/>
    <s v="307910"/>
    <s v="Miscellaneous other expenses"/>
    <s v="3rd Payment of Construction of two markets in the"/>
    <s v="1024102564"/>
    <s v="5000636362"/>
    <s v="1"/>
    <d v="2021-12-22T00:00:00"/>
    <n v="3992.11"/>
    <s v="USD"/>
    <n v="3992.11"/>
    <s v="USD"/>
    <n v="15815748"/>
    <s v="MGA"/>
    <s v="99"/>
    <s v="HRANDY"/>
    <s v="5001074171"/>
  </r>
  <r>
    <s v="CS1041TUNPBF"/>
    <s v="TUNPBF000"/>
    <s v="CS.1041"/>
    <s v="MPTF_04"/>
    <s v="CONTRACTUAL COSTS"/>
    <x v="6"/>
    <s v="Financial support infrastructure investm"/>
    <s v="CS1041TUNPBF"/>
    <s v="307910"/>
    <s v="Miscellaneous other expenses"/>
    <s v="4th Payment of Construction of two markets in the"/>
    <s v="1024102564"/>
    <s v="5000636362"/>
    <s v="2"/>
    <d v="2021-12-22T00:00:00"/>
    <n v="1330.7"/>
    <s v="USD"/>
    <n v="1330.7"/>
    <s v="USD"/>
    <n v="5271916"/>
    <s v="MGA"/>
    <s v="99"/>
    <s v="HRANDY"/>
    <s v="5001074171"/>
  </r>
  <r>
    <s v="CS1041TUNPBF"/>
    <s v="TUNPBF000"/>
    <s v="CS.1041"/>
    <s v="MPTF_04"/>
    <s v="CONTRACTUAL COSTS"/>
    <x v="6"/>
    <s v="Financial support infrastructure investm"/>
    <s v="CS1041TUNPBF"/>
    <s v="306060"/>
    <s v="Surface transportation"/>
    <s v="Vehicle rental-fuel included, transfer of NOA and"/>
    <s v="1024136154"/>
    <s v="5000642011"/>
    <s v="1"/>
    <d v="2021-12-29T00:00:00"/>
    <n v="302.89999999999998"/>
    <s v="USD"/>
    <n v="302.89999999999998"/>
    <s v="USD"/>
    <n v="1200000"/>
    <s v="MGA"/>
    <s v="99"/>
    <s v="HRANDY"/>
    <s v="5001079782"/>
  </r>
  <r>
    <s v="CS1041TUNPBF"/>
    <s v="TUNPBF000"/>
    <s v="CS.1041"/>
    <s v="MPTF_04"/>
    <s v="CONTRACTUAL COSTS"/>
    <x v="6"/>
    <s v="Financial support infrastructure investm"/>
    <s v="CS1041TUNPBF"/>
    <s v="307910"/>
    <s v="Miscellaneous other expenses"/>
    <s v="Financial support to the realization of 6 drilling"/>
    <s v="1024145432"/>
    <s v="5000643795"/>
    <s v="1"/>
    <d v="2021-12-31T00:00:00"/>
    <n v="8983.15"/>
    <s v="USD"/>
    <n v="8983.15"/>
    <s v="USD"/>
    <n v="35589000"/>
    <s v="MGA"/>
    <s v="99"/>
    <s v="HRANDY"/>
    <s v="5001081598"/>
  </r>
  <r>
    <s v="CS1041TUNPBF"/>
    <s v="TUNPBF000"/>
    <s v="CS.1041"/>
    <s v="MPTF_04"/>
    <s v="CONTRACTUAL COSTS"/>
    <x v="6"/>
    <s v="Financial support infrastructure investm"/>
    <s v="CS1041TUNPBF"/>
    <s v="307910"/>
    <s v="Miscellaneous other expenses"/>
    <s v="Financial support to the realization of 1 drilling"/>
    <s v="1024159101"/>
    <s v="5000646198"/>
    <s v="1"/>
    <d v="2021-12-21T00:00:00"/>
    <n v="1545.51"/>
    <s v="USD"/>
    <n v="1545.51"/>
    <s v="USD"/>
    <n v="6122940"/>
    <s v="MGA"/>
    <s v="99"/>
    <s v="HRANDY"/>
    <s v="5001083987"/>
  </r>
  <r>
    <s v="CS1041TUNPBF"/>
    <s v="TUNPBF000"/>
    <s v="CS.1041"/>
    <s v="MPTF_04"/>
    <s v="CONTRACTUAL COSTS"/>
    <x v="6"/>
    <s v="Financial support infrastructure investm"/>
    <s v="CS1041TUNPBF"/>
    <s v="307910"/>
    <s v="Miscellaneous other expenses"/>
    <s v="Financial support to the realization of 1 drilling"/>
    <s v="1024159101"/>
    <s v="5000646198"/>
    <s v="2"/>
    <d v="2021-12-21T00:00:00"/>
    <n v="1545.51"/>
    <s v="USD"/>
    <n v="1545.51"/>
    <s v="USD"/>
    <n v="6122940"/>
    <s v="MGA"/>
    <s v="99"/>
    <s v="HRANDY"/>
    <s v="5001083987"/>
  </r>
  <r>
    <s v="CS1041TUNPBF"/>
    <s v="TUNPBF000"/>
    <s v="CS.1041"/>
    <s v="MPTF_04"/>
    <s v="CONTRACTUAL COSTS"/>
    <x v="6"/>
    <s v="Financial support infrastructure investm"/>
    <s v="CS1041TUNPBF"/>
    <s v="307910"/>
    <s v="Miscellaneous other expenses"/>
    <s v="Financial support to the realization of 1 drilling"/>
    <s v="1024159101"/>
    <s v="5000646198"/>
    <s v="3"/>
    <d v="2021-12-21T00:00:00"/>
    <n v="2060.69"/>
    <s v="USD"/>
    <n v="2060.69"/>
    <s v="USD"/>
    <n v="8163920"/>
    <s v="MGA"/>
    <s v="99"/>
    <s v="HRANDY"/>
    <s v="5001083987"/>
  </r>
  <r>
    <s v="CS1041TUNPBF"/>
    <s v="TUNPBF000"/>
    <s v="CS.1041"/>
    <s v="MPTF_04"/>
    <s v="CONTRACTUAL COSTS"/>
    <x v="6"/>
    <s v="Financial support infrastructure investm"/>
    <s v="CS1041TUNPBF"/>
    <s v="307910"/>
    <s v="Miscellaneous other expenses"/>
    <s v="Financial support to the realization of 6 drilling"/>
    <s v="1024174619"/>
    <s v="5000647841"/>
    <s v="1"/>
    <d v="2021-12-31T00:00:00"/>
    <n v="7860.92"/>
    <s v="USD"/>
    <n v="7860.92"/>
    <s v="USD"/>
    <n v="31143000"/>
    <s v="MGA"/>
    <s v="99"/>
    <s v="HRANDY"/>
    <s v="5001085598"/>
  </r>
  <r>
    <s v="CS1041TUNPBF"/>
    <s v="TUNPBF000"/>
    <s v="CS.1041"/>
    <s v="MPTF_04"/>
    <s v="CONTRACTUAL COSTS"/>
    <x v="6"/>
    <s v="Financial support infrastructure investm"/>
    <s v="CS1041TUNPBF"/>
    <s v="307910"/>
    <s v="Miscellaneous other expenses"/>
    <s v="10% APRES RECEPTION DEFINITIVE"/>
    <s v="1024174619"/>
    <s v="5000647841"/>
    <s v="2"/>
    <d v="2021-12-31T00:00:00"/>
    <n v="1871.65"/>
    <s v="USD"/>
    <n v="1871.65"/>
    <s v="USD"/>
    <n v="7415000"/>
    <s v="MGA"/>
    <s v="99"/>
    <s v="HRANDY"/>
    <s v="5001085598"/>
  </r>
  <r>
    <s v="CS1041TUNPBF"/>
    <s v="TUNPBF000"/>
    <s v="CS.1041"/>
    <s v="MPTF_04"/>
    <s v="CONTRACTUAL COSTS"/>
    <x v="6"/>
    <s v="Financial support infrastructure investm"/>
    <s v="CS1041TUNPBF"/>
    <s v="307910"/>
    <s v="Miscellaneous other expenses"/>
    <s v="10% APRES RECEPTION DEFINITIVE"/>
    <s v="1024175044"/>
    <s v="5000647842"/>
    <s v="1"/>
    <d v="2021-12-31T00:00:00"/>
    <n v="-1871.65"/>
    <s v="USD"/>
    <n v="-1871.65"/>
    <s v="USD"/>
    <n v="-7415000"/>
    <s v="MGA"/>
    <s v="99"/>
    <s v="HRANDY"/>
    <s v="5001085619"/>
  </r>
  <r>
    <s v="CS1041TUNPBF"/>
    <s v="TUNPBF000"/>
    <s v="CS.1041"/>
    <s v="MPTF_04"/>
    <s v="CONTRACTUAL COSTS"/>
    <x v="6"/>
    <s v="Financial support infrastructure investm"/>
    <s v="CS1041TUNPBF"/>
    <s v="307910"/>
    <s v="Miscellaneous other expenses"/>
    <s v="4th Payment Financial support to the realization o"/>
    <s v="1024175092"/>
    <s v="5000647846"/>
    <s v="1"/>
    <d v="2021-12-31T00:00:00"/>
    <n v="755.11"/>
    <s v="USD"/>
    <n v="755.11"/>
    <s v="USD"/>
    <n v="2991546"/>
    <s v="MGA"/>
    <s v="99"/>
    <s v="HRANDY"/>
    <s v="5001085631"/>
  </r>
  <r>
    <s v="CS1041TUNPBF"/>
    <s v="TUNPBF000"/>
    <s v="CS.1041"/>
    <s v="MPTF_04"/>
    <s v="CONTRACTUAL COSTS"/>
    <x v="6"/>
    <s v="Financial support infrastructure investm"/>
    <s v="CS1041TUNPBF"/>
    <s v="307910"/>
    <s v="Miscellaneous other expenses"/>
    <s v="4th Payment Financial support to the realization o"/>
    <s v="1024175106"/>
    <s v="5000647847"/>
    <s v="1"/>
    <d v="2021-12-31T00:00:00"/>
    <n v="-755.11"/>
    <s v="USD"/>
    <n v="-755.11"/>
    <s v="USD"/>
    <n v="-2991546"/>
    <s v="MGA"/>
    <s v="99"/>
    <s v="HRANDY"/>
    <s v="5001085632"/>
  </r>
  <r>
    <s v="CS1041TUNPBF"/>
    <s v="TUNPBF000"/>
    <s v="CS.1041"/>
    <s v="MPTF_04"/>
    <s v="CONTRACTUAL COSTS"/>
    <x v="6"/>
    <s v="Financial support infrastructure investm"/>
    <s v="CS1041TUNPBF"/>
    <s v="307910"/>
    <s v="Miscellaneous other expenses"/>
    <s v="4th Payment Financial support to the realization o"/>
    <s v="1024184298"/>
    <s v="5000648715"/>
    <s v="1"/>
    <d v="2021-12-31T00:00:00"/>
    <n v="755.11"/>
    <s v="USD"/>
    <n v="755.11"/>
    <s v="USD"/>
    <n v="2991546"/>
    <s v="MGA"/>
    <s v="99"/>
    <s v="HRANDY"/>
    <s v="5001086472"/>
  </r>
  <r>
    <s v="CS1041TUNPBF"/>
    <s v="TUNPBF000"/>
    <s v="CS.1041"/>
    <s v="MPTF_04"/>
    <s v="CONTRACTUAL COSTS"/>
    <x v="6"/>
    <s v="Financial support infrastructure investm"/>
    <s v="CS1041TUNPBF"/>
    <s v="307910"/>
    <s v="Miscellaneous other expenses"/>
    <s v="10% APRES RECEPTION DEFINITIVE"/>
    <s v="1024408727"/>
    <s v="5000660527"/>
    <s v="1"/>
    <d v="2022-02-01T00:00:00"/>
    <n v="1864.94"/>
    <s v="USD"/>
    <n v="1864.94"/>
    <s v="USD"/>
    <n v="7415000"/>
    <s v="MGA"/>
    <s v="99"/>
    <s v="HRANDY"/>
    <s v="5001098248"/>
  </r>
  <r>
    <s v="CS1041TUNPBF"/>
    <s v="TUNPBF000"/>
    <s v="CS.1041"/>
    <s v="MPTF_04"/>
    <s v="CONTRACTUAL COSTS"/>
    <x v="9"/>
    <s v="Final Evaluation"/>
    <s v="CS1041TUNPBF"/>
    <s v="305620"/>
    <s v="Consultants - Administration matters"/>
    <s v="Consultants - Administration matters"/>
    <s v="1024568294"/>
    <s v="5000683286"/>
    <s v="1"/>
    <d v="2022-03-02T00:00:00"/>
    <n v="1396.52"/>
    <s v="USD"/>
    <n v="1396.52"/>
    <s v="USD"/>
    <n v="5550482.04"/>
    <s v="MGA"/>
    <s v="99"/>
    <s v="HRANDRIANA"/>
    <s v="5001120948"/>
  </r>
  <r>
    <s v="CS1041TUNPBF"/>
    <s v="TUNPBF000"/>
    <s v="CS.1041"/>
    <s v="MPTF_04"/>
    <s v="CONTRACTUAL COSTS"/>
    <x v="9"/>
    <s v="Final Evaluation"/>
    <s v="CS1041TUNPBF"/>
    <s v="305620"/>
    <s v="Consultants - Administration matters"/>
    <s v="Consultants - Administration matters"/>
    <s v="1024568301"/>
    <s v="5000683289"/>
    <s v="1"/>
    <d v="2022-03-02T00:00:00"/>
    <n v="1396.52"/>
    <s v="USD"/>
    <n v="1396.52"/>
    <s v="USD"/>
    <n v="5550482.04"/>
    <s v="MGA"/>
    <s v="99"/>
    <s v="HRANDRIANA"/>
    <s v="5001120955"/>
  </r>
  <r>
    <s v="CS1041TUNPBF"/>
    <s v="TUNPBF000"/>
    <s v="CS.1041"/>
    <s v="MPTF_04"/>
    <s v="CONTRACTUAL COSTS"/>
    <x v="9"/>
    <s v="Final Evaluation"/>
    <s v="CS1041TUNPBF"/>
    <s v="305620"/>
    <s v="Consultants - Administration matters"/>
    <s v="Consultants - Administration matters"/>
    <s v="1024935611"/>
    <s v="5000715762"/>
    <s v="1"/>
    <d v="2022-04-25T00:00:00"/>
    <n v="1376.57"/>
    <s v="USD"/>
    <n v="1376.57"/>
    <s v="USD"/>
    <n v="5550482.04"/>
    <s v="MGA"/>
    <s v="99"/>
    <s v="HRANDRIANA"/>
    <s v="5001153326"/>
  </r>
  <r>
    <s v="CS1041TUNPBF"/>
    <s v="TUNPBF000"/>
    <s v="CS.1041"/>
    <s v="MPTF_04"/>
    <s v="CONTRACTUAL COSTS"/>
    <x v="9"/>
    <s v="Final Evaluation"/>
    <s v="CS1041TUNPBF"/>
    <s v="305620"/>
    <s v="Consultants - Administration matters"/>
    <s v="Consultants - Administration matters"/>
    <s v="1024935972"/>
    <s v="5000715787"/>
    <s v="1"/>
    <d v="2022-04-25T00:00:00"/>
    <n v="1376.57"/>
    <s v="USD"/>
    <n v="1376.57"/>
    <s v="USD"/>
    <n v="5550482.04"/>
    <s v="MGA"/>
    <s v="99"/>
    <s v="HRANDRIANA"/>
    <s v="5001153369"/>
  </r>
  <r>
    <s v="CS1041TUNPBF"/>
    <s v="TUNPBF000"/>
    <s v="CS.1041"/>
    <s v="MPTF_04"/>
    <s v="CONTRACTUAL COSTS"/>
    <x v="9"/>
    <s v="Final Evaluation"/>
    <s v="CS1041TUNPBF"/>
    <s v="305620"/>
    <s v="Consultants - Administration matters"/>
    <s v="Consultants - Administration matters"/>
    <s v="1024957079"/>
    <s v="5000718386"/>
    <s v="1"/>
    <d v="2022-04-27T00:00:00"/>
    <n v="11012.56"/>
    <s v="USD"/>
    <n v="11012.56"/>
    <s v="USD"/>
    <n v="44403856.32"/>
    <s v="MGA"/>
    <s v="99"/>
    <s v="HRANDRIANA"/>
    <s v="5001155997"/>
  </r>
  <r>
    <s v="CS1041TUNPBF"/>
    <s v="TUNPBF000"/>
    <s v="CS.1041"/>
    <s v="MPTF_04"/>
    <s v="CONTRACTUAL COSTS"/>
    <x v="9"/>
    <s v="Final Evaluation"/>
    <s v="CS1041TUNPBF"/>
    <s v="305620"/>
    <s v="Consultants - Administration matters"/>
    <s v="Consultants - Administration matters"/>
    <s v="1024957081"/>
    <s v="5000718388"/>
    <s v="1"/>
    <d v="2022-04-27T00:00:00"/>
    <n v="11012.56"/>
    <s v="USD"/>
    <n v="11012.56"/>
    <s v="USD"/>
    <n v="44403856.32"/>
    <s v="MGA"/>
    <s v="99"/>
    <s v="HRANDRIANA"/>
    <s v="5001156000"/>
  </r>
  <r>
    <s v="CS1041TUNPBF"/>
    <s v="TUNPBF000"/>
    <s v="CS.1041"/>
    <s v="MPTF_04"/>
    <s v="CONTRACTUAL COSTS"/>
    <x v="4"/>
    <s v="Capacity building workshops -venue cater"/>
    <s v="CS1041TUNPBF"/>
    <s v="305750"/>
    <s v="Registration/conference/training fees"/>
    <s v="Workshop 28to30July"/>
    <s v="1023305140"/>
    <s v="5200098944"/>
    <s v="4"/>
    <d v="2021-08-11T00:00:00"/>
    <n v="130.19"/>
    <s v="USD"/>
    <n v="130.19"/>
    <s v="USD"/>
    <n v="495000"/>
    <s v="MGA"/>
    <s v="99"/>
    <s v="HRANDRIANA"/>
    <s v="5200098944"/>
  </r>
  <r>
    <s v="CS1041TUNPBF"/>
    <s v="TUNPBF000"/>
    <s v="CS.1041"/>
    <s v="MPTF_04"/>
    <s v="CONTRACTUAL COSTS"/>
    <x v="6"/>
    <s v="Financial support infrastructure investm"/>
    <s v="CS1041TUNPBF"/>
    <s v="305350"/>
    <s v="Construction services"/>
    <s v="1ST PAYMENT INFRASCTRUCTURE"/>
    <s v="1023816597"/>
    <s v="5200144325"/>
    <s v="2"/>
    <d v="2021-10-10T00:00:00"/>
    <n v="2282.58"/>
    <s v="USD"/>
    <n v="2282.58"/>
    <s v="USD"/>
    <n v="8974631"/>
    <s v="MGA"/>
    <s v="99"/>
    <s v="HRANDY"/>
    <s v="5200144325"/>
  </r>
  <r>
    <s v="CS1041TUNPBF"/>
    <s v="TUNPBF000"/>
    <s v="CS.1041"/>
    <s v="MPTF_04"/>
    <s v="CONTRACTUAL COSTS"/>
    <x v="4"/>
    <s v="Capacity building workshops -venue cater"/>
    <s v="CS1041TUNPBF"/>
    <s v="305690"/>
    <s v="Consultancy Professional Services"/>
    <s v="diffrence of invoice"/>
    <s v="1023906813"/>
    <s v="5200155146"/>
    <s v="4"/>
    <d v="2021-11-24T00:00:00"/>
    <n v="-315.37"/>
    <s v="USD"/>
    <n v="-315.37"/>
    <s v="USD"/>
    <n v="-1241500"/>
    <s v="MGA"/>
    <s v="99"/>
    <s v="HRANDY"/>
    <s v="5200155146"/>
  </r>
  <r>
    <s v="CS1041TUNPBF"/>
    <s v="TUNPBF000"/>
    <s v="CS.1041"/>
    <s v="MPTF_04"/>
    <s v="CONTRACTUAL COSTS"/>
    <x v="6"/>
    <s v="Financial support infrastructure investm"/>
    <s v="CS1041TUNPBF"/>
    <s v="305350"/>
    <s v="Construction services"/>
    <s v="ART MIANGALY PRODUCTION 3RD INSTALMENT"/>
    <s v="1023927344"/>
    <s v="5200157523"/>
    <s v="2"/>
    <d v="2021-11-29T00:00:00"/>
    <n v="0.13"/>
    <s v="USD"/>
    <n v="0.13"/>
    <s v="USD"/>
    <n v="520"/>
    <s v="MGA"/>
    <s v="99"/>
    <s v="HRANDY"/>
    <s v="5200157523"/>
  </r>
  <r>
    <s v="CS1041TUNPBF"/>
    <s v="TUNPBF000"/>
    <s v="CS.1041"/>
    <s v="MPTF_04"/>
    <s v="CONTRACTUAL COSTS"/>
    <x v="6"/>
    <s v="Financial support infrastructure investm"/>
    <s v="CS1041TUNPBF"/>
    <s v="307910"/>
    <s v="Miscellaneous other expenses"/>
    <s v="PMT 5TH  ART MIANGALY"/>
    <s v="1023934003"/>
    <s v="5200158127"/>
    <s v="5"/>
    <d v="2021-11-30T00:00:00"/>
    <n v="-6739.89"/>
    <s v="USD"/>
    <n v="-6739.89"/>
    <s v="USD"/>
    <n v="-26532740"/>
    <s v="MGA"/>
    <s v="99"/>
    <s v="HRANDY"/>
    <s v="5200158127"/>
  </r>
  <r>
    <s v="CS1041TUNPBF"/>
    <s v="TUNPBF000"/>
    <s v="CS.1041"/>
    <s v="MPTF_04"/>
    <s v="CONTRACTUAL COSTS"/>
    <x v="6"/>
    <s v="Financial support infrastructure investm"/>
    <s v="CS1041TUNPBF"/>
    <s v="305350"/>
    <s v="Construction services"/>
    <s v="ART MIANGALY PRODUCTION - 2ND PAYMENT"/>
    <s v="1023941900"/>
    <s v="5200158812"/>
    <s v="5"/>
    <d v="2021-11-30T00:00:00"/>
    <n v="1555.36"/>
    <s v="USD"/>
    <n v="1555.36"/>
    <s v="USD"/>
    <n v="6122940"/>
    <s v="MGA"/>
    <s v="99"/>
    <s v="HRANDY"/>
    <s v="5200158812"/>
  </r>
  <r>
    <s v="MG10"/>
    <s v="MG10"/>
    <s v="MTPF_4"/>
    <s v="MTPF_4"/>
    <m/>
    <x v="9"/>
    <s v="305740"/>
    <s v="Other services"/>
    <n v="1046.6600000000001"/>
    <s v="USD"/>
    <n v="1046.6600000000001"/>
    <s v="USD"/>
    <n v="4122076.06"/>
    <s v="MGA"/>
    <s v="5000836953"/>
    <n v="1046.6600000000001"/>
    <d v="2020-11-26T00:00:00"/>
    <n v="1046.6600000000001"/>
    <s v="2ND INSTALMENT 2/2"/>
    <s v="BIOTOPE SARL"/>
    <s v=""/>
    <s v="50008369532020"/>
    <s v="HRANDRIANA"/>
    <s v="11"/>
  </r>
  <r>
    <s v="MG10"/>
    <s v="MG10"/>
    <s v="MTPF_4"/>
    <s v="MTPF_4"/>
    <m/>
    <x v="10"/>
    <s v="305740"/>
    <s v="Other services"/>
    <n v="4833.55"/>
    <s v="USD"/>
    <n v="4833.55"/>
    <s v="USD"/>
    <n v="18382000"/>
    <s v="MGA"/>
    <s v="5000767040"/>
    <n v="4833.55"/>
    <d v="2020-06-24T00:00:00"/>
    <n v="4833.55"/>
    <s v="1ST INSTALMENT"/>
    <s v="BIOTOPE SARL"/>
    <s v=""/>
    <s v="50007670402020"/>
    <s v="HRANDRIANA"/>
    <s v="6"/>
  </r>
  <r>
    <s v="MG10"/>
    <s v="MG10"/>
    <s v="MTPF_4"/>
    <s v="MTPF_4"/>
    <m/>
    <x v="10"/>
    <s v="305740"/>
    <s v="Other services"/>
    <n v="5954.58"/>
    <s v="USD"/>
    <n v="5954.58"/>
    <s v="USD"/>
    <n v="23450923.940000001"/>
    <s v="MGA"/>
    <s v="5000836953"/>
    <n v="5954.58"/>
    <d v="2020-11-26T00:00:00"/>
    <n v="5954.58"/>
    <s v="2ND INSTALMENT 2/2"/>
    <s v="BIOTOPE SARL"/>
    <s v=""/>
    <s v="50008369532020"/>
    <s v="HRANDRIANA"/>
    <s v="11"/>
  </r>
  <r>
    <m/>
    <m/>
    <m/>
    <m/>
    <m/>
    <x v="6"/>
    <m/>
    <m/>
    <m/>
    <m/>
    <m/>
    <m/>
    <m/>
    <m/>
    <m/>
    <n v="5917.56"/>
    <m/>
    <n v="-5917.56"/>
    <m/>
    <m/>
    <m/>
    <m/>
    <m/>
    <m/>
  </r>
  <r>
    <m/>
    <m/>
    <m/>
    <m/>
    <m/>
    <x v="0"/>
    <m/>
    <m/>
    <m/>
    <m/>
    <m/>
    <m/>
    <m/>
    <m/>
    <m/>
    <n v="2002.21"/>
    <m/>
    <n v="-2002.21"/>
    <m/>
    <m/>
    <m/>
    <m/>
    <m/>
    <m/>
  </r>
  <r>
    <m/>
    <m/>
    <m/>
    <m/>
    <m/>
    <x v="6"/>
    <m/>
    <m/>
    <m/>
    <m/>
    <m/>
    <m/>
    <m/>
    <m/>
    <m/>
    <n v="245.93"/>
    <m/>
    <n v="-245.93"/>
    <m/>
    <m/>
    <m/>
    <m/>
    <m/>
    <m/>
  </r>
  <r>
    <m/>
    <m/>
    <m/>
    <m/>
    <m/>
    <x v="6"/>
    <m/>
    <m/>
    <m/>
    <m/>
    <m/>
    <m/>
    <m/>
    <m/>
    <m/>
    <n v="152.6"/>
    <m/>
    <n v="-152.6"/>
    <m/>
    <m/>
    <m/>
    <m/>
    <m/>
    <m/>
  </r>
  <r>
    <m/>
    <m/>
    <m/>
    <m/>
    <m/>
    <x v="6"/>
    <m/>
    <m/>
    <m/>
    <m/>
    <m/>
    <m/>
    <m/>
    <m/>
    <m/>
    <n v="257.45999999999998"/>
    <m/>
    <n v="-257.45999999999998"/>
    <m/>
    <m/>
    <m/>
    <m/>
    <m/>
    <m/>
  </r>
  <r>
    <m/>
    <m/>
    <m/>
    <m/>
    <m/>
    <x v="6"/>
    <m/>
    <m/>
    <m/>
    <m/>
    <m/>
    <m/>
    <m/>
    <m/>
    <m/>
    <n v="302.89999999999998"/>
    <m/>
    <n v="-302.89999999999998"/>
    <m/>
    <m/>
    <m/>
    <m/>
    <m/>
    <m/>
  </r>
  <r>
    <m/>
    <m/>
    <m/>
    <m/>
    <m/>
    <x v="0"/>
    <m/>
    <m/>
    <m/>
    <m/>
    <m/>
    <m/>
    <m/>
    <m/>
    <m/>
    <n v="3371.73"/>
    <m/>
    <n v="-3371.73"/>
    <m/>
    <m/>
    <m/>
    <m/>
    <m/>
    <m/>
  </r>
  <r>
    <m/>
    <m/>
    <m/>
    <m/>
    <m/>
    <x v="0"/>
    <m/>
    <m/>
    <m/>
    <m/>
    <m/>
    <m/>
    <m/>
    <m/>
    <m/>
    <n v="381.03"/>
    <m/>
    <n v="-381.03"/>
    <m/>
    <m/>
    <m/>
    <m/>
    <m/>
    <m/>
  </r>
  <r>
    <m/>
    <m/>
    <m/>
    <m/>
    <m/>
    <x v="6"/>
    <m/>
    <m/>
    <m/>
    <m/>
    <m/>
    <m/>
    <m/>
    <m/>
    <m/>
    <n v="93.56"/>
    <m/>
    <n v="-93.56"/>
    <m/>
    <m/>
    <m/>
    <m/>
    <m/>
    <m/>
  </r>
  <r>
    <m/>
    <m/>
    <m/>
    <m/>
    <m/>
    <x v="6"/>
    <m/>
    <m/>
    <m/>
    <m/>
    <m/>
    <m/>
    <m/>
    <m/>
    <m/>
    <n v="10.52"/>
    <m/>
    <n v="-10.52"/>
    <m/>
    <m/>
    <m/>
    <m/>
    <m/>
    <m/>
  </r>
  <r>
    <m/>
    <m/>
    <m/>
    <m/>
    <m/>
    <x v="4"/>
    <m/>
    <m/>
    <m/>
    <m/>
    <m/>
    <m/>
    <m/>
    <m/>
    <m/>
    <n v="946.81"/>
    <m/>
    <n v="-946.81"/>
    <m/>
    <m/>
    <m/>
    <m/>
    <m/>
    <m/>
  </r>
  <r>
    <m/>
    <m/>
    <m/>
    <m/>
    <m/>
    <x v="4"/>
    <m/>
    <m/>
    <m/>
    <m/>
    <m/>
    <m/>
    <m/>
    <m/>
    <m/>
    <n v="946.81"/>
    <m/>
    <n v="-946.81"/>
    <m/>
    <m/>
    <m/>
    <m/>
    <m/>
    <m/>
  </r>
  <r>
    <m/>
    <m/>
    <m/>
    <m/>
    <m/>
    <x v="4"/>
    <m/>
    <m/>
    <m/>
    <m/>
    <m/>
    <m/>
    <m/>
    <m/>
    <m/>
    <n v="142.02000000000001"/>
    <m/>
    <n v="-142.02000000000001"/>
    <m/>
    <m/>
    <m/>
    <m/>
    <m/>
    <m/>
  </r>
  <r>
    <m/>
    <m/>
    <m/>
    <m/>
    <m/>
    <x v="4"/>
    <m/>
    <m/>
    <m/>
    <m/>
    <m/>
    <m/>
    <m/>
    <m/>
    <m/>
    <n v="49.61"/>
    <m/>
    <n v="-49.61"/>
    <m/>
    <m/>
    <m/>
    <m/>
    <m/>
    <m/>
  </r>
  <r>
    <m/>
    <m/>
    <m/>
    <m/>
    <m/>
    <x v="0"/>
    <m/>
    <m/>
    <m/>
    <m/>
    <m/>
    <m/>
    <m/>
    <m/>
    <m/>
    <n v="35.56"/>
    <m/>
    <n v="-35.56"/>
    <m/>
    <m/>
    <m/>
    <m/>
    <m/>
    <m/>
  </r>
  <r>
    <m/>
    <m/>
    <m/>
    <m/>
    <m/>
    <x v="0"/>
    <m/>
    <m/>
    <m/>
    <m/>
    <m/>
    <m/>
    <m/>
    <m/>
    <m/>
    <n v="495.67"/>
    <m/>
    <n v="-495.67"/>
    <m/>
    <m/>
    <m/>
    <m/>
    <m/>
    <m/>
  </r>
  <r>
    <m/>
    <m/>
    <m/>
    <m/>
    <m/>
    <x v="7"/>
    <m/>
    <m/>
    <m/>
    <m/>
    <m/>
    <m/>
    <m/>
    <m/>
    <m/>
    <n v="1443.81"/>
    <m/>
    <n v="-1443.81"/>
    <m/>
    <m/>
    <m/>
    <m/>
    <m/>
    <m/>
  </r>
  <r>
    <m/>
    <m/>
    <m/>
    <m/>
    <m/>
    <x v="7"/>
    <m/>
    <m/>
    <m/>
    <m/>
    <m/>
    <m/>
    <m/>
    <m/>
    <m/>
    <n v="507.6"/>
    <m/>
    <n v="-507.6"/>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
  <r>
    <x v="0"/>
    <n v="15603.060000000001"/>
  </r>
  <r>
    <x v="0"/>
    <n v="3385.73"/>
  </r>
  <r>
    <x v="0"/>
    <n v="7832.4199999999983"/>
  </r>
  <r>
    <x v="0"/>
    <n v="1807.9900000000002"/>
  </r>
  <r>
    <x v="0"/>
    <n v="6363.6699999999855"/>
  </r>
  <r>
    <x v="0"/>
    <n v="8594.59"/>
  </r>
  <r>
    <x v="1"/>
    <n v="104.08"/>
  </r>
  <r>
    <x v="2"/>
    <n v="53.01"/>
  </r>
  <r>
    <x v="3"/>
    <n v="1437.84"/>
  </r>
  <r>
    <x v="3"/>
    <n v="316.08"/>
  </r>
  <r>
    <x v="4"/>
    <n v="2085.25"/>
  </r>
  <r>
    <x v="2"/>
    <n v="487.52"/>
  </r>
  <r>
    <x v="5"/>
    <n v="693.22"/>
  </r>
  <r>
    <x v="4"/>
    <n v="912.26"/>
  </r>
  <r>
    <x v="1"/>
    <n v="36.630000000000003"/>
  </r>
  <r>
    <x v="6"/>
    <n v="1183.29"/>
  </r>
  <r>
    <x v="6"/>
    <n v="52.07"/>
  </r>
  <r>
    <x v="6"/>
    <n v="327.41999999999996"/>
  </r>
  <r>
    <x v="6"/>
    <n v="1183.29"/>
  </r>
  <r>
    <x v="7"/>
    <n v="385.21999999999997"/>
  </r>
  <r>
    <x v="5"/>
    <n v="1951.4099999999999"/>
  </r>
  <r>
    <x v="5"/>
    <n v="10.6"/>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
  <r>
    <x v="0"/>
    <n v="67314.159999999858"/>
  </r>
  <r>
    <x v="0"/>
    <n v="2.3100000000000023"/>
  </r>
  <r>
    <x v="1"/>
    <n v="4308.03"/>
  </r>
  <r>
    <x v="2"/>
    <n v="62.480000000000246"/>
  </r>
  <r>
    <x v="1"/>
    <n v="-3086.6900000000005"/>
  </r>
  <r>
    <x v="3"/>
    <n v="2460.0499999999997"/>
  </r>
  <r>
    <x v="4"/>
    <n v="1542.23"/>
  </r>
  <r>
    <x v="5"/>
    <n v="10788.130000000001"/>
  </r>
  <r>
    <x v="6"/>
    <n v="-1.1368683772161603E-13"/>
  </r>
  <r>
    <x v="3"/>
    <n v="491.22"/>
  </r>
  <r>
    <x v="7"/>
    <n v="28617.95999999999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n v="105.32"/>
    <x v="0"/>
  </r>
  <r>
    <n v="5917.56"/>
    <x v="1"/>
  </r>
  <r>
    <n v="12719.94"/>
    <x v="2"/>
  </r>
  <r>
    <n v="2002.21"/>
    <x v="3"/>
  </r>
  <r>
    <n v="10370.42"/>
    <x v="4"/>
  </r>
  <r>
    <n v="-327.41999999999996"/>
    <x v="4"/>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
  <r>
    <s v="CS1041TUNPBF"/>
    <s v="TUNPBF000"/>
    <s v="CS.1041"/>
    <s v="MPTF_05"/>
    <s v="TRAVEL"/>
    <x v="0"/>
    <s v="Workshop livelihoods program - DSA and"/>
    <s v="CS1041TUNPBF"/>
    <s v="303230"/>
    <s v="Rental of vehicles (including taxis)"/>
    <s v="vehicle rent Morondava du 22 au 30 Oct"/>
    <s v="1023263011"/>
    <s v="0105602363"/>
    <s v="2"/>
    <d v="2021-08-02T00:00:00"/>
    <n v="411.34"/>
    <s v="USD"/>
    <n v="411.34"/>
    <s v="USD"/>
    <n v="411.34"/>
    <s v="USD"/>
    <s v="66"/>
    <s v="HRANDY"/>
    <s v="0105602363"/>
    <s v="MG10"/>
  </r>
  <r>
    <s v="CS1041TUNPBF"/>
    <s v="TUNPBF000"/>
    <s v="CS.1041"/>
    <s v="MPTF_05"/>
    <s v="TRAVEL"/>
    <x v="0"/>
    <s v="Workshop livelihoods program - DSA and"/>
    <s v="CS1041TUNPBF"/>
    <s v="303230"/>
    <s v="Rental of vehicles (including taxis)"/>
    <s v="Fuel vehicle rent 22-30oct"/>
    <s v="1023263026"/>
    <s v="0105602381"/>
    <s v="2"/>
    <d v="2021-08-02T00:00:00"/>
    <n v="195.52"/>
    <s v="USD"/>
    <n v="195.52"/>
    <s v="USD"/>
    <n v="195.52"/>
    <s v="USD"/>
    <s v="66"/>
    <s v="HRANDY"/>
    <s v="0105602381"/>
    <s v="MG10"/>
  </r>
  <r>
    <s v="CS1041TUNPBF"/>
    <s v="TUNPBF000"/>
    <s v="CS.1041"/>
    <s v="MPTF_05"/>
    <s v="TRAVEL"/>
    <x v="0"/>
    <s v="Workshop livelihoods program - DSA and"/>
    <s v="CS1041TUNPBF"/>
    <s v="306270"/>
    <s v="Subsistence for non-IOM staff"/>
    <s v="DSA TDY Morondava 22-30/10"/>
    <s v="1023263687"/>
    <s v="0105602505"/>
    <s v="2"/>
    <d v="2021-08-02T00:00:00"/>
    <n v="1004.7"/>
    <s v="USD"/>
    <n v="1004.7"/>
    <s v="USD"/>
    <n v="1004.7"/>
    <s v="USD"/>
    <s v="66"/>
    <s v="HRANDY"/>
    <s v="0105602505"/>
    <s v="MG10"/>
  </r>
  <r>
    <s v="CS1041TUNPBF"/>
    <s v="TUNPBF000"/>
    <s v="CS.1041"/>
    <s v="MPTF_05"/>
    <s v="TRAVEL"/>
    <x v="0"/>
    <s v="Workshop livelihoods program - DSA and"/>
    <s v="CS1041TUNPBF"/>
    <s v="306270"/>
    <s v="Subsistence for non-IOM staff"/>
    <s v="DSA participant TDY Morondava"/>
    <s v="1023263697"/>
    <s v="0105602511"/>
    <s v="2"/>
    <d v="2021-08-02T00:00:00"/>
    <n v="384.07"/>
    <s v="USD"/>
    <n v="384.07"/>
    <s v="USD"/>
    <n v="384.07"/>
    <s v="USD"/>
    <s v="66"/>
    <s v="HRANDY"/>
    <s v="0105602511"/>
    <s v="MG10"/>
  </r>
  <r>
    <s v="CS1041TUNPBF"/>
    <s v="TUNPBF000"/>
    <s v="CS.1041"/>
    <s v="MPTF_05"/>
    <s v="TRAVEL"/>
    <x v="0"/>
    <s v="Workshop livelihoods program - DSA and"/>
    <s v="CS1041TUNPBF"/>
    <s v="301050"/>
    <s v="Subsistence and other"/>
    <s v="DSA TDY Giacomo Morondava 22-30oct"/>
    <s v="1023264070"/>
    <s v="0105602576"/>
    <s v="2"/>
    <d v="2021-08-02T00:00:00"/>
    <n v="1004.7"/>
    <s v="USD"/>
    <n v="1004.7"/>
    <s v="USD"/>
    <n v="1004.7"/>
    <s v="USD"/>
    <s v="66"/>
    <s v="HRANDY"/>
    <s v="0105602576"/>
    <s v="MG10"/>
  </r>
  <r>
    <s v="CS1041TUNPBF"/>
    <s v="TUNPBF000"/>
    <s v="CS.1041"/>
    <s v="MPTF_05"/>
    <s v="TRAVEL"/>
    <x v="1"/>
    <s v="Travel costs monitoring"/>
    <s v="CS1041TUNPBF"/>
    <s v="301050"/>
    <s v="Subsistence and other"/>
    <s v="remain amount DSA Giacomo TDY Morondava"/>
    <s v="1022547990"/>
    <s v="1700335566"/>
    <s v="2"/>
    <d v="2021-03-31T00:00:00"/>
    <n v="-45"/>
    <s v="USD"/>
    <n v="-45"/>
    <s v="USD"/>
    <n v="-168383"/>
    <s v="MGA"/>
    <s v="99"/>
    <s v="HRANDRIANA"/>
    <s v="1700335566"/>
    <s v="MG10"/>
  </r>
  <r>
    <s v="CS1041TUNPBF"/>
    <s v="TUNPBF000"/>
    <s v="CS.1041"/>
    <s v="MPTF_05"/>
    <s v="TRAVEL"/>
    <x v="2"/>
    <s v="Capacity building workshops - flight DSA"/>
    <s v="CS1041TUNPBF"/>
    <s v="300340"/>
    <s v="Interns and SST hourly contracts"/>
    <s v="Monthy MSA September 2021"/>
    <s v="1023691656"/>
    <s v="1700363870"/>
    <s v="2"/>
    <d v="2021-09-30T00:00:00"/>
    <n v="-384205"/>
    <s v="USD"/>
    <n v="-384205"/>
    <s v="USD"/>
    <n v="-384205"/>
    <s v="USD"/>
    <s v="99"/>
    <s v="HRANDY"/>
    <s v="1700363870"/>
    <s v="MG10"/>
  </r>
  <r>
    <s v="CS1041TUNPBF"/>
    <s v="TUNPBF000"/>
    <s v="CS.1041"/>
    <s v="MPTF_05"/>
    <s v="TRAVEL"/>
    <x v="1"/>
    <s v="Travel costs monitoring"/>
    <s v="CS1041TUNPBF"/>
    <s v="301050"/>
    <s v="Subsistence and other"/>
    <s v="DSA RANJA  TA MG10/TNHG/21/OCT/49"/>
    <s v="1023852367"/>
    <s v="1700369865"/>
    <s v="2"/>
    <d v="2021-11-11T00:00:00"/>
    <n v="-471816"/>
    <s v="USD"/>
    <n v="-471816"/>
    <s v="USD"/>
    <n v="-471816"/>
    <s v="USD"/>
    <s v="99"/>
    <s v="HRANDY"/>
    <s v="1700369865"/>
    <s v="MG10"/>
  </r>
  <r>
    <s v="CS1041TUNPBF"/>
    <s v="TUNPBF000"/>
    <s v="CS.1041"/>
    <s v="MPTF_05"/>
    <s v="TRAVEL"/>
    <x v="1"/>
    <s v="Travel costs monitoring"/>
    <s v="CS1041TUNPBF"/>
    <s v="301050"/>
    <s v="Subsistence and other"/>
    <s v="DSA MAXIME"/>
    <s v="1023957321"/>
    <s v="1700373669"/>
    <s v="2"/>
    <d v="2021-11-18T00:00:00"/>
    <n v="-617.04"/>
    <s v="USD"/>
    <n v="-617.04"/>
    <s v="USD"/>
    <n v="-2429084"/>
    <s v="MGA"/>
    <s v="99"/>
    <s v="HRANDY"/>
    <s v="1700373669"/>
    <s v="MG10"/>
  </r>
  <r>
    <s v="CS1041TUNPBF"/>
    <s v="TUNPBF000"/>
    <s v="CS.1041"/>
    <s v="MPTF_05"/>
    <s v="TRAVEL"/>
    <x v="3"/>
    <s v="End of project symposium - DSA flight"/>
    <s v="CS1041TUNPBF"/>
    <s v="306270"/>
    <s v="Subsistence for non-IOM staff"/>
    <s v="DSA FOR REAP CLOSING SYMPOSIUM IN ABOVOMBE"/>
    <s v="1024167602"/>
    <s v="1700379025"/>
    <s v="2"/>
    <d v="2021-12-01T00:00:00"/>
    <n v="-2458.9299999999998"/>
    <s v="USD"/>
    <n v="-2458.9299999999998"/>
    <s v="USD"/>
    <n v="-9680000"/>
    <s v="MGA"/>
    <s v="99"/>
    <s v="HRANDRIANA"/>
    <s v="1700379025"/>
    <s v="MG10"/>
  </r>
  <r>
    <s v="CS1041TUNPBF"/>
    <s v="TUNPBF000"/>
    <s v="CS.1041"/>
    <s v="MPTF_05"/>
    <s v="TRAVEL"/>
    <x v="1"/>
    <s v="Travel costs monitoring"/>
    <s v="CS1041TUNPBF"/>
    <s v="301050"/>
    <s v="Subsistence and other"/>
    <s v="DSA TDY Giacomo February 19to 26 Morondava"/>
    <s v="1022412745"/>
    <s v="1901147797"/>
    <s v="2"/>
    <d v="2021-03-05T00:00:00"/>
    <n v="781.8"/>
    <s v="USD"/>
    <n v="781.8"/>
    <s v="USD"/>
    <n v="2925363"/>
    <s v="MGA"/>
    <s v="99"/>
    <s v="HRANDRIANA"/>
    <s v="1901147797"/>
    <s v="MG10"/>
  </r>
  <r>
    <s v="CS1041TUNPBF"/>
    <s v="TUNPBF000"/>
    <s v="CS.1041"/>
    <s v="MPTF_05"/>
    <s v="TRAVEL"/>
    <x v="1"/>
    <s v="Travel costs monitoring"/>
    <s v="CS1041TUNPBF"/>
    <s v="301050"/>
    <s v="Subsistence and other"/>
    <s v="DSA TDY Ranja Belo 13to15/8"/>
    <s v="1022423132"/>
    <s v="1901149475"/>
    <s v="2"/>
    <d v="2021-03-09T00:00:00"/>
    <n v="150"/>
    <s v="USD"/>
    <n v="150"/>
    <s v="USD"/>
    <n v="561275"/>
    <s v="MGA"/>
    <s v="99"/>
    <s v="HRANDRIANA"/>
    <s v="1901149475"/>
    <s v="MG10"/>
  </r>
  <r>
    <s v="CS1041TUNPBF"/>
    <s v="TUNPBF000"/>
    <s v="CS.1041"/>
    <s v="MPTF_05"/>
    <s v="TRAVEL"/>
    <x v="1"/>
    <s v="Travel costs monitoring"/>
    <s v="CS1041TUNPBF"/>
    <s v="303230"/>
    <s v="Rental of vehicles (including taxis)"/>
    <s v="Boat rental TDY Ranja Belo 13to15/8"/>
    <s v="1022423132"/>
    <s v="1901149475"/>
    <s v="3"/>
    <d v="2021-03-09T00:00:00"/>
    <n v="8.02"/>
    <s v="USD"/>
    <n v="8.02"/>
    <s v="USD"/>
    <n v="30000"/>
    <s v="MGA"/>
    <s v="99"/>
    <s v="HRANDRIANA"/>
    <s v="1901149475"/>
    <s v="MG10"/>
  </r>
  <r>
    <s v="CS1041TUNPBF"/>
    <s v="TUNPBF000"/>
    <s v="CS.1041"/>
    <s v="MPTF_05"/>
    <s v="TRAVEL"/>
    <x v="1"/>
    <s v="Travel costs monitoring"/>
    <s v="CS1041TUNPBF"/>
    <s v="301050"/>
    <s v="Subsistence and other"/>
    <s v="DSA Ranja TDY Belo 6/11"/>
    <s v="1022423132"/>
    <s v="1901149475"/>
    <s v="4"/>
    <d v="2021-03-09T00:00:00"/>
    <n v="22.5"/>
    <s v="USD"/>
    <n v="22.5"/>
    <s v="USD"/>
    <n v="84191"/>
    <s v="MGA"/>
    <s v="99"/>
    <s v="HRANDRIANA"/>
    <s v="1901149475"/>
    <s v="MG10"/>
  </r>
  <r>
    <s v="CS1041TUNPBF"/>
    <s v="TUNPBF000"/>
    <s v="CS.1041"/>
    <s v="MPTF_05"/>
    <s v="TRAVEL"/>
    <x v="1"/>
    <s v="Travel costs monitoring"/>
    <s v="CS1041TUNPBF"/>
    <s v="306270"/>
    <s v="Subsistence for non-IOM staff"/>
    <s v="DSA participant TDY Belo 6/11"/>
    <s v="1022423132"/>
    <s v="1901149475"/>
    <s v="5"/>
    <d v="2021-03-09T00:00:00"/>
    <n v="36.090000000000003"/>
    <s v="USD"/>
    <n v="36.090000000000003"/>
    <s v="USD"/>
    <n v="135040"/>
    <s v="MGA"/>
    <s v="99"/>
    <s v="HRANDRIANA"/>
    <s v="1901149475"/>
    <s v="MG10"/>
  </r>
  <r>
    <s v="CS1041TUNPBF"/>
    <s v="TUNPBF000"/>
    <s v="CS.1041"/>
    <s v="MPTF_05"/>
    <s v="TRAVEL"/>
    <x v="1"/>
    <s v="Travel costs monitoring"/>
    <s v="CS1041TUNPBF"/>
    <s v="301050"/>
    <s v="Subsistence and other"/>
    <s v="DSA TDY Mahabo 13/10"/>
    <s v="1022423132"/>
    <s v="1901149475"/>
    <s v="6"/>
    <d v="2021-03-09T00:00:00"/>
    <n v="22.5"/>
    <s v="USD"/>
    <n v="22.5"/>
    <s v="USD"/>
    <n v="84191"/>
    <s v="MGA"/>
    <s v="99"/>
    <s v="HRANDRIANA"/>
    <s v="1901149475"/>
    <s v="MG10"/>
  </r>
  <r>
    <s v="CS1041TUNPBF"/>
    <s v="TUNPBF000"/>
    <s v="CS.1041"/>
    <s v="MPTF_05"/>
    <s v="TRAVEL"/>
    <x v="1"/>
    <s v="Travel costs monitoring"/>
    <s v="CS1041TUNPBF"/>
    <s v="306270"/>
    <s v="Subsistence for non-IOM staff"/>
    <s v="DSA participant TDY Mahabo 13/10"/>
    <s v="1022423132"/>
    <s v="1901149475"/>
    <s v="7"/>
    <d v="2021-03-09T00:00:00"/>
    <n v="21.65"/>
    <s v="USD"/>
    <n v="21.65"/>
    <s v="USD"/>
    <n v="81000"/>
    <s v="MGA"/>
    <s v="99"/>
    <s v="HRANDRIANA"/>
    <s v="1901149475"/>
    <s v="MG10"/>
  </r>
  <r>
    <s v="CS1041TUNPBF"/>
    <s v="TUNPBF000"/>
    <s v="CS.1041"/>
    <s v="MPTF_05"/>
    <s v="TRAVEL"/>
    <x v="1"/>
    <s v="Travel costs monitoring"/>
    <s v="CS1041TUNPBF"/>
    <s v="301050"/>
    <s v="Subsistence and other"/>
    <s v="DSA Ranja TDY Belo 6/10"/>
    <s v="1022423826"/>
    <s v="1901149891"/>
    <s v="2"/>
    <d v="2021-03-09T00:00:00"/>
    <n v="22.5"/>
    <s v="USD"/>
    <n v="22.5"/>
    <s v="USD"/>
    <n v="84191"/>
    <s v="MGA"/>
    <s v="99"/>
    <s v="HRANDRIANA"/>
    <s v="1901149891"/>
    <s v="MG10"/>
  </r>
  <r>
    <s v="CS1041TUNPBF"/>
    <s v="TUNPBF000"/>
    <s v="CS.1041"/>
    <s v="MPTF_05"/>
    <s v="TRAVEL"/>
    <x v="1"/>
    <s v="Travel costs monitoring"/>
    <s v="CS1041TUNPBF"/>
    <s v="301050"/>
    <s v="Subsistence and other"/>
    <s v="DSA Ranja TDY Belo 28-31/7"/>
    <s v="1022423826"/>
    <s v="1901149891"/>
    <s v="3"/>
    <d v="2021-03-09T00:00:00"/>
    <n v="182"/>
    <s v="USD"/>
    <n v="182"/>
    <s v="USD"/>
    <n v="681013"/>
    <s v="MGA"/>
    <s v="99"/>
    <s v="HRANDRIANA"/>
    <s v="1901149891"/>
    <s v="MG10"/>
  </r>
  <r>
    <s v="CS1041TUNPBF"/>
    <s v="TUNPBF000"/>
    <s v="CS.1041"/>
    <s v="MPTF_05"/>
    <s v="TRAVEL"/>
    <x v="1"/>
    <s v="Travel costs monitoring"/>
    <s v="CS1041TUNPBF"/>
    <s v="301050"/>
    <s v="Subsistence and other"/>
    <s v="DSA Ranja TDY Belo 1-4/9"/>
    <s v="1022423826"/>
    <s v="1901149891"/>
    <s v="4"/>
    <d v="2021-03-09T00:00:00"/>
    <n v="90"/>
    <s v="USD"/>
    <n v="90"/>
    <s v="USD"/>
    <n v="336765"/>
    <s v="MGA"/>
    <s v="99"/>
    <s v="HRANDRIANA"/>
    <s v="1901149891"/>
    <s v="MG10"/>
  </r>
  <r>
    <s v="CS1041TUNPBF"/>
    <s v="TUNPBF000"/>
    <s v="CS.1041"/>
    <s v="MPTF_05"/>
    <s v="TRAVEL"/>
    <x v="1"/>
    <s v="Travel costs monitoring"/>
    <s v="CS1041TUNPBF"/>
    <s v="301050"/>
    <s v="Subsistence and other"/>
    <s v="DSA Ranja TDY Belo 20-24/2"/>
    <s v="1022493883"/>
    <s v="1901160103"/>
    <s v="2"/>
    <d v="2021-03-24T00:00:00"/>
    <n v="277.5"/>
    <s v="USD"/>
    <n v="277.5"/>
    <s v="USD"/>
    <n v="1038357.82"/>
    <s v="MGA"/>
    <s v="99"/>
    <s v="HRANDRIANA"/>
    <s v="1901160103"/>
    <s v="MG10"/>
  </r>
  <r>
    <s v="CS1041TUNPBF"/>
    <s v="TUNPBF000"/>
    <s v="CS.1041"/>
    <s v="MPTF_05"/>
    <s v="TRAVEL"/>
    <x v="1"/>
    <s v="Travel costs monitoring"/>
    <s v="CS1041TUNPBF"/>
    <s v="301050"/>
    <s v="Subsistence and other"/>
    <s v="DSA Ranja TDY Belo 2/2"/>
    <s v="1022493883"/>
    <s v="1901160103"/>
    <s v="3"/>
    <d v="2021-03-24T00:00:00"/>
    <n v="22.5"/>
    <s v="USD"/>
    <n v="22.5"/>
    <s v="USD"/>
    <n v="84191.18"/>
    <s v="MGA"/>
    <s v="99"/>
    <s v="HRANDRIANA"/>
    <s v="1901160103"/>
    <s v="MG10"/>
  </r>
  <r>
    <s v="CS1041TUNPBF"/>
    <s v="TUNPBF000"/>
    <s v="CS.1041"/>
    <s v="MPTF_05"/>
    <s v="TRAVEL"/>
    <x v="1"/>
    <s v="Travel costs monitoring"/>
    <s v="CS1041TUNPBF"/>
    <s v="301050"/>
    <s v="Subsistence and other"/>
    <s v="DSA Ranja TDY Beroboka 12-16/4"/>
    <s v="1022759805"/>
    <s v="1901190035"/>
    <s v="2"/>
    <d v="2021-05-04T00:00:00"/>
    <n v="322.54000000000002"/>
    <s v="USD"/>
    <n v="322.54000000000002"/>
    <s v="USD"/>
    <n v="1215019"/>
    <s v="MGA"/>
    <s v="99"/>
    <s v="HRANDRIANA"/>
    <s v="1901190035"/>
    <s v="MG10"/>
  </r>
  <r>
    <s v="CS1041TUNPBF"/>
    <s v="TUNPBF000"/>
    <s v="CS.1041"/>
    <s v="MPTF_05"/>
    <s v="TRAVEL"/>
    <x v="1"/>
    <s v="Travel costs monitoring"/>
    <s v="CS1041TUNPBF"/>
    <s v="301050"/>
    <s v="Subsistence and other"/>
    <s v="DSA Ranja TDY Beroboka 29/4-2/5"/>
    <s v="1022760732"/>
    <s v="1901190059"/>
    <s v="2"/>
    <d v="2021-05-04T00:00:00"/>
    <n v="247.53"/>
    <s v="USD"/>
    <n v="247.53"/>
    <s v="USD"/>
    <n v="932456"/>
    <s v="MGA"/>
    <s v="99"/>
    <s v="HRANDRIANA"/>
    <s v="1901190059"/>
    <s v="MG10"/>
  </r>
  <r>
    <s v="CS1041TUNPBF"/>
    <s v="TUNPBF000"/>
    <s v="CS.1041"/>
    <s v="MPTF_05"/>
    <s v="TRAVEL"/>
    <x v="1"/>
    <s v="Travel costs monitoring"/>
    <s v="CS1041TUNPBF"/>
    <s v="306270"/>
    <s v="Subsistence for non-IOM staff"/>
    <s v="DSA Tsirafy Daudel 12-16/4"/>
    <s v="1022761750"/>
    <s v="1901190275"/>
    <s v="2"/>
    <d v="2021-05-04T00:00:00"/>
    <n v="70.77"/>
    <s v="USD"/>
    <n v="70.77"/>
    <s v="USD"/>
    <n v="266600"/>
    <s v="MGA"/>
    <s v="99"/>
    <s v="HRANDRIANA"/>
    <s v="1901190275"/>
    <s v="MG10"/>
  </r>
  <r>
    <s v="CS1041TUNPBF"/>
    <s v="TUNPBF000"/>
    <s v="CS.1041"/>
    <s v="MPTF_05"/>
    <s v="TRAVEL"/>
    <x v="1"/>
    <s v="Travel costs monitoring"/>
    <s v="CS1041TUNPBF"/>
    <s v="301050"/>
    <s v="Subsistence and other"/>
    <s v="DSA Ranja TDY Beroboka 18-24July"/>
    <s v="1023301784"/>
    <s v="1901265113"/>
    <s v="2"/>
    <d v="2021-08-10T00:00:00"/>
    <n v="420"/>
    <s v="USD"/>
    <n v="420"/>
    <s v="USD"/>
    <n v="1596941"/>
    <s v="MGA"/>
    <s v="99"/>
    <s v="HRANDRIANA"/>
    <s v="1901265113"/>
    <s v="MG10"/>
  </r>
  <r>
    <s v="CS1041TUNPBF"/>
    <s v="TUNPBF000"/>
    <s v="CS.1041"/>
    <s v="MPTF_05"/>
    <s v="TRAVEL"/>
    <x v="1"/>
    <s v="Travel costs monitoring"/>
    <s v="CS1041TUNPBF"/>
    <s v="301050"/>
    <s v="Subsistence and other"/>
    <s v="DSA Giacomo TDY Morondava 25to 30 July"/>
    <s v="1023307076"/>
    <s v="1901266202"/>
    <s v="2"/>
    <d v="2021-08-11T00:00:00"/>
    <n v="599.12"/>
    <s v="USD"/>
    <n v="599.12"/>
    <s v="USD"/>
    <n v="2277998"/>
    <s v="MGA"/>
    <s v="99"/>
    <s v="HRANDRIANA"/>
    <s v="1901266202"/>
    <s v="MG10"/>
  </r>
  <r>
    <s v="CS1041TUNPBF"/>
    <s v="TUNPBF000"/>
    <s v="CS.1041"/>
    <s v="MPTF_05"/>
    <s v="TRAVEL"/>
    <x v="2"/>
    <s v="Capacity building workshops - flight DSA"/>
    <s v="CS1041TUNPBF"/>
    <s v="300340"/>
    <s v="Interns and SST hourly contracts"/>
    <s v="Monthly Subsistance Allowance (MSA)  AUGUST"/>
    <s v="1023433734"/>
    <s v="1901287016"/>
    <s v="2"/>
    <d v="2021-08-31T00:00:00"/>
    <n v="100"/>
    <s v="USD"/>
    <n v="100"/>
    <s v="USD"/>
    <n v="380224"/>
    <s v="MGA"/>
    <s v="99"/>
    <s v="HRANDY"/>
    <s v="1901287016"/>
    <s v="MG10"/>
  </r>
  <r>
    <s v="CS1041TUNPBF"/>
    <s v="TUNPBF000"/>
    <s v="CS.1041"/>
    <s v="MPTF_05"/>
    <s v="TRAVEL"/>
    <x v="2"/>
    <s v="Capacity building workshops - flight DSA"/>
    <s v="CS1041TUNPBF"/>
    <s v="306270"/>
    <s v="Subsistence for non-IOM staff"/>
    <s v="TEC Régularisation avance DSA Partcipants Menabe_"/>
    <s v="1023435793"/>
    <s v="1901287473"/>
    <s v="2"/>
    <d v="2021-08-31T00:00:00"/>
    <n v="2312.5300000000002"/>
    <s v="USD"/>
    <n v="2312.5300000000002"/>
    <s v="USD"/>
    <n v="8792800"/>
    <s v="MGA"/>
    <s v="99"/>
    <s v="HRANDY"/>
    <s v="1901287473"/>
    <s v="MG10"/>
  </r>
  <r>
    <s v="CS1041TUNPBF"/>
    <s v="TUNPBF000"/>
    <s v="CS.1041"/>
    <s v="MPTF_05"/>
    <s v="TRAVEL"/>
    <x v="2"/>
    <s v="Capacity building workshops - flight DSA"/>
    <s v="CS1041TUNPBF"/>
    <s v="300340"/>
    <s v="Interns and SST hourly contracts"/>
    <s v="Monthy MSA September 2021"/>
    <s v="1023535353"/>
    <s v="1901305096"/>
    <s v="2"/>
    <d v="2021-09-30T00:00:00"/>
    <n v="384205"/>
    <s v="USD"/>
    <n v="384205"/>
    <s v="USD"/>
    <n v="384205"/>
    <s v="USD"/>
    <s v="99"/>
    <s v="HRANDY"/>
    <s v="1901305096"/>
    <s v="MG10"/>
  </r>
  <r>
    <s v="CS1041TUNPBF"/>
    <s v="TUNPBF000"/>
    <s v="CS.1041"/>
    <s v="MPTF_05"/>
    <s v="TRAVEL"/>
    <x v="2"/>
    <s v="Capacity building workshops - flight DSA"/>
    <s v="CS1041TUNPBF"/>
    <s v="300340"/>
    <s v="Interns and SST hourly contracts"/>
    <s v="MSA SEPT021 MIANGALY"/>
    <s v="1023594963"/>
    <s v="1901308073"/>
    <s v="2"/>
    <d v="2021-09-30T00:00:00"/>
    <n v="100"/>
    <s v="USD"/>
    <n v="100"/>
    <s v="USD"/>
    <n v="384205"/>
    <s v="MGA"/>
    <s v="99"/>
    <s v="HRANDY"/>
    <s v="1901308073"/>
    <s v="MG10"/>
  </r>
  <r>
    <s v="CS1041TUNPBF"/>
    <s v="TUNPBF000"/>
    <s v="CS.1041"/>
    <s v="MPTF_05"/>
    <s v="TRAVEL"/>
    <x v="1"/>
    <s v="Travel costs monitoring"/>
    <s v="CS1041TUNPBF"/>
    <s v="301050"/>
    <s v="Subsistence and other"/>
    <s v="TEC STELL RANJA 25 TO 29   AUG 2021"/>
    <s v="1023693223"/>
    <s v="1901313163"/>
    <s v="2"/>
    <d v="2021-09-30T00:00:00"/>
    <n v="322"/>
    <s v="USD"/>
    <n v="322"/>
    <s v="USD"/>
    <n v="1237140"/>
    <s v="MGA"/>
    <s v="99"/>
    <s v="HRANDY"/>
    <s v="1901313163"/>
    <s v="MG10"/>
  </r>
  <r>
    <s v="CS1041TUNPBF"/>
    <s v="TUNPBF000"/>
    <s v="CS.1041"/>
    <s v="MPTF_05"/>
    <s v="TRAVEL"/>
    <x v="1"/>
    <s v="Travel costs monitoring"/>
    <s v="CS1041TUNPBF"/>
    <s v="306270"/>
    <s v="Subsistence for non-IOM staff"/>
    <s v="RBT DSA PARTNERS 11 TO 13 AUG 21"/>
    <s v="1023693226"/>
    <s v="1901313170"/>
    <s v="2"/>
    <d v="2021-09-30T00:00:00"/>
    <n v="393.02"/>
    <s v="USD"/>
    <n v="393.02"/>
    <s v="USD"/>
    <n v="1510000"/>
    <s v="MGA"/>
    <s v="99"/>
    <s v="HRANDY"/>
    <s v="1901313170"/>
    <s v="MG10"/>
  </r>
  <r>
    <s v="CS1041TUNPBF"/>
    <s v="TUNPBF000"/>
    <s v="CS.1041"/>
    <s v="MPTF_05"/>
    <s v="TRAVEL"/>
    <x v="1"/>
    <s v="Travel costs monitoring"/>
    <s v="CS1041TUNPBF"/>
    <s v="301050"/>
    <s v="Subsistence and other"/>
    <s v="DSA TRIP MG10/TNR/21/SEPT/047"/>
    <s v="1023813836"/>
    <s v="1901332999"/>
    <s v="2"/>
    <d v="2021-10-10T00:00:00"/>
    <n v="-241.85"/>
    <s v="USD"/>
    <n v="-241.85"/>
    <s v="USD"/>
    <n v="-950907"/>
    <s v="MGA"/>
    <s v="99"/>
    <s v="HRANDY"/>
    <s v="1901332999"/>
    <s v="MG10"/>
  </r>
  <r>
    <s v="CS1041TUNPBF"/>
    <s v="TUNPBF000"/>
    <s v="CS.1041"/>
    <s v="MPTF_05"/>
    <s v="TRAVEL"/>
    <x v="1"/>
    <s v="Travel costs monitoring"/>
    <s v="CS1041TUNPBF"/>
    <s v="301050"/>
    <s v="Subsistence and other"/>
    <s v="DSA TRIP MG10/TNR/21/SEPT/047"/>
    <s v="1023813836"/>
    <s v="1901332999"/>
    <s v="3"/>
    <d v="2021-10-10T00:00:00"/>
    <n v="483.7"/>
    <s v="USD"/>
    <n v="483.7"/>
    <s v="USD"/>
    <n v="1901814"/>
    <s v="MGA"/>
    <s v="99"/>
    <s v="HRANDY"/>
    <s v="1901332999"/>
    <s v="MG10"/>
  </r>
  <r>
    <s v="CS1041TUNPBF"/>
    <s v="TUNPBF000"/>
    <s v="CS.1041"/>
    <s v="MPTF_05"/>
    <s v="TRAVEL"/>
    <x v="1"/>
    <s v="Travel costs monitoring"/>
    <s v="CS1041TUNPBF"/>
    <s v="301050"/>
    <s v="Subsistence and other"/>
    <s v="DSA RANJA  TA MG10/TNHG/21/OCT/49"/>
    <s v="1023826340"/>
    <s v="1901334919"/>
    <s v="2"/>
    <d v="2021-10-21T00:00:00"/>
    <n v="471816"/>
    <s v="USD"/>
    <n v="471816"/>
    <s v="USD"/>
    <n v="471816"/>
    <s v="USD"/>
    <s v="99"/>
    <s v="HRANDY"/>
    <s v="1901334919"/>
    <s v="MG10"/>
  </r>
  <r>
    <s v="CS1041TUNPBF"/>
    <s v="TUNPBF000"/>
    <s v="CS.1041"/>
    <s v="MPTF_05"/>
    <s v="TRAVEL"/>
    <x v="1"/>
    <s v="Travel costs monitoring"/>
    <s v="CS1041TUNPBF"/>
    <s v="301050"/>
    <s v="Subsistence and other"/>
    <s v="DSA RANJA TA 049"/>
    <s v="1023832004"/>
    <s v="1901335828"/>
    <s v="2"/>
    <d v="2021-10-25T00:00:00"/>
    <n v="120"/>
    <s v="USD"/>
    <n v="120"/>
    <s v="USD"/>
    <n v="471816"/>
    <s v="MGA"/>
    <s v="99"/>
    <s v="HRANDY"/>
    <s v="1901335828"/>
    <s v="MG10"/>
  </r>
  <r>
    <s v="CS1041TUNPBF"/>
    <s v="TUNPBF000"/>
    <s v="CS.1041"/>
    <s v="MPTF_05"/>
    <s v="TRAVEL"/>
    <x v="2"/>
    <s v="Capacity building workshops - flight DSA"/>
    <s v="CS1041TUNPBF"/>
    <s v="300340"/>
    <s v="Interns and SST hourly contracts"/>
    <s v="MSA  OCTOBER 2021 MIANGALY"/>
    <s v="1023905357"/>
    <s v="1901350362"/>
    <s v="2"/>
    <d v="2021-11-09T00:00:00"/>
    <n v="100"/>
    <s v="USD"/>
    <n v="100"/>
    <s v="USD"/>
    <n v="393667"/>
    <s v="MGA"/>
    <s v="99"/>
    <s v="HRANDY"/>
    <s v="1901350362"/>
    <s v="MG10"/>
  </r>
  <r>
    <s v="CS1041TUNPBF"/>
    <s v="TUNPBF000"/>
    <s v="CS.1041"/>
    <s v="MPTF_05"/>
    <s v="TRAVEL"/>
    <x v="1"/>
    <s v="Travel costs monitoring"/>
    <s v="CS1041TUNPBF"/>
    <s v="301050"/>
    <s v="Subsistence and other"/>
    <s v="DSA MAXIME"/>
    <s v="1023905710"/>
    <s v="1901350457"/>
    <s v="2"/>
    <d v="2021-11-18T00:00:00"/>
    <n v="617.04"/>
    <s v="USD"/>
    <n v="617.04"/>
    <s v="USD"/>
    <n v="2429084"/>
    <s v="MGA"/>
    <s v="99"/>
    <s v="HRANDY"/>
    <s v="1901350457"/>
    <s v="MG10"/>
  </r>
  <r>
    <s v="CS1041TUNPBF"/>
    <s v="TUNPBF000"/>
    <s v="CS.1041"/>
    <s v="MPTF_05"/>
    <s v="TRAVEL"/>
    <x v="3"/>
    <s v="End of project symposium - DSA flight"/>
    <s v="CS1041TUNPBF"/>
    <s v="303230"/>
    <s v="Rental of vehicles (including taxis)"/>
    <s v="VEHICLE RENTAL  OF 07 TO 13 NOV"/>
    <s v="1023927408"/>
    <s v="1901354705"/>
    <s v="2"/>
    <d v="2021-11-29T00:00:00"/>
    <n v="1041.49"/>
    <s v="USD"/>
    <n v="1041.49"/>
    <s v="USD"/>
    <n v="4100000"/>
    <s v="MGA"/>
    <s v="99"/>
    <s v="HRANDY"/>
    <s v="1901354705"/>
    <s v="MG10"/>
  </r>
  <r>
    <s v="CS1041TUNPBF"/>
    <s v="TUNPBF000"/>
    <s v="CS.1041"/>
    <s v="MPTF_05"/>
    <s v="TRAVEL"/>
    <x v="3"/>
    <s v="End of project symposium - DSA flight"/>
    <s v="CS1041TUNPBF"/>
    <s v="306270"/>
    <s v="Subsistence for non-IOM staff"/>
    <s v="DSA FOR REAP CLOSING SYMPOSIUM IN ABOVOMBE"/>
    <s v="1023937166"/>
    <s v="1901356463"/>
    <s v="2"/>
    <d v="2021-11-30T00:00:00"/>
    <n v="2458.9299999999998"/>
    <s v="USD"/>
    <n v="2458.9299999999998"/>
    <s v="USD"/>
    <n v="9680000"/>
    <s v="MGA"/>
    <s v="99"/>
    <s v="HRANDY"/>
    <s v="1901356463"/>
    <s v="MG10"/>
  </r>
  <r>
    <s v="CS1041TUNPBF"/>
    <s v="TUNPBF000"/>
    <s v="CS.1041"/>
    <s v="MPTF_05"/>
    <s v="TRAVEL"/>
    <x v="3"/>
    <s v="End of project symposium - DSA flight"/>
    <s v="CS1041TUNPBF"/>
    <s v="301060"/>
    <s v="Staff Travel (air transportation)"/>
    <s v="TICKET PLAN FOR REAP TEAM"/>
    <s v="1023938317"/>
    <s v="1901356751"/>
    <s v="2"/>
    <d v="2021-11-30T00:00:00"/>
    <n v="864.39"/>
    <s v="USD"/>
    <n v="864.39"/>
    <s v="USD"/>
    <n v="3402833.35"/>
    <s v="MGA"/>
    <s v="99"/>
    <s v="HRANDY"/>
    <s v="1901356751"/>
    <s v="MG10"/>
  </r>
  <r>
    <s v="CS1041TUNPBF"/>
    <s v="TUNPBF000"/>
    <s v="CS.1041"/>
    <s v="MPTF_05"/>
    <s v="TRAVEL"/>
    <x v="1"/>
    <s v="Travel costs monitoring"/>
    <s v="CS1041TUNPBF"/>
    <s v="301050"/>
    <s v="Subsistence and other"/>
    <s v="TEC MORONDAVA"/>
    <s v="1023938642"/>
    <s v="1901356773"/>
    <s v="3"/>
    <d v="2021-11-30T00:00:00"/>
    <n v="617.04999999999995"/>
    <s v="USD"/>
    <n v="617.04999999999995"/>
    <s v="USD"/>
    <n v="2429107"/>
    <s v="MGA"/>
    <s v="99"/>
    <s v="HRANDY"/>
    <s v="1901356773"/>
    <s v="MG10"/>
  </r>
  <r>
    <s v="CS1041TUNPBF"/>
    <s v="TUNPBF000"/>
    <s v="CS.1041"/>
    <s v="MPTF_05"/>
    <s v="TRAVEL"/>
    <x v="2"/>
    <s v="Capacity building workshops - flight DSA"/>
    <s v="CS1041TUNPBF"/>
    <s v="301050"/>
    <s v="Subsistence and other"/>
    <s v="TEC MAXIME  FOR MG10/SEPT 044"/>
    <s v="1023957279"/>
    <s v="1901359383"/>
    <s v="2"/>
    <d v="2021-11-03T00:00:00"/>
    <n v="906.5"/>
    <s v="USD"/>
    <n v="906.5"/>
    <s v="USD"/>
    <n v="3568582"/>
    <s v="MGA"/>
    <s v="99"/>
    <s v="HRANDY"/>
    <s v="1901359383"/>
    <s v="MG10"/>
  </r>
  <r>
    <s v="CS1041TUNPBF"/>
    <s v="TUNPBF000"/>
    <s v="CS.1041"/>
    <s v="MPTF_05"/>
    <s v="TRAVEL"/>
    <x v="3"/>
    <s v="End of project symposium - DSA flight"/>
    <s v="CS1041TUNPBF"/>
    <s v="301050"/>
    <s v="Subsistence and other"/>
    <s v="DSA MIANGALY MORONDAVA"/>
    <s v="1024017739"/>
    <s v="1901369828"/>
    <s v="2"/>
    <d v="2021-12-15T00:00:00"/>
    <n v="553.28"/>
    <s v="USD"/>
    <n v="553.28"/>
    <s v="USD"/>
    <n v="2191937.86"/>
    <s v="MGA"/>
    <s v="99"/>
    <s v="HRANDY"/>
    <s v="1901369828"/>
    <s v="MG10"/>
  </r>
  <r>
    <s v="CS1041TUNPBF"/>
    <s v="TUNPBF000"/>
    <s v="CS.1041"/>
    <s v="MPTF_05"/>
    <s v="TRAVEL"/>
    <x v="3"/>
    <s v="End of project symposium - DSA flight"/>
    <s v="CS1041TUNPBF"/>
    <s v="301050"/>
    <s v="Subsistence and other"/>
    <s v="ADD TEC MIANGALY"/>
    <s v="1024019641"/>
    <s v="1901370314"/>
    <s v="2"/>
    <d v="2021-12-15T00:00:00"/>
    <n v="3.53"/>
    <s v="USD"/>
    <n v="3.53"/>
    <s v="USD"/>
    <n v="13966.14"/>
    <s v="MGA"/>
    <s v="99"/>
    <s v="HRANDY"/>
    <s v="1901370314"/>
    <s v="MG10"/>
  </r>
  <r>
    <s v="CS1041TUNPBF"/>
    <s v="TUNPBF000"/>
    <s v="CS.1041"/>
    <s v="MPTF_05"/>
    <s v="TRAVEL"/>
    <x v="3"/>
    <s v="End of project symposium - DSA flight"/>
    <s v="CS1041TUNPBF"/>
    <s v="301050"/>
    <s v="Subsistence and other"/>
    <s v="TEC MAEVA MORONDAVA"/>
    <s v="1024070792"/>
    <s v="1901375241"/>
    <s v="2"/>
    <d v="2021-12-20T00:00:00"/>
    <n v="556.79999999999995"/>
    <s v="USD"/>
    <n v="556.79999999999995"/>
    <s v="USD"/>
    <n v="2205904.98"/>
    <s v="MGA"/>
    <s v="99"/>
    <s v="HRANDY"/>
    <s v="1901375241"/>
    <s v="MG10"/>
  </r>
  <r>
    <s v="CS1041TUNPBF"/>
    <s v="TUNPBF000"/>
    <s v="CS.1041"/>
    <s v="MPTF_05"/>
    <s v="TRAVEL"/>
    <x v="3"/>
    <s v="End of project symposium - DSA flight"/>
    <s v="CS1041TUNPBF"/>
    <s v="301050"/>
    <s v="Subsistence and other"/>
    <s v="DSA"/>
    <s v="1024090568"/>
    <s v="1901375634"/>
    <s v="2"/>
    <d v="2021-12-20T00:00:00"/>
    <n v="556.79999999999995"/>
    <s v="USD"/>
    <n v="556.79999999999995"/>
    <s v="USD"/>
    <n v="2205904.98"/>
    <s v="MGA"/>
    <s v="99"/>
    <s v="HRANDY"/>
    <s v="1901375634"/>
    <s v="MG10"/>
  </r>
  <r>
    <s v="CS1041TUNPBF"/>
    <s v="TUNPBF000"/>
    <s v="CS.1041"/>
    <s v="MPTF_05"/>
    <s v="TRAVEL"/>
    <x v="3"/>
    <s v="End of project symposium - DSA flight"/>
    <s v="CS1041TUNPBF"/>
    <s v="306270"/>
    <s v="Subsistence for non-IOM staff"/>
    <s v="DSA PARTICIPANTS"/>
    <s v="1024123892"/>
    <s v="1901382572"/>
    <s v="2"/>
    <d v="2021-12-28T00:00:00"/>
    <n v="2950.72"/>
    <s v="USD"/>
    <n v="2950.72"/>
    <s v="USD"/>
    <n v="11690000"/>
    <s v="MGA"/>
    <s v="99"/>
    <s v="HRANDY"/>
    <s v="1901382572"/>
    <s v="MG10"/>
  </r>
  <r>
    <s v="CS1041TUNPBF"/>
    <s v="TUNPBF000"/>
    <s v="CS.1041"/>
    <s v="MPTF_05"/>
    <s v="TRAVEL"/>
    <x v="3"/>
    <s v="End of project symposium - DSA flight"/>
    <s v="CS1041TUNPBF"/>
    <s v="303310"/>
    <s v="Furniture &amp; Equip Maintenance supplies &amp; services"/>
    <s v="SUPPLIES FOR WORKSHOP"/>
    <s v="1024123892"/>
    <s v="1901382572"/>
    <s v="3"/>
    <d v="2021-12-28T00:00:00"/>
    <n v="72.7"/>
    <s v="USD"/>
    <n v="72.7"/>
    <s v="USD"/>
    <n v="288000"/>
    <s v="MGA"/>
    <s v="99"/>
    <s v="HRANDY"/>
    <s v="1901382572"/>
    <s v="MG10"/>
  </r>
  <r>
    <s v="CS1041TUNPBF"/>
    <s v="TUNPBF000"/>
    <s v="CS.1041"/>
    <s v="MPTF_05"/>
    <s v="TRAVEL"/>
    <x v="3"/>
    <s v="End of project symposium - DSA flight"/>
    <s v="CS1041TUNPBF"/>
    <s v="303230"/>
    <s v="Rental of vehicles (including taxis)"/>
    <s v="TAXI FOR TRANSPORTATION EQUIPMENT FOR WORKSHO¨P"/>
    <s v="1024123892"/>
    <s v="1901382572"/>
    <s v="4"/>
    <d v="2021-12-28T00:00:00"/>
    <n v="74.459999999999994"/>
    <s v="USD"/>
    <n v="74.459999999999994"/>
    <s v="USD"/>
    <n v="295000"/>
    <s v="MGA"/>
    <s v="99"/>
    <s v="HRANDY"/>
    <s v="1901382572"/>
    <s v="MG10"/>
  </r>
  <r>
    <s v="CS1041TUNPBF"/>
    <s v="TUNPBF000"/>
    <s v="CS.1041"/>
    <s v="MPTF_05"/>
    <s v="TRAVEL"/>
    <x v="3"/>
    <s v="End of project symposium - DSA flight"/>
    <s v="CS1041TUNPBF"/>
    <s v="306270"/>
    <s v="Subsistence for non-IOM staff"/>
    <s v="DSA PARTNERS"/>
    <s v="1024135915"/>
    <s v="1901385101"/>
    <s v="2"/>
    <d v="2021-12-29T00:00:00"/>
    <n v="2402.98"/>
    <s v="USD"/>
    <n v="2402.98"/>
    <s v="USD"/>
    <n v="9520000"/>
    <s v="MGA"/>
    <s v="99"/>
    <s v="HRANDY"/>
    <s v="1901385101"/>
    <s v="MG10"/>
  </r>
  <r>
    <s v="CS1041TUNPBF"/>
    <s v="TUNPBF000"/>
    <s v="CS.1041"/>
    <s v="MPTF_05"/>
    <s v="TRAVEL"/>
    <x v="1"/>
    <s v="Travel costs monitoring"/>
    <s v="CS1041TUNPBF"/>
    <s v="301050"/>
    <s v="Subsistence and other"/>
    <s v="TEC RANJA TDYMG10/TNR/21/AUG/031"/>
    <s v="1024184986"/>
    <s v="1901394454"/>
    <s v="2"/>
    <d v="2021-12-31T00:00:00"/>
    <n v="21.59"/>
    <s v="USD"/>
    <n v="21.59"/>
    <s v="USD"/>
    <n v="85550"/>
    <s v="MGA"/>
    <s v="99"/>
    <s v="HRANDY"/>
    <s v="1901394454"/>
    <s v="MG10"/>
  </r>
  <r>
    <s v="CS1041TUNPBF"/>
    <s v="TUNPBF000"/>
    <s v="CS.1041"/>
    <s v="MPTF_05"/>
    <s v="TRAVEL"/>
    <x v="1"/>
    <s v="Travel costs monitoring"/>
    <s v="CS1041TUNPBF"/>
    <s v="301050"/>
    <s v="Subsistence and other"/>
    <s v="TEC TDY MG10/TNR/21/AUG/033"/>
    <s v="1024184991"/>
    <s v="1901394459"/>
    <s v="2"/>
    <d v="2021-12-31T00:00:00"/>
    <n v="93.57"/>
    <s v="USD"/>
    <n v="93.57"/>
    <s v="USD"/>
    <n v="370718"/>
    <s v="MGA"/>
    <s v="99"/>
    <s v="HRANDY"/>
    <s v="1901394459"/>
    <s v="MG10"/>
  </r>
  <r>
    <s v="CS1041TUNPBF"/>
    <s v="TUNPBF000"/>
    <s v="CS.1041"/>
    <s v="MPTF_05"/>
    <s v="TRAVEL"/>
    <x v="1"/>
    <s v="Travel costs monitoring"/>
    <s v="CS1041TUNPBF"/>
    <s v="303230"/>
    <s v="Rental of vehicles (including taxis)"/>
    <s v="Location Morondava - Lambokely - Morondava le 2 fé"/>
    <s v="1022287814"/>
    <s v="5000440012"/>
    <s v="1"/>
    <d v="2021-02-09T00:00:00"/>
    <n v="79.959999999999994"/>
    <s v="USD"/>
    <n v="79.959999999999994"/>
    <s v="USD"/>
    <n v="300000"/>
    <s v="MGA"/>
    <s v="99"/>
    <s v="HRANDRIANA"/>
    <s v="5000878370"/>
    <s v="MG10"/>
  </r>
  <r>
    <s v="CS1041TUNPBF"/>
    <s v="TUNPBF000"/>
    <s v="CS.1041"/>
    <s v="MPTF_05"/>
    <s v="TRAVEL"/>
    <x v="1"/>
    <s v="Travel costs monitoring"/>
    <s v="CS1041TUNPBF"/>
    <s v="303230"/>
    <s v="Rental of vehicles (including taxis)"/>
    <s v="Vehicle Rental TDY Morondava from 19 to 26 Feb 202"/>
    <s v="1022403158"/>
    <s v="5000452407"/>
    <s v="1"/>
    <d v="2021-03-04T00:00:00"/>
    <n v="384.84"/>
    <s v="USD"/>
    <n v="384.84"/>
    <s v="USD"/>
    <n v="1440000"/>
    <s v="MGA"/>
    <s v="99"/>
    <s v="HRANDRIANA"/>
    <s v="5000890763"/>
    <s v="MG10"/>
  </r>
  <r>
    <s v="CS1041TUNPBF"/>
    <s v="TUNPBF000"/>
    <s v="CS.1041"/>
    <s v="MPTF_05"/>
    <s v="TRAVEL"/>
    <x v="1"/>
    <s v="Travel costs monitoring"/>
    <s v="CS1041TUNPBF"/>
    <s v="305740"/>
    <s v="Other services"/>
    <s v="Frais d'ajustement du prix d'un billet d'avion non"/>
    <s v="1022418419"/>
    <s v="5000454253"/>
    <s v="1"/>
    <d v="2021-03-08T00:00:00"/>
    <n v="382.51"/>
    <s v="USD"/>
    <n v="382.51"/>
    <s v="USD"/>
    <n v="1431300"/>
    <s v="MGA"/>
    <s v="99"/>
    <s v="HRANDRIANA"/>
    <s v="5000892607"/>
    <s v="MG10"/>
  </r>
  <r>
    <s v="CS1041TUNPBF"/>
    <s v="TUNPBF000"/>
    <s v="CS.1041"/>
    <s v="MPTF_05"/>
    <s v="TRAVEL"/>
    <x v="1"/>
    <s v="Travel costs monitoring"/>
    <s v="CS1041TUNPBF"/>
    <s v="303230"/>
    <s v="Rental of vehicles (including taxis)"/>
    <s v="Vehicle rental from April 12th to April 16th in AP"/>
    <s v="1022721727"/>
    <s v="5000480172"/>
    <s v="1"/>
    <d v="2021-04-26T00:00:00"/>
    <n v="380.11"/>
    <s v="USD"/>
    <n v="380.11"/>
    <s v="USD"/>
    <n v="1440000"/>
    <s v="MGA"/>
    <s v="99"/>
    <s v="HRANDRIANA"/>
    <s v="5000918471"/>
    <s v="MG10"/>
  </r>
  <r>
    <s v="CS1041TUNPBF"/>
    <s v="TUNPBF000"/>
    <s v="CS.1041"/>
    <s v="MPTF_05"/>
    <s v="TRAVEL"/>
    <x v="1"/>
    <s v="Travel costs monitoring"/>
    <s v="CS1041TUNPBF"/>
    <s v="303230"/>
    <s v="Rental of vehicles (including taxis)"/>
    <s v="Vehicle rental from April 29th to Mey 2nd in the M"/>
    <s v="1022893346"/>
    <s v="5000501346"/>
    <s v="1"/>
    <d v="2021-06-02T00:00:00"/>
    <n v="208.31"/>
    <s v="USD"/>
    <n v="208.31"/>
    <s v="USD"/>
    <n v="780000"/>
    <s v="MGA"/>
    <s v="99"/>
    <s v="HRANDRIANA"/>
    <s v="5000939566"/>
    <s v="MG10"/>
  </r>
  <r>
    <s v="CS1041TUNPBF"/>
    <s v="TUNPBF000"/>
    <s v="CS.1041"/>
    <s v="MPTF_05"/>
    <s v="TRAVEL"/>
    <x v="1"/>
    <s v="Travel costs monitoring"/>
    <s v="CS1041TUNPBF"/>
    <s v="303230"/>
    <s v="Rental of vehicles (including taxis)"/>
    <s v="Vehicle rental, fuel included, from july 17th to j"/>
    <s v="1023228809"/>
    <s v="5000530665"/>
    <s v="1"/>
    <d v="2021-07-26T00:00:00"/>
    <n v="159.16999999999999"/>
    <s v="USD"/>
    <n v="159.16999999999999"/>
    <s v="USD"/>
    <n v="600000"/>
    <s v="MGA"/>
    <s v="99"/>
    <s v="HRANDRIANA"/>
    <s v="5000968811"/>
    <s v="MG10"/>
  </r>
  <r>
    <s v="CS1041TUNPBF"/>
    <s v="TUNPBF000"/>
    <s v="CS.1041"/>
    <s v="MPTF_05"/>
    <s v="TRAVEL"/>
    <x v="1"/>
    <s v="Travel costs monitoring"/>
    <s v="CS1041TUNPBF"/>
    <s v="303230"/>
    <s v="Rental of vehicles (including taxis)"/>
    <s v="vehicle rental from 25th july to 30th july Tana-Mo"/>
    <s v="1023301805"/>
    <s v="5000540753"/>
    <s v="1"/>
    <d v="2021-08-10T00:00:00"/>
    <n v="373.46"/>
    <s v="USD"/>
    <n v="373.46"/>
    <s v="USD"/>
    <n v="1420002"/>
    <s v="MGA"/>
    <s v="99"/>
    <s v="HRANDRIANA"/>
    <s v="5000978891"/>
    <s v="MG10"/>
  </r>
  <r>
    <s v="CS1041TUNPBF"/>
    <s v="TUNPBF000"/>
    <s v="CS.1041"/>
    <s v="MPTF_05"/>
    <s v="TRAVEL"/>
    <x v="1"/>
    <s v="Travel costs monitoring"/>
    <s v="CS1041TUNPBF"/>
    <s v="301060"/>
    <s v="Staff Travel (air transportation)"/>
    <s v="TNR/MOQ-SICARD Maxime Georges"/>
    <s v="1023496321"/>
    <s v="5000568078"/>
    <s v="1"/>
    <d v="2021-09-23T00:00:00"/>
    <n v="157.05000000000001"/>
    <s v="USD"/>
    <n v="157.05000000000001"/>
    <s v="USD"/>
    <n v="603400"/>
    <s v="MGA"/>
    <s v="99"/>
    <s v="LMOTHOPENG"/>
    <s v="5001006060"/>
    <s v="ZA10"/>
  </r>
  <r>
    <s v="CS1041TUNPBF"/>
    <s v="TUNPBF000"/>
    <s v="CS.1041"/>
    <s v="MPTF_05"/>
    <s v="TRAVEL"/>
    <x v="1"/>
    <s v="Travel costs monitoring"/>
    <s v="CS1041TUNPBF"/>
    <s v="305750"/>
    <s v="Registration/conference/training fees"/>
    <s v="Lodging for post arrival isolation of Maxime SICAR"/>
    <s v="1023693764"/>
    <s v="5000581960"/>
    <s v="1"/>
    <d v="2021-09-30T00:00:00"/>
    <n v="361.17"/>
    <s v="USD"/>
    <n v="361.17"/>
    <s v="USD"/>
    <n v="1387633.43"/>
    <s v="MGA"/>
    <s v="99"/>
    <s v="HRANDY"/>
    <s v="5001019920"/>
    <s v="MG10"/>
  </r>
  <r>
    <s v="CS1041TUNPBF"/>
    <s v="TUNPBF000"/>
    <s v="CS.1041"/>
    <s v="MPTF_05"/>
    <s v="TRAVEL"/>
    <x v="1"/>
    <s v="Travel costs monitoring"/>
    <s v="CS1041TUNPBF"/>
    <s v="306060"/>
    <s v="Surface transportation"/>
    <s v="car rental with driver for Morondava 02/8/2021"/>
    <s v="1023781557"/>
    <s v="5000593166"/>
    <s v="1"/>
    <d v="2021-10-28T00:00:00"/>
    <n v="50.87"/>
    <s v="USD"/>
    <n v="50.87"/>
    <s v="USD"/>
    <n v="200000"/>
    <s v="MGA"/>
    <s v="99"/>
    <s v="HRANDY"/>
    <s v="5001031131"/>
    <s v="MG10"/>
  </r>
  <r>
    <s v="CS1041TUNPBF"/>
    <s v="TUNPBF000"/>
    <s v="CS.1041"/>
    <s v="MPTF_05"/>
    <s v="TRAVEL"/>
    <x v="1"/>
    <s v="Travel costs monitoring"/>
    <s v="CS1041TUNPBF"/>
    <s v="306060"/>
    <s v="Surface transportation"/>
    <s v="Vehicle rental-fuel included, for monitoring of RE"/>
    <s v="1023817020"/>
    <s v="5000598276"/>
    <s v="1"/>
    <d v="2021-10-10T00:00:00"/>
    <n v="457.81"/>
    <s v="USD"/>
    <n v="457.81"/>
    <s v="USD"/>
    <n v="1800000"/>
    <s v="MGA"/>
    <s v="99"/>
    <s v="HRANDY"/>
    <s v="5001036201"/>
    <s v="MG10"/>
  </r>
  <r>
    <s v="CS1041TUNPBF"/>
    <s v="TUNPBF000"/>
    <s v="CS.1041"/>
    <s v="MPTF_05"/>
    <s v="TRAVEL"/>
    <x v="1"/>
    <s v="Travel costs monitoring"/>
    <s v="CS1041TUNPBF"/>
    <s v="306060"/>
    <s v="Surface transportation"/>
    <s v="Vehicle rental-fuel included for coordinator Porje"/>
    <s v="1023817241"/>
    <s v="5000598279"/>
    <s v="1"/>
    <d v="2021-10-10T00:00:00"/>
    <n v="406.94"/>
    <s v="USD"/>
    <n v="406.94"/>
    <s v="USD"/>
    <n v="1600000"/>
    <s v="MGA"/>
    <s v="99"/>
    <s v="HRANDY"/>
    <s v="5001036207"/>
    <s v="MG10"/>
  </r>
  <r>
    <s v="CS1041TUNPBF"/>
    <s v="TUNPBF000"/>
    <s v="CS.1041"/>
    <s v="MPTF_05"/>
    <s v="TRAVEL"/>
    <x v="1"/>
    <s v="Travel costs monitoring"/>
    <s v="CS1041TUNPBF"/>
    <s v="306060"/>
    <s v="Surface transportation"/>
    <s v="Vehicle rental-fuel included, for monitoring of RE"/>
    <s v="1023927425"/>
    <s v="5000614656"/>
    <s v="1"/>
    <d v="2021-11-29T00:00:00"/>
    <n v="152.41"/>
    <s v="USD"/>
    <n v="152.41"/>
    <s v="USD"/>
    <n v="600000"/>
    <s v="MGA"/>
    <s v="99"/>
    <s v="HRANDY"/>
    <s v="5001052491"/>
    <s v="MG10"/>
  </r>
  <r>
    <s v="CS1041TUNPBF"/>
    <s v="TUNPBF000"/>
    <s v="CS.1041"/>
    <s v="MPTF_05"/>
    <s v="TRAVEL"/>
    <x v="3"/>
    <s v="End of project symposium - DSA flight"/>
    <s v="CS1041TUNPBF"/>
    <s v="306060"/>
    <s v="Surface transportation"/>
    <s v="Vehicle rental-fuel included, from Tàna to Moronda"/>
    <s v="1024093055"/>
    <s v="5000634862"/>
    <s v="1"/>
    <d v="2021-12-21T00:00:00"/>
    <n v="732"/>
    <s v="USD"/>
    <n v="732"/>
    <s v="USD"/>
    <n v="2900000"/>
    <s v="MGA"/>
    <s v="99"/>
    <s v="HRANDY"/>
    <s v="5001072730"/>
    <s v="MG10"/>
  </r>
  <r>
    <s v="CS1041TUNPBF"/>
    <s v="TUNPBF000"/>
    <s v="CS.1041"/>
    <s v="MPTF_05"/>
    <s v="TRAVEL"/>
    <x v="1"/>
    <s v="Travel costs monitoring"/>
    <s v="CS1041TUNPBF"/>
    <s v="306060"/>
    <s v="Surface transportation"/>
    <s v="Vehicle rental-fuel included, Tranfer of NOA and D"/>
    <s v="1024095538"/>
    <s v="5000635164"/>
    <s v="1"/>
    <d v="2021-12-21T00:00:00"/>
    <n v="378.62"/>
    <s v="USD"/>
    <n v="378.62"/>
    <s v="USD"/>
    <n v="1500000"/>
    <s v="MGA"/>
    <s v="99"/>
    <s v="HRANDY"/>
    <s v="5001072993"/>
    <s v="MG10"/>
  </r>
  <r>
    <s v="CS1041TUNPBF"/>
    <s v="TUNPBF000"/>
    <s v="CS.1041"/>
    <s v="MPTF_05"/>
    <s v="TRAVEL"/>
    <x v="3"/>
    <s v="End of project symposium - DSA flight"/>
    <s v="CS1041TUNPBF"/>
    <s v="306060"/>
    <s v="Surface transportation"/>
    <s v="Vehicle rental-fuel included, transfer of Consulta"/>
    <s v="1024136143"/>
    <s v="5000642010"/>
    <s v="1"/>
    <d v="2021-12-29T00:00:00"/>
    <n v="403.86"/>
    <s v="USD"/>
    <n v="403.86"/>
    <s v="USD"/>
    <n v="1600000"/>
    <s v="MGA"/>
    <s v="99"/>
    <s v="HRANDY"/>
    <s v="5001079778"/>
    <s v="MG10"/>
  </r>
  <r>
    <s v="CS1041TUNPBF"/>
    <s v="TUNPBF000"/>
    <s v="CS.1041"/>
    <s v="MPTF_05"/>
    <s v="TRAVEL"/>
    <x v="1"/>
    <s v="Travel costs monitoring"/>
    <s v="CS1041TUNPBF"/>
    <s v="303220"/>
    <s v="Vehicle running costs (fuel, oil)"/>
    <s v="Fuel vehicle rent 29/4-2/5"/>
    <s v="1022893395"/>
    <s v="5200064603"/>
    <s v="2"/>
    <d v="2021-06-02T00:00:00"/>
    <n v="49.94"/>
    <s v="USD"/>
    <n v="49.94"/>
    <s v="USD"/>
    <n v="187000"/>
    <s v="MGA"/>
    <s v="99"/>
    <s v="HRANDRIANA"/>
    <s v="5200064603"/>
    <s v="MG10"/>
  </r>
  <r>
    <s v="CS1041TUNPBF"/>
    <s v="TUNPBF000"/>
    <s v="CS.1041"/>
    <s v="MPTF_05"/>
    <s v="TRAVEL"/>
    <x v="1"/>
    <s v="Travel costs monitoring"/>
    <s v="CS1041TUNPBF"/>
    <s v="303230"/>
    <s v="Rental of vehicles (including taxis)"/>
    <s v="Vehicle rental  monintoring REAP on 02 to 02 nov 2"/>
    <s v="1023927636"/>
    <s v="5200157528"/>
    <s v="2"/>
    <d v="2021-11-29T00:00:00"/>
    <n v="76.209999999999994"/>
    <s v="USD"/>
    <n v="76.209999999999994"/>
    <s v="USD"/>
    <n v="300000"/>
    <s v="MGA"/>
    <s v="99"/>
    <s v="HRANDY"/>
    <s v="5200157528"/>
    <s v="MG10"/>
  </r>
  <r>
    <s v="CS1041TUNPBF"/>
    <s v="TUNPBF000"/>
    <s v="CS.1041"/>
    <s v="MPTF_05"/>
    <s v="TRAVEL"/>
    <x v="3"/>
    <s v="End of project symposium - DSA flight"/>
    <s v="CS1041TUNPBF"/>
    <s v="303230"/>
    <s v="Rental of vehicles (including taxis)"/>
    <s v="PMT RENTAL VECILE  FOR 22 TO 26 NOV 21"/>
    <s v="1023933174"/>
    <s v="5200157978"/>
    <s v="2"/>
    <d v="2021-11-30T00:00:00"/>
    <n v="381.03"/>
    <s v="USD"/>
    <n v="381.03"/>
    <s v="USD"/>
    <n v="1500000"/>
    <s v="MGA"/>
    <s v="99"/>
    <s v="HRANDY"/>
    <s v="5200157978"/>
    <s v="MG10"/>
  </r>
  <r>
    <s v="CS1041TUNPBF"/>
    <s v="TUNPBF000"/>
    <s v="CS.1041"/>
    <s v="MPTF_05"/>
    <s v="TRAVEL"/>
    <x v="3"/>
    <s v="End of project symposium - DSA flight"/>
    <s v="CS1041TUNPBF"/>
    <s v="303230"/>
    <s v="Rental of vehicles (including taxis)"/>
    <s v="RENTAL CAR"/>
    <s v="1023991454"/>
    <s v="5200164639"/>
    <s v="2"/>
    <d v="2021-12-09T00:00:00"/>
    <n v="757.24"/>
    <s v="USD"/>
    <n v="757.24"/>
    <s v="USD"/>
    <n v="3000000"/>
    <s v="MGA"/>
    <s v="99"/>
    <s v="HRANDY"/>
    <s v="5200164639"/>
    <s v="MG10"/>
  </r>
  <r>
    <s v="CS1041TUNPBF"/>
    <s v="TUNPBF000"/>
    <s v="CS.1041"/>
    <s v="MPTF_05"/>
    <s v="TRAVEL"/>
    <x v="1"/>
    <s v="Travel costs monitoring"/>
    <s v="CS1041TUNPBF"/>
    <s v="303220"/>
    <s v="Vehicle running costs (fuel, oil)"/>
    <s v="FUEL"/>
    <s v="1024095591"/>
    <s v="5200172526"/>
    <s v="2"/>
    <d v="2021-12-21T00:00:00"/>
    <n v="16.309999999999999"/>
    <s v="USD"/>
    <n v="16.309999999999999"/>
    <s v="USD"/>
    <n v="64600"/>
    <s v="MGA"/>
    <s v="99"/>
    <s v="HRANDY"/>
    <s v="5200172526"/>
    <s v="MG10"/>
  </r>
  <r>
    <s v="CS1041TUNPBF"/>
    <s v="TUNPBF000"/>
    <s v="CS.1041"/>
    <s v="MPTF_05"/>
    <s v="TRAVEL"/>
    <x v="3"/>
    <s v="End of project symposium - DSA flight"/>
    <s v="CS1041TUNPBF"/>
    <s v="303230"/>
    <s v="Rental of vehicles (including taxis)"/>
    <s v="RENTAL CAR"/>
    <s v="1024165615"/>
    <s v="5200180886"/>
    <s v="1"/>
    <d v="2021-12-09T00:00:00"/>
    <n v="-757.24"/>
    <s v="USD"/>
    <n v="-757.24"/>
    <s v="USD"/>
    <n v="-3000000"/>
    <s v="MGA"/>
    <s v="99"/>
    <s v="HRANDRIANA"/>
    <s v="5200180886"/>
    <s v="MG10"/>
  </r>
  <r>
    <m/>
    <m/>
    <m/>
    <m/>
    <m/>
    <x v="1"/>
    <m/>
    <m/>
    <m/>
    <m/>
    <m/>
    <m/>
    <m/>
    <m/>
    <m/>
    <m/>
    <m/>
    <n v="78"/>
    <m/>
    <m/>
    <m/>
    <m/>
    <m/>
    <m/>
    <m/>
  </r>
  <r>
    <m/>
    <m/>
    <m/>
    <m/>
    <m/>
    <x v="1"/>
    <m/>
    <m/>
    <m/>
    <m/>
    <m/>
    <m/>
    <m/>
    <m/>
    <m/>
    <m/>
    <m/>
    <n v="575.83000000000004"/>
    <m/>
    <m/>
    <m/>
    <m/>
    <m/>
    <m/>
    <m/>
  </r>
  <r>
    <m/>
    <m/>
    <m/>
    <m/>
    <m/>
    <x v="1"/>
    <m/>
    <m/>
    <m/>
    <m/>
    <m/>
    <m/>
    <m/>
    <m/>
    <m/>
    <m/>
    <m/>
    <n v="464.4"/>
    <m/>
    <m/>
    <m/>
    <m/>
    <m/>
    <m/>
    <m/>
  </r>
  <r>
    <m/>
    <m/>
    <m/>
    <m/>
    <m/>
    <x v="1"/>
    <m/>
    <m/>
    <m/>
    <m/>
    <m/>
    <m/>
    <m/>
    <m/>
    <m/>
    <m/>
    <m/>
    <n v="464.4"/>
    <m/>
    <m/>
    <m/>
    <m/>
    <m/>
    <m/>
    <m/>
  </r>
  <r>
    <m/>
    <m/>
    <m/>
    <m/>
    <m/>
    <x v="1"/>
    <m/>
    <m/>
    <m/>
    <m/>
    <m/>
    <m/>
    <m/>
    <m/>
    <m/>
    <m/>
    <m/>
    <n v="353.09"/>
    <m/>
    <m/>
    <m/>
    <m/>
    <m/>
    <m/>
    <m/>
  </r>
  <r>
    <m/>
    <m/>
    <m/>
    <m/>
    <m/>
    <x v="1"/>
    <m/>
    <m/>
    <m/>
    <m/>
    <m/>
    <m/>
    <m/>
    <m/>
    <m/>
    <m/>
    <m/>
    <n v="420.9"/>
    <m/>
    <m/>
    <m/>
    <m/>
    <m/>
    <m/>
    <m/>
  </r>
  <r>
    <m/>
    <m/>
    <m/>
    <m/>
    <m/>
    <x v="4"/>
    <m/>
    <m/>
    <m/>
    <m/>
    <m/>
    <m/>
    <m/>
    <m/>
    <m/>
    <m/>
    <m/>
    <n v="1004.7"/>
    <m/>
    <m/>
    <m/>
    <m/>
    <m/>
    <m/>
    <m/>
  </r>
  <r>
    <m/>
    <m/>
    <m/>
    <m/>
    <m/>
    <x v="4"/>
    <m/>
    <m/>
    <m/>
    <m/>
    <m/>
    <m/>
    <m/>
    <m/>
    <m/>
    <m/>
    <m/>
    <n v="384.07"/>
    <m/>
    <m/>
    <m/>
    <m/>
    <m/>
    <m/>
    <m/>
  </r>
  <r>
    <m/>
    <m/>
    <m/>
    <m/>
    <m/>
    <x v="4"/>
    <m/>
    <m/>
    <m/>
    <m/>
    <m/>
    <m/>
    <m/>
    <m/>
    <m/>
    <m/>
    <m/>
    <n v="1004.7"/>
    <m/>
    <m/>
    <m/>
    <m/>
    <m/>
    <m/>
    <m/>
  </r>
  <r>
    <m/>
    <m/>
    <m/>
    <m/>
    <m/>
    <x v="5"/>
    <m/>
    <m/>
    <m/>
    <m/>
    <m/>
    <m/>
    <m/>
    <m/>
    <m/>
    <m/>
    <m/>
    <n v="58.5"/>
    <m/>
    <m/>
    <m/>
    <m/>
    <m/>
    <m/>
    <m/>
  </r>
  <r>
    <m/>
    <m/>
    <m/>
    <m/>
    <m/>
    <x v="5"/>
    <m/>
    <m/>
    <m/>
    <m/>
    <m/>
    <m/>
    <m/>
    <m/>
    <m/>
    <m/>
    <m/>
    <n v="58.5"/>
    <m/>
    <m/>
    <m/>
    <m/>
    <m/>
    <m/>
    <m/>
  </r>
  <r>
    <m/>
    <m/>
    <m/>
    <m/>
    <m/>
    <x v="6"/>
    <m/>
    <m/>
    <m/>
    <m/>
    <m/>
    <m/>
    <m/>
    <m/>
    <m/>
    <m/>
    <m/>
    <n v="245.93"/>
    <m/>
    <m/>
    <m/>
    <m/>
    <m/>
    <m/>
    <m/>
  </r>
  <r>
    <m/>
    <m/>
    <m/>
    <m/>
    <m/>
    <x v="6"/>
    <m/>
    <m/>
    <m/>
    <m/>
    <m/>
    <m/>
    <m/>
    <m/>
    <m/>
    <m/>
    <m/>
    <n v="152.6"/>
    <m/>
    <m/>
    <m/>
    <m/>
    <m/>
    <m/>
    <m/>
  </r>
  <r>
    <m/>
    <m/>
    <m/>
    <m/>
    <m/>
    <x v="6"/>
    <m/>
    <m/>
    <m/>
    <m/>
    <m/>
    <m/>
    <m/>
    <m/>
    <m/>
    <m/>
    <m/>
    <n v="257.45999999999998"/>
    <m/>
    <m/>
    <m/>
    <m/>
    <m/>
    <m/>
    <m/>
  </r>
  <r>
    <m/>
    <m/>
    <m/>
    <m/>
    <m/>
    <x v="6"/>
    <m/>
    <m/>
    <m/>
    <m/>
    <m/>
    <m/>
    <m/>
    <m/>
    <m/>
    <m/>
    <m/>
    <n v="302.89999999999998"/>
    <m/>
    <m/>
    <m/>
    <m/>
    <m/>
    <m/>
    <m/>
  </r>
  <r>
    <m/>
    <m/>
    <m/>
    <m/>
    <m/>
    <x v="7"/>
    <m/>
    <m/>
    <m/>
    <m/>
    <m/>
    <m/>
    <m/>
    <m/>
    <m/>
    <m/>
    <m/>
    <n v="3371.73"/>
    <m/>
    <m/>
    <m/>
    <m/>
    <m/>
    <m/>
    <m/>
  </r>
  <r>
    <m/>
    <m/>
    <m/>
    <m/>
    <m/>
    <x v="8"/>
    <m/>
    <m/>
    <m/>
    <m/>
    <m/>
    <m/>
    <m/>
    <m/>
    <m/>
    <m/>
    <m/>
    <n v="121.16"/>
    <m/>
    <m/>
    <m/>
    <m/>
    <m/>
    <m/>
    <m/>
  </r>
  <r>
    <m/>
    <m/>
    <m/>
    <m/>
    <m/>
    <x v="8"/>
    <m/>
    <m/>
    <m/>
    <m/>
    <m/>
    <m/>
    <m/>
    <m/>
    <m/>
    <m/>
    <m/>
    <n v="333.19"/>
    <m/>
    <m/>
    <m/>
    <m/>
    <m/>
    <m/>
    <m/>
  </r>
  <r>
    <m/>
    <m/>
    <m/>
    <m/>
    <m/>
    <x v="8"/>
    <m/>
    <m/>
    <m/>
    <m/>
    <m/>
    <m/>
    <m/>
    <m/>
    <m/>
    <m/>
    <m/>
    <n v="320.45999999999998"/>
    <m/>
    <m/>
    <m/>
    <m/>
    <m/>
    <m/>
    <m/>
  </r>
  <r>
    <m/>
    <m/>
    <m/>
    <m/>
    <m/>
    <x v="8"/>
    <m/>
    <m/>
    <m/>
    <m/>
    <m/>
    <m/>
    <m/>
    <m/>
    <m/>
    <m/>
    <m/>
    <n v="172.5"/>
    <m/>
    <m/>
    <m/>
    <m/>
    <m/>
    <m/>
    <m/>
  </r>
  <r>
    <m/>
    <m/>
    <m/>
    <m/>
    <m/>
    <x v="9"/>
    <m/>
    <m/>
    <m/>
    <m/>
    <m/>
    <m/>
    <m/>
    <m/>
    <m/>
    <m/>
    <m/>
    <n v="36395.210000000203"/>
    <m/>
    <m/>
    <m/>
    <m/>
    <m/>
    <m/>
    <m/>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n v="117"/>
  </r>
  <r>
    <x v="1"/>
    <n v="958.89"/>
  </r>
  <r>
    <x v="2"/>
    <n v="947.31"/>
  </r>
  <r>
    <x v="3"/>
    <n v="2393.4700000000003"/>
  </r>
  <r>
    <x v="2"/>
    <n v="3000.33"/>
  </r>
  <r>
    <x v="4"/>
    <n v="3371.73"/>
  </r>
  <r>
    <x v="4"/>
    <n v="3519.0300000000279"/>
  </r>
  <r>
    <x v="2"/>
    <n v="11493.410000000151"/>
  </r>
  <r>
    <x v="3"/>
    <n v="10594.04"/>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5">
  <r>
    <s v="CS1041TUNPBF"/>
    <s v="TUNPBF000"/>
    <s v="CS.1041"/>
    <s v="MPTF_06"/>
    <s v="Transfers &amp; Grants Counterpart"/>
    <x v="0"/>
    <s v="Setting up Obersvatory - Transfer IP"/>
    <s v="CS1041TUNPBF"/>
    <s v="305890"/>
    <s v="IP transfers – National Gov Entities"/>
    <s v="reversal 5000920086"/>
    <s v="1022824914"/>
    <s v="0105421105"/>
    <s v="1"/>
    <d v="2021-05-20T00:00:00"/>
    <n v="-9766.6299999999992"/>
    <s v="USD"/>
    <n v="-9766.6299999999992"/>
    <s v="USD"/>
    <n v="-9766.6299999999992"/>
    <s v="USD"/>
    <s v="66"/>
    <s v="HRANDRIANA"/>
    <s v="0105421105"/>
    <s v="MG10"/>
  </r>
  <r>
    <s v="CS1041TUNPBF"/>
    <s v="TUNPBF000"/>
    <s v="CS.1041"/>
    <s v="MPTF_06"/>
    <s v="Transfers &amp; Grants Counterpart"/>
    <x v="1"/>
    <s v="Conduct of research"/>
    <s v="CS1041TUNPBF"/>
    <s v="305890"/>
    <s v="IP transfers – National Gov Entities"/>
    <s v="IP Migration observation"/>
    <s v="1022824914"/>
    <s v="0105421105"/>
    <s v="2"/>
    <d v="2021-05-20T00:00:00"/>
    <n v="9766.6299999999992"/>
    <s v="USD"/>
    <n v="9766.6299999999992"/>
    <s v="USD"/>
    <n v="9766.6299999999992"/>
    <s v="USD"/>
    <s v="66"/>
    <s v="HRANDRIANA"/>
    <s v="0105421105"/>
    <s v="MG10"/>
  </r>
  <r>
    <s v="CS1041TUNPBF"/>
    <s v="TUNPBF000"/>
    <s v="CS.1041"/>
    <s v="MPTF_06"/>
    <s v="Transfers &amp; Grants Counterpart"/>
    <x v="2"/>
    <s v="Social cohesion activities support - Men"/>
    <s v="CS1041TUNPBF"/>
    <s v="306630"/>
    <s v="Non food items (e.g clothing, kits)"/>
    <s v="reversal 5000482008"/>
    <s v="1023262964"/>
    <s v="0105602334"/>
    <s v="1"/>
    <d v="2021-08-02T00:00:00"/>
    <n v="-1437.84"/>
    <s v="USD"/>
    <n v="-1437.84"/>
    <s v="USD"/>
    <n v="-1437.84"/>
    <s v="USD"/>
    <s v="66"/>
    <s v="HRANDY"/>
    <s v="0105602334"/>
    <s v="MG10"/>
  </r>
  <r>
    <s v="CS1041TUNPBF"/>
    <s v="TUNPBF000"/>
    <s v="CS.1041"/>
    <s v="MPTF_06"/>
    <s v="Transfers &amp; Grants Counterpart"/>
    <x v="1"/>
    <s v="Conduct of research"/>
    <s v="CS1041TUNPBF"/>
    <s v="307050"/>
    <s v="Training allowance"/>
    <s v="5000449325"/>
    <s v="1023266914"/>
    <s v="0105603200"/>
    <s v="1"/>
    <d v="2021-08-03T00:00:00"/>
    <n v="-1542.23"/>
    <s v="USD"/>
    <n v="-1542.23"/>
    <s v="USD"/>
    <n v="-1542.23"/>
    <s v="USD"/>
    <s v="66"/>
    <s v="HRANDY"/>
    <s v="0105603200"/>
    <s v="MG10"/>
  </r>
  <r>
    <s v="CS1041TUNPBF"/>
    <s v="TUNPBF000"/>
    <s v="CS.1041"/>
    <s v="MPTF_06"/>
    <s v="Transfers &amp; Grants Counterpart"/>
    <x v="1"/>
    <s v="Conduct of research"/>
    <s v="CS1041TUNPBF"/>
    <s v="303320"/>
    <s v="Furniture &amp; Equipment Rental"/>
    <s v="5000407268"/>
    <s v="1023266926"/>
    <s v="0105603298"/>
    <s v="1"/>
    <d v="2021-08-03T00:00:00"/>
    <n v="-886.49"/>
    <s v="USD"/>
    <n v="-886.49"/>
    <s v="USD"/>
    <n v="-886.49"/>
    <s v="USD"/>
    <s v="66"/>
    <s v="HRANDY"/>
    <s v="0105603298"/>
    <s v="MG10"/>
  </r>
  <r>
    <s v="CS1041TUNPBF"/>
    <s v="TUNPBF000"/>
    <s v="CS.1041"/>
    <s v="MPTF_06"/>
    <s v="Transfers &amp; Grants Counterpart"/>
    <x v="1"/>
    <s v="Conduct of research"/>
    <s v="CS1041TUNPBF"/>
    <s v="306620"/>
    <s v="Food  &amp; beverages"/>
    <s v="5000407414"/>
    <s v="1023267230"/>
    <s v="0105603302"/>
    <s v="1"/>
    <d v="2021-08-03T00:00:00"/>
    <n v="-296.8"/>
    <s v="USD"/>
    <n v="-296.8"/>
    <s v="USD"/>
    <n v="-296.8"/>
    <s v="USD"/>
    <s v="66"/>
    <s v="HRANDY"/>
    <s v="0105603302"/>
    <s v="MG10"/>
  </r>
  <r>
    <s v="CS1041TUNPBF"/>
    <s v="TUNPBF000"/>
    <s v="CS.1041"/>
    <s v="MPTF_06"/>
    <s v="Transfers &amp; Grants Counterpart"/>
    <x v="0"/>
    <s v="Setting up Obersvatory - Transfer IP"/>
    <s v="CS1041TUNPBF"/>
    <s v="307910"/>
    <s v="Miscellaneous other expenses"/>
    <s v="5000427044"/>
    <s v="1023267325"/>
    <s v="0105603461"/>
    <s v="1"/>
    <d v="2021-08-03T00:00:00"/>
    <n v="-307910"/>
    <s v="USD"/>
    <n v="-307910"/>
    <s v="USD"/>
    <n v="-307910"/>
    <s v="USD"/>
    <s v="66"/>
    <s v="HRANDY"/>
    <s v="0105603461"/>
    <s v="MG10"/>
  </r>
  <r>
    <s v="CS1041TUNPBF"/>
    <s v="TUNPBF000"/>
    <s v="CS.1041"/>
    <s v="MPTF_06"/>
    <s v="Transfers &amp; Grants Counterpart"/>
    <x v="0"/>
    <s v="Setting up Obersvatory - Transfer IP"/>
    <s v="CS1041TUNPBF"/>
    <s v="307910"/>
    <s v="Miscellaneous other expenses"/>
    <s v="5000413449"/>
    <s v="1023267932"/>
    <s v="0105603477"/>
    <s v="1"/>
    <d v="2021-08-03T00:00:00"/>
    <n v="-52.07"/>
    <s v="USD"/>
    <n v="-52.07"/>
    <s v="USD"/>
    <n v="-52.07"/>
    <s v="USD"/>
    <s v="66"/>
    <s v="HRANDY"/>
    <s v="0105603477"/>
    <s v="MG10"/>
  </r>
  <r>
    <s v="CS1041TUNPBF"/>
    <s v="TUNPBF000"/>
    <s v="CS.1041"/>
    <s v="MPTF_06"/>
    <s v="Transfers &amp; Grants Counterpart"/>
    <x v="0"/>
    <s v="Setting up Obersvatory - Transfer IP"/>
    <s v="CS1041TUNPBF"/>
    <s v="303410"/>
    <s v="Office supplies"/>
    <s v="5000402971"/>
    <s v="1023267982"/>
    <s v="0105603641"/>
    <s v="1"/>
    <d v="2021-08-03T00:00:00"/>
    <n v="-137.26"/>
    <s v="USD"/>
    <n v="-137.26"/>
    <s v="USD"/>
    <n v="-137.26"/>
    <s v="USD"/>
    <s v="66"/>
    <s v="HRANDY"/>
    <s v="0105603641"/>
    <s v="MG10"/>
  </r>
  <r>
    <s v="CS1041TUNPBF"/>
    <s v="TUNPBF000"/>
    <s v="CS.1041"/>
    <s v="MPTF_06"/>
    <s v="Transfers &amp; Grants Counterpart"/>
    <x v="0"/>
    <s v="Setting up Obersvatory - Transfer IP"/>
    <s v="CS1041TUNPBF"/>
    <s v="303410"/>
    <s v="Office supplies"/>
    <s v="5000402971"/>
    <s v="1023269434"/>
    <s v="0105603995"/>
    <s v="1"/>
    <d v="2021-08-03T00:00:00"/>
    <n v="-190.16"/>
    <s v="USD"/>
    <n v="-190.16"/>
    <s v="USD"/>
    <n v="-190.16"/>
    <s v="USD"/>
    <s v="66"/>
    <s v="HRANDY"/>
    <s v="0105603995"/>
    <s v="MG10"/>
  </r>
  <r>
    <s v="CS1041TUNPBF"/>
    <s v="TUNPBF000"/>
    <s v="CS.1041"/>
    <s v="MPTF_06"/>
    <s v="Transfers &amp; Grants Counterpart"/>
    <x v="0"/>
    <s v="Setting up Obersvatory - Transfer IP"/>
    <s v="CS1041TUNPBF"/>
    <s v="303540"/>
    <s v="I.T. Supplies Purchases"/>
    <s v="5000408195"/>
    <s v="1023269447"/>
    <s v="0105604009"/>
    <s v="1"/>
    <d v="2021-08-03T00:00:00"/>
    <n v="-3436.62"/>
    <s v="USD"/>
    <n v="-3436.62"/>
    <s v="USD"/>
    <n v="-3436.62"/>
    <s v="USD"/>
    <s v="66"/>
    <s v="HRANDY"/>
    <s v="0105604009"/>
    <s v="MG10"/>
  </r>
  <r>
    <s v="CS1041TUNPBF"/>
    <s v="TUNPBF000"/>
    <s v="CS.1041"/>
    <s v="MPTF_06"/>
    <s v="Transfers &amp; Grants Counterpart"/>
    <x v="0"/>
    <s v="Setting up Obersvatory - Transfer IP"/>
    <s v="CS1041TUNPBF"/>
    <s v="303540"/>
    <s v="I.T. Supplies Purchases"/>
    <s v="5000408195"/>
    <s v="1023269459"/>
    <s v="0105604021"/>
    <s v="1"/>
    <d v="2021-08-03T00:00:00"/>
    <n v="-3957.32"/>
    <s v="USD"/>
    <n v="-3957.32"/>
    <s v="USD"/>
    <n v="-3957.32"/>
    <s v="USD"/>
    <s v="66"/>
    <s v="HRANDY"/>
    <s v="0105604021"/>
    <s v="MG10"/>
  </r>
  <r>
    <s v="CS1041TUNPBF"/>
    <s v="TUNPBF000"/>
    <s v="CS.1041"/>
    <s v="MPTF_06"/>
    <s v="Transfers &amp; Grants Counterpart"/>
    <x v="0"/>
    <s v="Setting up Obersvatory - Transfer IP"/>
    <s v="CS1041TUNPBF"/>
    <s v="303540"/>
    <s v="I.T. Supplies Purchases"/>
    <s v="5000425238"/>
    <s v="1023269469"/>
    <s v="0105604028"/>
    <s v="1"/>
    <d v="2021-08-03T00:00:00"/>
    <n v="-553.24"/>
    <s v="USD"/>
    <n v="-553.24"/>
    <s v="USD"/>
    <n v="-553.24"/>
    <s v="USD"/>
    <s v="66"/>
    <s v="HRANDY"/>
    <s v="0105604028"/>
    <s v="MG10"/>
  </r>
  <r>
    <s v="CS1041TUNPBF"/>
    <s v="TUNPBF000"/>
    <s v="CS.1041"/>
    <s v="MPTF_06"/>
    <s v="Transfers &amp; Grants Counterpart"/>
    <x v="0"/>
    <s v="Setting up Obersvatory - Transfer IP"/>
    <s v="CS1041TUNPBF"/>
    <s v="303540"/>
    <s v="I.T. Supplies Purchases"/>
    <s v="5000425238"/>
    <s v="1023269475"/>
    <s v="0105604034"/>
    <s v="1"/>
    <d v="2021-08-03T00:00:00"/>
    <n v="-585.79"/>
    <s v="USD"/>
    <n v="-585.79"/>
    <s v="USD"/>
    <n v="-585.79"/>
    <s v="USD"/>
    <s v="66"/>
    <s v="HRANDY"/>
    <s v="0105604034"/>
    <s v="MG10"/>
  </r>
  <r>
    <s v="CS1041TUNPBF"/>
    <s v="TUNPBF000"/>
    <s v="CS.1041"/>
    <s v="MPTF_06"/>
    <s v="Transfers &amp; Grants Counterpart"/>
    <x v="0"/>
    <s v="Setting up Obersvatory - Transfer IP"/>
    <s v="CS1041TUNPBF"/>
    <s v="303540"/>
    <s v="I.T. Supplies Purchases"/>
    <s v="5000425238"/>
    <s v="1023269488"/>
    <s v="0105604046"/>
    <s v="1"/>
    <d v="2021-08-03T00:00:00"/>
    <n v="-260.35000000000002"/>
    <s v="USD"/>
    <n v="-260.35000000000002"/>
    <s v="USD"/>
    <n v="-260.35000000000002"/>
    <s v="USD"/>
    <s v="66"/>
    <s v="HRANDY"/>
    <s v="0105604046"/>
    <s v="MG10"/>
  </r>
  <r>
    <s v="CS1041TUNPBF"/>
    <s v="TUNPBF000"/>
    <s v="CS.1041"/>
    <s v="MPTF_06"/>
    <s v="Transfers &amp; Grants Counterpart"/>
    <x v="0"/>
    <s v="Setting up Obersvatory - Transfer IP"/>
    <s v="CS1041TUNPBF"/>
    <s v="303540"/>
    <s v="I.T. Supplies Purchases"/>
    <s v="Disques Durs externes TRANSCEND 25M3 1TB USB 3.0"/>
    <s v="1023269488"/>
    <s v="0105604046"/>
    <s v="2"/>
    <d v="2021-08-03T00:00:00"/>
    <n v="260.35000000000002"/>
    <s v="USD"/>
    <n v="260.35000000000002"/>
    <s v="USD"/>
    <n v="260.35000000000002"/>
    <s v="USD"/>
    <s v="66"/>
    <s v="HRANDY"/>
    <s v="0105604046"/>
    <s v="MG10"/>
  </r>
  <r>
    <s v="CS1041TUNPBF"/>
    <s v="TUNPBF000"/>
    <s v="CS.1041"/>
    <s v="MPTF_06"/>
    <s v="Transfers &amp; Grants Counterpart"/>
    <x v="0"/>
    <s v="Setting up Obersvatory - Transfer IP"/>
    <s v="CS1041TUNPBF"/>
    <s v="303540"/>
    <s v="I.T. Supplies Purchases"/>
    <s v="5000425238"/>
    <s v="1023269497"/>
    <s v="0105604055"/>
    <s v="1"/>
    <d v="2021-08-03T00:00:00"/>
    <n v="-676.91"/>
    <s v="USD"/>
    <n v="-676.91"/>
    <s v="USD"/>
    <n v="-676.91"/>
    <s v="USD"/>
    <s v="66"/>
    <s v="HRANDY"/>
    <s v="0105604055"/>
    <s v="MG10"/>
  </r>
  <r>
    <s v="CS1041TUNPBF"/>
    <s v="TUNPBF000"/>
    <s v="CS.1041"/>
    <s v="MPTF_06"/>
    <s v="Transfers &amp; Grants Counterpart"/>
    <x v="0"/>
    <s v="Setting up Obersvatory - Transfer IP"/>
    <s v="CS1041TUNPBF"/>
    <s v="303540"/>
    <s v="I.T. Supplies Purchases"/>
    <s v="5000425238"/>
    <s v="1023269507"/>
    <s v="0105604061"/>
    <s v="1"/>
    <d v="2021-08-03T00:00:00"/>
    <n v="-572.77"/>
    <s v="USD"/>
    <n v="-572.77"/>
    <s v="USD"/>
    <n v="-572.77"/>
    <s v="USD"/>
    <s v="66"/>
    <s v="HRANDY"/>
    <s v="0105604061"/>
    <s v="MG10"/>
  </r>
  <r>
    <s v="CS1041TUNPBF"/>
    <s v="TUNPBF000"/>
    <s v="CS.1041"/>
    <s v="MPTF_06"/>
    <s v="Transfers &amp; Grants Counterpart"/>
    <x v="0"/>
    <s v="Setting up Obersvatory - Transfer IP"/>
    <s v="CS1041TUNPBF"/>
    <s v="307910"/>
    <s v="Miscellaneous other expenses"/>
    <s v="reversal 0105603461"/>
    <s v="1023296719"/>
    <s v="0105611753"/>
    <s v="1"/>
    <d v="2021-08-09T00:00:00"/>
    <n v="307910"/>
    <s v="USD"/>
    <n v="307910"/>
    <s v="USD"/>
    <n v="307910"/>
    <s v="USD"/>
    <s v="66"/>
    <s v="HRANDRIANA"/>
    <s v="0105611753"/>
    <s v="MG10"/>
  </r>
  <r>
    <s v="CS1041TUNPBF"/>
    <s v="TUNPBF000"/>
    <s v="CS.1041"/>
    <s v="MPTF_06"/>
    <s v="Transfers &amp; Grants Counterpart"/>
    <x v="0"/>
    <s v="Setting up Obersvatory - Transfer IP"/>
    <s v="CS1041TUNPBF"/>
    <s v="307910"/>
    <s v="Miscellaneous other expenses"/>
    <s v="reversal 105603477"/>
    <s v="1023297235"/>
    <s v="0105611764"/>
    <s v="1"/>
    <d v="2021-08-09T00:00:00"/>
    <n v="52.07"/>
    <s v="USD"/>
    <n v="52.07"/>
    <s v="USD"/>
    <n v="52.07"/>
    <s v="USD"/>
    <s v="66"/>
    <s v="HRANDRIANA"/>
    <s v="0105611764"/>
    <s v="MG10"/>
  </r>
  <r>
    <s v="CS1041TUNPBF"/>
    <s v="TUNPBF000"/>
    <s v="CS.1041"/>
    <s v="MPTF_06"/>
    <s v="Transfers &amp; Grants Counterpart"/>
    <x v="0"/>
    <s v="Setting up Obersvatory - Transfer IP"/>
    <s v="CS1041TUNPBF"/>
    <s v="303540"/>
    <s v="I.T. Supplies Purchases"/>
    <s v="Reversal 5000425238"/>
    <s v="1023297300"/>
    <s v="0105611839"/>
    <s v="1"/>
    <d v="2021-08-09T00:00:00"/>
    <n v="-260.35000000000002"/>
    <s v="USD"/>
    <n v="-260.35000000000002"/>
    <s v="USD"/>
    <n v="-260.35000000000002"/>
    <s v="USD"/>
    <s v="66"/>
    <s v="HRANDRIANA"/>
    <s v="0105611839"/>
    <s v="MG10"/>
  </r>
  <r>
    <s v="CS1041TUNPBF"/>
    <s v="TUNPBF000"/>
    <s v="CS.1041"/>
    <s v="MPTF_06"/>
    <s v="Transfers &amp; Grants Counterpart"/>
    <x v="0"/>
    <s v="Setting up Obersvatory - Transfer IP"/>
    <s v="CS1041TUNPBF"/>
    <s v="303550"/>
    <s v="I.T. Software Services (develop)"/>
    <s v="reimbursment CNRE"/>
    <s v="1023908211"/>
    <s v="0105846747"/>
    <s v="2"/>
    <d v="2021-11-24T00:00:00"/>
    <n v="-4305.42"/>
    <s v="USD"/>
    <n v="-4305.42"/>
    <s v="USD"/>
    <n v="-16949000"/>
    <s v="MGA"/>
    <s v="99"/>
    <s v="HRANDY"/>
    <s v="0105846747"/>
    <s v="MG10"/>
  </r>
  <r>
    <s v="CS1041TUNPBF"/>
    <s v="TUNPBF000"/>
    <s v="CS.1041"/>
    <s v="MPTF_06"/>
    <s v="Transfers &amp; Grants Counterpart"/>
    <x v="3"/>
    <s v="Mentoring sessions women comitees - Mena"/>
    <s v="CS1041TUNPBF"/>
    <s v="301050"/>
    <s v="Subsistence and other"/>
    <s v="TEC MISSION MAXIME 23 TO 01 OCT 2021"/>
    <s v="1023957274"/>
    <s v="1700373664"/>
    <s v="2"/>
    <d v="2021-11-03T00:00:00"/>
    <n v="-906.5"/>
    <s v="USD"/>
    <n v="-906.5"/>
    <s v="USD"/>
    <n v="-3568591.36"/>
    <s v="MGA"/>
    <s v="99"/>
    <s v="HRANDY"/>
    <s v="1700373664"/>
    <s v="MG10"/>
  </r>
  <r>
    <s v="CS1041TUNPBF"/>
    <s v="TUNPBF000"/>
    <s v="CS.1041"/>
    <s v="MPTF_06"/>
    <s v="Transfers &amp; Grants Counterpart"/>
    <x v="4"/>
    <s v="Implementation livelihoods programme"/>
    <s v="CS1041TUNPBF"/>
    <s v="301050"/>
    <s v="Subsistence and other"/>
    <s v="DSA TDY MG10/TNR/21/NOV/068"/>
    <s v="1024027844"/>
    <s v="1700376201"/>
    <s v="2"/>
    <d v="2021-12-16T00:00:00"/>
    <n v="-31.95"/>
    <s v="USD"/>
    <n v="-31.95"/>
    <s v="USD"/>
    <n v="-126576.08"/>
    <s v="MGA"/>
    <s v="99"/>
    <s v="HRANDY"/>
    <s v="1700376201"/>
    <s v="MG10"/>
  </r>
  <r>
    <s v="CS1041TUNPBF"/>
    <s v="TUNPBF000"/>
    <s v="CS.1041"/>
    <s v="MPTF_06"/>
    <s v="Transfers &amp; Grants Counterpart"/>
    <x v="1"/>
    <s v="Conduct of research"/>
    <s v="CS1041TUNPBF"/>
    <s v="303320"/>
    <s v="Furniture &amp; Equipment Rental"/>
    <s v="RENVERSAL 1901286275"/>
    <s v="1024174572"/>
    <s v="1700379344"/>
    <s v="2"/>
    <d v="2021-12-31T00:00:00"/>
    <n v="-759.66"/>
    <s v="USD"/>
    <n v="-759.66"/>
    <s v="USD"/>
    <n v="-3009600"/>
    <s v="MGA"/>
    <s v="99"/>
    <s v="HRANDY"/>
    <s v="1700379344"/>
    <s v="MG10"/>
  </r>
  <r>
    <s v="CS1041TUNPBF"/>
    <s v="TUNPBF000"/>
    <s v="CS.1041"/>
    <s v="MPTF_06"/>
    <s v="Transfers &amp; Grants Counterpart"/>
    <x v="1"/>
    <s v="Conduct of research"/>
    <s v="CS1041TUNPBF"/>
    <s v="305880"/>
    <s v="IP transfers – National CSOs"/>
    <s v="reversal 5200030209"/>
    <s v="1024568322"/>
    <s v="1700389885"/>
    <s v="2"/>
    <d v="2022-03-08T00:00:00"/>
    <n v="-10416.4"/>
    <s v="USD"/>
    <n v="-10416.4"/>
    <s v="USD"/>
    <n v="-41400000"/>
    <s v="MGA"/>
    <s v="99"/>
    <s v="HRANDRIANA"/>
    <s v="1700389885"/>
    <s v="MG10"/>
  </r>
  <r>
    <s v="CS1041TUNPBF"/>
    <s v="TUNPBF000"/>
    <s v="CS.1041"/>
    <s v="MPTF_06"/>
    <s v="Transfers &amp; Grants Counterpart"/>
    <x v="3"/>
    <s v="Mentoring sessions women comitees - Mena"/>
    <s v="CS1041TUNPBF"/>
    <s v="306620"/>
    <s v="Food  &amp; beverages"/>
    <s v="food for Beloha Community"/>
    <s v="1022534345"/>
    <s v="1901166997"/>
    <s v="2"/>
    <d v="2021-03-31T00:00:00"/>
    <n v="316.08"/>
    <s v="USD"/>
    <n v="316.08"/>
    <s v="USD"/>
    <n v="1182700"/>
    <s v="MGA"/>
    <s v="99"/>
    <s v="HRANDRIANA"/>
    <s v="1901166997"/>
    <s v="MG10"/>
  </r>
  <r>
    <s v="CS1041TUNPBF"/>
    <s v="TUNPBF000"/>
    <s v="CS.1041"/>
    <s v="MPTF_06"/>
    <s v="Transfers &amp; Grants Counterpart"/>
    <x v="2"/>
    <s v="Social cohesion activities support - Men"/>
    <s v="CS1041TUNPBF"/>
    <s v="303020"/>
    <s v="Postage"/>
    <s v="Shipment polo to Morondava"/>
    <s v="1022774682"/>
    <s v="1901192218"/>
    <s v="2"/>
    <d v="2021-05-06T00:00:00"/>
    <n v="28.86"/>
    <s v="USD"/>
    <n v="28.86"/>
    <s v="USD"/>
    <n v="108720"/>
    <s v="MGA"/>
    <s v="99"/>
    <s v="HRANDRIANA"/>
    <s v="1901192218"/>
    <s v="MG10"/>
  </r>
  <r>
    <s v="CS1041TUNPBF"/>
    <s v="TUNPBF000"/>
    <s v="CS.1041"/>
    <s v="MPTF_06"/>
    <s v="Transfers &amp; Grants Counterpart"/>
    <x v="1"/>
    <s v="Conduct of research"/>
    <s v="CS1041TUNPBF"/>
    <s v="306270"/>
    <s v="Subsistence for non-IOM staff"/>
    <s v="DSA Jimmy Andersen"/>
    <s v="1023234863"/>
    <s v="1901254124"/>
    <s v="2"/>
    <d v="2021-07-27T00:00:00"/>
    <n v="477.5"/>
    <s v="USD"/>
    <n v="477.5"/>
    <s v="USD"/>
    <n v="1800000"/>
    <s v="MGA"/>
    <s v="99"/>
    <s v="HRANDRIANA"/>
    <s v="1901254124"/>
    <s v="MG10"/>
  </r>
  <r>
    <s v="CS1041TUNPBF"/>
    <s v="TUNPBF000"/>
    <s v="CS.1041"/>
    <s v="MPTF_06"/>
    <s v="Transfers &amp; Grants Counterpart"/>
    <x v="1"/>
    <s v="Conduct of research"/>
    <s v="CS1041TUNPBF"/>
    <s v="303010"/>
    <s v="Communications"/>
    <s v="Communications fees CNRE"/>
    <s v="1023267985"/>
    <s v="1901259379"/>
    <s v="4"/>
    <d v="2021-07-27T00:00:00"/>
    <n v="265.27999999999997"/>
    <s v="USD"/>
    <n v="265.27999999999997"/>
    <s v="USD"/>
    <n v="1000000"/>
    <s v="MGA"/>
    <s v="99"/>
    <s v="HRANDRIANA"/>
    <s v="1901259379"/>
    <s v="MG10"/>
  </r>
  <r>
    <s v="CS1041TUNPBF"/>
    <s v="TUNPBF000"/>
    <s v="CS.1041"/>
    <s v="MPTF_06"/>
    <s v="Transfers &amp; Grants Counterpart"/>
    <x v="1"/>
    <s v="Conduct of research"/>
    <s v="CS1041TUNPBF"/>
    <s v="303410"/>
    <s v="Office supplies"/>
    <s v="Carpet- can CNRE"/>
    <s v="1023267985"/>
    <s v="1901259379"/>
    <s v="5"/>
    <d v="2021-07-27T00:00:00"/>
    <n v="160.49"/>
    <s v="USD"/>
    <n v="160.49"/>
    <s v="USD"/>
    <n v="605000"/>
    <s v="MGA"/>
    <s v="99"/>
    <s v="HRANDRIANA"/>
    <s v="1901259379"/>
    <s v="MG10"/>
  </r>
  <r>
    <s v="CS1041TUNPBF"/>
    <s v="TUNPBF000"/>
    <s v="CS.1041"/>
    <s v="MPTF_06"/>
    <s v="Transfers &amp; Grants Counterpart"/>
    <x v="1"/>
    <s v="Conduct of research"/>
    <s v="CS1041TUNPBF"/>
    <s v="303540"/>
    <s v="I.T. Supplies Purchases"/>
    <s v="SIM card CNRE"/>
    <s v="1023267985"/>
    <s v="1901259379"/>
    <s v="6"/>
    <d v="2021-07-27T00:00:00"/>
    <n v="2.65"/>
    <s v="USD"/>
    <n v="2.65"/>
    <s v="USD"/>
    <n v="10000"/>
    <s v="MGA"/>
    <s v="99"/>
    <s v="HRANDRIANA"/>
    <s v="1901259379"/>
    <s v="MG10"/>
  </r>
  <r>
    <s v="CS1041TUNPBF"/>
    <s v="TUNPBF000"/>
    <s v="CS.1041"/>
    <s v="MPTF_06"/>
    <s v="Transfers &amp; Grants Counterpart"/>
    <x v="1"/>
    <s v="Conduct of research"/>
    <s v="CS1041TUNPBF"/>
    <s v="303410"/>
    <s v="Office supplies"/>
    <s v="Stationnery for survey"/>
    <s v="1023314371"/>
    <s v="1901267411"/>
    <s v="2"/>
    <d v="2021-08-13T00:00:00"/>
    <n v="51.92"/>
    <s v="USD"/>
    <n v="51.92"/>
    <s v="USD"/>
    <n v="197400"/>
    <s v="MGA"/>
    <s v="99"/>
    <s v="HRANDRIANA"/>
    <s v="1901267411"/>
    <s v="MG10"/>
  </r>
  <r>
    <s v="CS1041TUNPBF"/>
    <s v="TUNPBF000"/>
    <s v="CS.1041"/>
    <s v="MPTF_06"/>
    <s v="Transfers &amp; Grants Counterpart"/>
    <x v="1"/>
    <s v="Conduct of research"/>
    <s v="CS1041TUNPBF"/>
    <s v="306270"/>
    <s v="Subsistence for non-IOM staff"/>
    <s v="DSA Timotsy"/>
    <s v="1023314371"/>
    <s v="1901267411"/>
    <s v="3"/>
    <d v="2021-08-13T00:00:00"/>
    <n v="21.04"/>
    <s v="USD"/>
    <n v="21.04"/>
    <s v="USD"/>
    <n v="80000"/>
    <s v="MGA"/>
    <s v="99"/>
    <s v="HRANDRIANA"/>
    <s v="1901267411"/>
    <s v="MG10"/>
  </r>
  <r>
    <s v="CS1041TUNPBF"/>
    <s v="TUNPBF000"/>
    <s v="CS.1041"/>
    <s v="MPTF_06"/>
    <s v="Transfers &amp; Grants Counterpart"/>
    <x v="1"/>
    <s v="Conduct of research"/>
    <s v="CS1041TUNPBF"/>
    <s v="305740"/>
    <s v="Other services"/>
    <s v="Indemnity for local guide"/>
    <s v="1023314371"/>
    <s v="1901267411"/>
    <s v="4"/>
    <d v="2021-08-13T00:00:00"/>
    <n v="126.24"/>
    <s v="USD"/>
    <n v="126.24"/>
    <s v="USD"/>
    <n v="480000"/>
    <s v="MGA"/>
    <s v="99"/>
    <s v="HRANDRIANA"/>
    <s v="1901267411"/>
    <s v="MG10"/>
  </r>
  <r>
    <s v="CS1041TUNPBF"/>
    <s v="TUNPBF000"/>
    <s v="CS.1041"/>
    <s v="MPTF_06"/>
    <s v="Transfers &amp; Grants Counterpart"/>
    <x v="1"/>
    <s v="Conduct of research"/>
    <s v="CS1041TUNPBF"/>
    <s v="305740"/>
    <s v="Other services"/>
    <s v="Indemnity for survey"/>
    <s v="1023314371"/>
    <s v="1901267411"/>
    <s v="5"/>
    <d v="2021-08-13T00:00:00"/>
    <n v="2209.2199999999998"/>
    <s v="USD"/>
    <n v="2209.2199999999998"/>
    <s v="USD"/>
    <n v="8400000"/>
    <s v="MGA"/>
    <s v="99"/>
    <s v="HRANDRIANA"/>
    <s v="1901267411"/>
    <s v="MG10"/>
  </r>
  <r>
    <s v="CS1041TUNPBF"/>
    <s v="TUNPBF000"/>
    <s v="CS.1041"/>
    <s v="MPTF_06"/>
    <s v="Transfers &amp; Grants Counterpart"/>
    <x v="1"/>
    <s v="Conduct of research"/>
    <s v="CS1041TUNPBF"/>
    <s v="303320"/>
    <s v="Furniture &amp; Equipment Rental"/>
    <s v="Rental 18 Tablettes"/>
    <s v="1023429277"/>
    <s v="1901286275"/>
    <s v="2"/>
    <d v="2021-08-31T00:00:00"/>
    <n v="791.53"/>
    <s v="USD"/>
    <n v="791.53"/>
    <s v="USD"/>
    <n v="3009600"/>
    <s v="MGA"/>
    <s v="99"/>
    <s v="HRANDY"/>
    <s v="1901286275"/>
    <s v="MG10"/>
  </r>
  <r>
    <s v="CS1041TUNPBF"/>
    <s v="TUNPBF000"/>
    <s v="CS.1041"/>
    <s v="MPTF_06"/>
    <s v="Transfers &amp; Grants Counterpart"/>
    <x v="1"/>
    <s v="Conduct of research"/>
    <s v="CS1041TUNPBF"/>
    <s v="306270"/>
    <s v="Subsistence for non-IOM staff"/>
    <s v="SETT_ADVANCE 9720000_INDEMNITY GUIDES_AUG 2021"/>
    <s v="1023434573"/>
    <s v="1901287211"/>
    <s v="2"/>
    <d v="2021-08-31T00:00:00"/>
    <n v="2556.39"/>
    <s v="USD"/>
    <n v="2556.39"/>
    <s v="USD"/>
    <n v="9720000"/>
    <s v="MGA"/>
    <s v="99"/>
    <s v="HRANDY"/>
    <s v="1901287211"/>
    <s v="MG10"/>
  </r>
  <r>
    <s v="CS1041TUNPBF"/>
    <s v="TUNPBF000"/>
    <s v="CS.1041"/>
    <s v="MPTF_06"/>
    <s v="Transfers &amp; Grants Counterpart"/>
    <x v="2"/>
    <s v="Social cohesion activities support - Men"/>
    <s v="CS1041TUNPBF"/>
    <s v="303230"/>
    <s v="Rental of vehicles (including taxis)"/>
    <s v="RENTAL CAR BEROROKA"/>
    <s v="1023817007"/>
    <s v="1901333507"/>
    <s v="2"/>
    <d v="2021-10-10T00:00:00"/>
    <n v="152.6"/>
    <s v="USD"/>
    <n v="152.6"/>
    <s v="USD"/>
    <n v="600000"/>
    <s v="MGA"/>
    <s v="99"/>
    <s v="HRANDY"/>
    <s v="1901333507"/>
    <s v="MG10"/>
  </r>
  <r>
    <s v="CS1041TUNPBF"/>
    <s v="TUNPBF000"/>
    <s v="CS.1041"/>
    <s v="MPTF_06"/>
    <s v="Transfers &amp; Grants Counterpart"/>
    <x v="3"/>
    <s v="Mentoring sessions women comitees - Mena"/>
    <s v="CS1041TUNPBF"/>
    <s v="301050"/>
    <s v="Subsistence and other"/>
    <s v="TEC MISSION MAXIME 23 TO 01 OCT 2021"/>
    <s v="1023902352"/>
    <s v="1901349658"/>
    <s v="2"/>
    <d v="2021-11-03T00:00:00"/>
    <n v="906.5"/>
    <s v="USD"/>
    <n v="906.5"/>
    <s v="USD"/>
    <n v="3568591.36"/>
    <s v="MGA"/>
    <s v="99"/>
    <s v="HRANDY"/>
    <s v="1901349658"/>
    <s v="MG10"/>
  </r>
  <r>
    <s v="CS1041TUNPBF"/>
    <s v="TUNPBF000"/>
    <s v="CS.1041"/>
    <s v="MPTF_06"/>
    <s v="Transfers &amp; Grants Counterpart"/>
    <x v="4"/>
    <s v="Implementation livelihoods programme"/>
    <s v="CS1041TUNPBF"/>
    <s v="301050"/>
    <s v="Subsistence and other"/>
    <s v="DSA RANJA"/>
    <s v="1023907655"/>
    <s v="1901350689"/>
    <s v="2"/>
    <d v="2021-11-24T00:00:00"/>
    <n v="172.5"/>
    <s v="USD"/>
    <n v="172.5"/>
    <s v="USD"/>
    <n v="679075"/>
    <s v="MGA"/>
    <s v="99"/>
    <s v="HRANDY"/>
    <s v="1901350689"/>
    <s v="MG10"/>
  </r>
  <r>
    <s v="CS1041TUNPBF"/>
    <s v="TUNPBF000"/>
    <s v="CS.1041"/>
    <s v="MPTF_06"/>
    <s v="Transfers &amp; Grants Counterpart"/>
    <x v="5"/>
    <s v="Capacity buildings for women comitees -"/>
    <s v="CS1041TUNPBF"/>
    <s v="300340"/>
    <s v="Interns and SST hourly contracts"/>
    <s v="MSA NOVEMBER 2021"/>
    <s v="1023937129"/>
    <s v="1901356418"/>
    <s v="2"/>
    <d v="2021-11-30T00:00:00"/>
    <n v="100.64"/>
    <s v="USD"/>
    <n v="100.64"/>
    <s v="USD"/>
    <n v="396175"/>
    <s v="MGA"/>
    <s v="99"/>
    <s v="HRANDY"/>
    <s v="1901356418"/>
    <s v="MG10"/>
  </r>
  <r>
    <s v="CS1041TUNPBF"/>
    <s v="TUNPBF000"/>
    <s v="CS.1041"/>
    <s v="MPTF_06"/>
    <s v="Transfers &amp; Grants Counterpart"/>
    <x v="4"/>
    <s v="Implementation livelihoods programme"/>
    <s v="CS1041TUNPBF"/>
    <s v="301050"/>
    <s v="Subsistence and other"/>
    <s v="DSA Workinng inspection mision  for 2 markets plac"/>
    <s v="1023991066"/>
    <s v="1901365067"/>
    <s v="2"/>
    <d v="2021-12-09T00:00:00"/>
    <n v="121.16"/>
    <s v="USD"/>
    <n v="121.16"/>
    <s v="USD"/>
    <n v="480000"/>
    <s v="MGA"/>
    <s v="99"/>
    <s v="HRANDY"/>
    <s v="1901365067"/>
    <s v="MG10"/>
  </r>
  <r>
    <s v="CS1041TUNPBF"/>
    <s v="TUNPBF000"/>
    <s v="CS.1041"/>
    <s v="MPTF_06"/>
    <s v="Transfers &amp; Grants Counterpart"/>
    <x v="4"/>
    <s v="Implementation livelihoods programme"/>
    <s v="CS1041TUNPBF"/>
    <s v="301050"/>
    <s v="Subsistence and other"/>
    <s v="DSA TDY MG10/TNR/21/NOV/068"/>
    <s v="1024027835"/>
    <s v="1901371426"/>
    <s v="2"/>
    <d v="2021-12-16T00:00:00"/>
    <n v="31.95"/>
    <s v="USD"/>
    <n v="31.95"/>
    <s v="USD"/>
    <n v="126576.08"/>
    <s v="MGA"/>
    <s v="99"/>
    <s v="HRANDY"/>
    <s v="1901371426"/>
    <s v="MG10"/>
  </r>
  <r>
    <s v="CS1041TUNPBF"/>
    <s v="TUNPBF000"/>
    <s v="CS.1041"/>
    <s v="MPTF_06"/>
    <s v="Transfers &amp; Grants Counterpart"/>
    <x v="4"/>
    <s v="Implementation livelihoods programme"/>
    <s v="CS1041TUNPBF"/>
    <s v="301050"/>
    <s v="Subsistence and other"/>
    <s v="DSA RANJA TDY  MG10/TNR/NOV/068"/>
    <s v="1024029569"/>
    <s v="1901372003"/>
    <s v="2"/>
    <d v="2021-12-16T00:00:00"/>
    <n v="320.45999999999998"/>
    <s v="USD"/>
    <n v="320.45999999999998"/>
    <s v="USD"/>
    <n v="1269576.08"/>
    <s v="MGA"/>
    <s v="99"/>
    <s v="HRANDY"/>
    <s v="1901372003"/>
    <s v="MG10"/>
  </r>
  <r>
    <s v="CS1041TUNPBF"/>
    <s v="TUNPBF000"/>
    <s v="CS.1041"/>
    <s v="MPTF_06"/>
    <s v="Transfers &amp; Grants Counterpart"/>
    <x v="4"/>
    <s v="Implementation livelihoods programme"/>
    <s v="CS1041TUNPBF"/>
    <s v="306270"/>
    <s v="Subsistence for non-IOM staff"/>
    <s v="DSA PARTNERS"/>
    <s v="1024029589"/>
    <s v="1901372037"/>
    <s v="2"/>
    <d v="2021-12-16T00:00:00"/>
    <n v="333.19"/>
    <s v="USD"/>
    <n v="333.19"/>
    <s v="USD"/>
    <n v="1320000"/>
    <s v="MGA"/>
    <s v="99"/>
    <s v="HRANDY"/>
    <s v="1901372037"/>
    <s v="MG10"/>
  </r>
  <r>
    <s v="CS1041TUNPBF"/>
    <s v="TUNPBF000"/>
    <s v="CS.1041"/>
    <s v="MPTF_06"/>
    <s v="Transfers &amp; Grants Counterpart"/>
    <x v="4"/>
    <s v="Implementation livelihoods programme"/>
    <s v="CS1041TUNPBF"/>
    <s v="303390"/>
    <s v="Furniture &amp; Equipment Purchase"/>
    <s v="FURTNITURES"/>
    <s v="1024029589"/>
    <s v="1901372037"/>
    <s v="3"/>
    <d v="2021-12-16T00:00:00"/>
    <n v="53.01"/>
    <s v="USD"/>
    <n v="53.01"/>
    <s v="USD"/>
    <n v="210000"/>
    <s v="MGA"/>
    <s v="99"/>
    <s v="HRANDY"/>
    <s v="1901372037"/>
    <s v="MG10"/>
  </r>
  <r>
    <s v="CS1041TUNPBF"/>
    <s v="TUNPBF000"/>
    <s v="CS.1041"/>
    <s v="MPTF_06"/>
    <s v="Transfers &amp; Grants Counterpart"/>
    <x v="5"/>
    <s v="Capacity buildings for women comitees -"/>
    <s v="CS1041TUNPBF"/>
    <s v="300340"/>
    <s v="Interns and SST hourly contracts"/>
    <s v="MSA DECEMBER 2021"/>
    <s v="1024133784"/>
    <s v="1901384632"/>
    <s v="2"/>
    <d v="2021-12-29T00:00:00"/>
    <n v="100"/>
    <s v="USD"/>
    <n v="100"/>
    <s v="USD"/>
    <n v="396175"/>
    <s v="MGA"/>
    <s v="99"/>
    <s v="HRANDY"/>
    <s v="1901384632"/>
    <s v="MG10"/>
  </r>
  <r>
    <s v="CS1041TUNPBF"/>
    <s v="TUNPBF000"/>
    <s v="CS.1041"/>
    <s v="MPTF_06"/>
    <s v="Transfers &amp; Grants Counterpart"/>
    <x v="0"/>
    <s v="Setting up Obersvatory - Transfer IP"/>
    <s v="CS1041TUNPBF"/>
    <s v="307910"/>
    <s v="Miscellaneous other expenses"/>
    <s v="Impression de 2 roll ups pour l'Observatoire des m"/>
    <s v="1022049765"/>
    <s v="5000427044"/>
    <s v="1"/>
    <d v="2021-01-11T00:00:00"/>
    <n v="92.35"/>
    <s v="USD"/>
    <n v="92.35"/>
    <s v="USD"/>
    <n v="350000"/>
    <s v="MGA"/>
    <s v="99"/>
    <s v="HRANDRIANA"/>
    <s v="5000865484"/>
    <s v="MG10"/>
  </r>
  <r>
    <s v="CS1041TUNPBF"/>
    <s v="TUNPBF000"/>
    <s v="CS.1041"/>
    <s v="MPTF_06"/>
    <s v="Transfers &amp; Grants Counterpart"/>
    <x v="2"/>
    <s v="Social cohesion activities support - Men"/>
    <s v="CS1041TUNPBF"/>
    <s v="305880"/>
    <s v="IP transfers – National CSOs"/>
    <s v="REALISATION DES ACTIVITES DE REBOISEMENT DANS L'AP"/>
    <s v="1022206986"/>
    <s v="5000432701"/>
    <s v="1"/>
    <d v="2021-01-26T00:00:00"/>
    <n v="9234.9"/>
    <s v="USD"/>
    <n v="9234.9"/>
    <s v="USD"/>
    <n v="35000000"/>
    <s v="MGA"/>
    <s v="99"/>
    <s v="HRANDRIANA"/>
    <s v="5000871083"/>
    <s v="MG10"/>
  </r>
  <r>
    <s v="CS1041TUNPBF"/>
    <s v="TUNPBF000"/>
    <s v="CS.1041"/>
    <s v="MPTF_06"/>
    <s v="Transfers &amp; Grants Counterpart"/>
    <x v="1"/>
    <s v="Conduct of research"/>
    <s v="CS1041TUNPBF"/>
    <s v="307050"/>
    <s v="Training allowance"/>
    <s v="Renforcement de capacités du personnel de l'Observ"/>
    <s v="1022375614"/>
    <s v="5000449325"/>
    <s v="1"/>
    <d v="2021-03-01T00:00:00"/>
    <n v="1542.23"/>
    <s v="USD"/>
    <n v="1542.23"/>
    <s v="USD"/>
    <n v="1260"/>
    <s v="EUR"/>
    <s v="99"/>
    <s v="HRANDRIANA"/>
    <s v="5000887711"/>
    <s v="MG10"/>
  </r>
  <r>
    <s v="CS1041TUNPBF"/>
    <s v="TUNPBF000"/>
    <s v="CS.1041"/>
    <s v="MPTF_06"/>
    <s v="Transfers &amp; Grants Counterpart"/>
    <x v="5"/>
    <s v="Capacity buildings for women comitees -"/>
    <s v="CS1041TUNPBF"/>
    <s v="305880"/>
    <s v="IP transfers – National CSOs"/>
    <s v="2ND INSTALMENT 2/4"/>
    <s v="1022401763"/>
    <s v="5000452242"/>
    <s v="1"/>
    <d v="2021-03-04T00:00:00"/>
    <n v="7215.72"/>
    <s v="USD"/>
    <n v="7215.72"/>
    <s v="USD"/>
    <n v="27000000"/>
    <s v="MGA"/>
    <s v="99"/>
    <s v="HRANDRIANA"/>
    <s v="5000890582"/>
    <s v="MG10"/>
  </r>
  <r>
    <s v="CS1041TUNPBF"/>
    <s v="TUNPBF000"/>
    <s v="CS.1041"/>
    <s v="MPTF_06"/>
    <s v="Transfers &amp; Grants Counterpart"/>
    <x v="0"/>
    <s v="Setting up Obersvatory - Transfer IP"/>
    <s v="CS1041TUNPBF"/>
    <s v="305890"/>
    <s v="IP transfers – National Gov Entities"/>
    <s v="MISE EN PLACE D'UN &quot; OBSERVATOIRE DES MIGRATIONS I"/>
    <s v="1022733930"/>
    <s v="5000481756"/>
    <s v="1"/>
    <d v="2021-04-28T00:00:00"/>
    <n v="9766.6299999999992"/>
    <s v="USD"/>
    <n v="9766.6299999999992"/>
    <s v="USD"/>
    <n v="37000000"/>
    <s v="MGA"/>
    <s v="99"/>
    <s v="HRANDRIANA"/>
    <s v="5000920086"/>
    <s v="MG10"/>
  </r>
  <r>
    <s v="CS1041TUNPBF"/>
    <s v="TUNPBF000"/>
    <s v="CS.1041"/>
    <s v="MPTF_06"/>
    <s v="Transfers &amp; Grants Counterpart"/>
    <x v="2"/>
    <s v="Social cohesion activities support - Men"/>
    <s v="CS1041TUNPBF"/>
    <s v="306630"/>
    <s v="Non food items (e.g clothing, kits)"/>
    <s v="Red polo shirts &quot;Komitim-behivavy&quot; with logos of I"/>
    <s v="1022734788"/>
    <s v="5000482008"/>
    <s v="1"/>
    <d v="2021-04-28T00:00:00"/>
    <n v="1437.84"/>
    <s v="USD"/>
    <n v="1437.84"/>
    <s v="USD"/>
    <n v="5447134"/>
    <s v="MGA"/>
    <s v="99"/>
    <s v="HRANDRIANA"/>
    <s v="5000920314"/>
    <s v="MG10"/>
  </r>
  <r>
    <s v="CS1041TUNPBF"/>
    <s v="TUNPBF000"/>
    <s v="CS.1041"/>
    <s v="MPTF_06"/>
    <s v="Transfers &amp; Grants Counterpart"/>
    <x v="4"/>
    <s v="Implementation livelihoods programme"/>
    <s v="CS1041TUNPBF"/>
    <s v="305880"/>
    <s v="IP transfers – National CSOs"/>
    <s v="IGA Pilot Program in the Menabe region, IP  payro"/>
    <s v="1022736121"/>
    <s v="5000482193"/>
    <s v="1"/>
    <d v="2021-04-28T00:00:00"/>
    <n v="18477.41"/>
    <s v="USD"/>
    <n v="18477.41"/>
    <s v="USD"/>
    <n v="70000000"/>
    <s v="MGA"/>
    <s v="99"/>
    <s v="HRANDRIANA"/>
    <s v="5000920488"/>
    <s v="MG10"/>
  </r>
  <r>
    <s v="CS1041TUNPBF"/>
    <s v="TUNPBF000"/>
    <s v="CS.1041"/>
    <s v="MPTF_06"/>
    <s v="Transfers &amp; Grants Counterpart"/>
    <x v="2"/>
    <s v="Social cohesion activities support - Men"/>
    <s v="CS1041TUNPBF"/>
    <s v="305880"/>
    <s v="IP transfers – National CSOs"/>
    <s v="REALISATION DES ACTIVITES DE REBOISEMENT DANS L'AP"/>
    <s v="1023070970"/>
    <s v="5000513769"/>
    <s v="1"/>
    <d v="2021-06-25T00:00:00"/>
    <n v="2587.35"/>
    <s v="USD"/>
    <n v="2587.35"/>
    <s v="USD"/>
    <n v="9688300"/>
    <s v="MGA"/>
    <s v="99"/>
    <s v="HRANDRIANA"/>
    <s v="5000951971"/>
    <s v="MG10"/>
  </r>
  <r>
    <s v="CS1041TUNPBF"/>
    <s v="TUNPBF000"/>
    <s v="CS.1041"/>
    <s v="MPTF_06"/>
    <s v="Transfers &amp; Grants Counterpart"/>
    <x v="2"/>
    <s v="Social cohesion activities support - Men"/>
    <s v="CS1041TUNPBF"/>
    <s v="306060"/>
    <s v="Surface transportation"/>
    <s v="Vehicle rental, fuel included for Partners mission"/>
    <s v="1023609116"/>
    <s v="5000578816"/>
    <s v="1"/>
    <d v="2021-09-21T00:00:00"/>
    <n v="156.16999999999999"/>
    <s v="USD"/>
    <n v="156.16999999999999"/>
    <s v="USD"/>
    <n v="600000"/>
    <s v="MGA"/>
    <s v="99"/>
    <s v="HRANDY"/>
    <s v="5001016781"/>
    <s v="MG10"/>
  </r>
  <r>
    <s v="CS1041TUNPBF"/>
    <s v="TUNPBF000"/>
    <s v="CS.1041"/>
    <s v="MPTF_06"/>
    <s v="Transfers &amp; Grants Counterpart"/>
    <x v="2"/>
    <s v="Social cohesion activities support - Men"/>
    <s v="CS1041TUNPBF"/>
    <s v="306060"/>
    <s v="Surface transportation"/>
    <s v="Rental of two vehicles, fuel included for OIM/Part"/>
    <s v="1023816949"/>
    <s v="5000598267"/>
    <s v="1"/>
    <d v="2021-10-11T00:00:00"/>
    <n v="152.6"/>
    <s v="USD"/>
    <n v="152.6"/>
    <s v="USD"/>
    <n v="600000"/>
    <s v="MGA"/>
    <s v="99"/>
    <s v="HRANDY"/>
    <s v="5001036161"/>
    <s v="MG10"/>
  </r>
  <r>
    <s v="CS1041TUNPBF"/>
    <s v="TUNPBF000"/>
    <s v="CS.1041"/>
    <s v="MPTF_06"/>
    <s v="Transfers &amp; Grants Counterpart"/>
    <x v="5"/>
    <s v="Capacity buildings for women comitees -"/>
    <s v="CS1041TUNPBF"/>
    <s v="305880"/>
    <s v="IP transfers – National CSOs"/>
    <s v="5th installment after approval of 4th narrative an"/>
    <s v="1023819660"/>
    <s v="5000598687"/>
    <s v="1"/>
    <d v="2021-10-25T00:00:00"/>
    <n v="8402.9699999999993"/>
    <s v="USD"/>
    <n v="8402.9699999999993"/>
    <s v="USD"/>
    <n v="33038800"/>
    <s v="MGA"/>
    <s v="99"/>
    <s v="HRANDY"/>
    <s v="5001036615"/>
    <s v="MG10"/>
  </r>
  <r>
    <s v="CS1041TUNPBF"/>
    <s v="TUNPBF000"/>
    <s v="CS.1041"/>
    <s v="MPTF_06"/>
    <s v="Transfers &amp; Grants Counterpart"/>
    <x v="2"/>
    <s v="Social cohesion activities support - Men"/>
    <s v="CS1041TUNPBF"/>
    <s v="307910"/>
    <s v="Miscellaneous other expenses"/>
    <s v="1st payment of conducting multidisciplinary resear"/>
    <s v="1023820500"/>
    <s v="5000598897"/>
    <s v="1"/>
    <d v="2021-10-25T00:00:00"/>
    <n v="196.31"/>
    <s v="USD"/>
    <n v="196.31"/>
    <s v="USD"/>
    <n v="771854.72"/>
    <s v="MGA"/>
    <s v="99"/>
    <s v="HRANDY"/>
    <s v="5001036789"/>
    <s v="MG10"/>
  </r>
  <r>
    <s v="CS1041TUNPBF"/>
    <s v="TUNPBF000"/>
    <s v="CS.1041"/>
    <s v="MPTF_06"/>
    <s v="Transfers &amp; Grants Counterpart"/>
    <x v="6"/>
    <s v="Support to diffusion research outputs"/>
    <s v="CS1041TUNPBF"/>
    <s v="307910"/>
    <s v="Miscellaneous other expenses"/>
    <s v="1st payment of conducting multidisciplinary resear"/>
    <s v="1023820500"/>
    <s v="5000598897"/>
    <s v="2"/>
    <d v="2021-10-25T00:00:00"/>
    <n v="1353.87"/>
    <s v="USD"/>
    <n v="1353.87"/>
    <s v="USD"/>
    <n v="5323136"/>
    <s v="MGA"/>
    <s v="99"/>
    <s v="HRANDY"/>
    <s v="5001036789"/>
    <s v="MG10"/>
  </r>
  <r>
    <s v="CS1041TUNPBF"/>
    <s v="TUNPBF000"/>
    <s v="CS.1041"/>
    <s v="MPTF_06"/>
    <s v="Transfers &amp; Grants Counterpart"/>
    <x v="1"/>
    <s v="Conduct of research"/>
    <s v="CS1041TUNPBF"/>
    <s v="307910"/>
    <s v="Miscellaneous other expenses"/>
    <s v="1st payment of conducting multidisciplinary resear"/>
    <s v="1023820500"/>
    <s v="5000598897"/>
    <s v="3"/>
    <d v="2021-10-25T00:00:00"/>
    <n v="5219.16"/>
    <s v="USD"/>
    <n v="5219.16"/>
    <s v="USD"/>
    <n v="20520689.280000001"/>
    <s v="MGA"/>
    <s v="99"/>
    <s v="HRANDY"/>
    <s v="5001036789"/>
    <s v="MG10"/>
  </r>
  <r>
    <s v="CS1041TUNPBF"/>
    <s v="TUNPBF000"/>
    <s v="CS.1041"/>
    <s v="MPTF_06"/>
    <s v="Transfers &amp; Grants Counterpart"/>
    <x v="2"/>
    <s v="Social cohesion activities support - Men"/>
    <s v="CS1041TUNPBF"/>
    <s v="307910"/>
    <s v="Miscellaneous other expenses"/>
    <s v="2nd payment of conducting multidisciplinary resear"/>
    <s v="1023820500"/>
    <s v="5000598897"/>
    <s v="4"/>
    <d v="2021-10-25T00:00:00"/>
    <n v="392.62"/>
    <s v="USD"/>
    <n v="392.62"/>
    <s v="USD"/>
    <n v="1543709.44"/>
    <s v="MGA"/>
    <s v="99"/>
    <s v="HRANDY"/>
    <s v="5001036789"/>
    <s v="MG10"/>
  </r>
  <r>
    <s v="CS1041TUNPBF"/>
    <s v="TUNPBF000"/>
    <s v="CS.1041"/>
    <s v="MPTF_06"/>
    <s v="Transfers &amp; Grants Counterpart"/>
    <x v="6"/>
    <s v="Support to diffusion research outputs"/>
    <s v="CS1041TUNPBF"/>
    <s v="307910"/>
    <s v="Miscellaneous other expenses"/>
    <s v="2nd payment of conducting multidisciplinary resear"/>
    <s v="1023820500"/>
    <s v="5000598897"/>
    <s v="5"/>
    <d v="2021-10-25T00:00:00"/>
    <n v="2707.73"/>
    <s v="USD"/>
    <n v="2707.73"/>
    <s v="USD"/>
    <n v="10646272"/>
    <s v="MGA"/>
    <s v="99"/>
    <s v="HRANDY"/>
    <s v="5001036789"/>
    <s v="MG10"/>
  </r>
  <r>
    <s v="CS1041TUNPBF"/>
    <s v="TUNPBF000"/>
    <s v="CS.1041"/>
    <s v="MPTF_06"/>
    <s v="Transfers &amp; Grants Counterpart"/>
    <x v="1"/>
    <s v="Conduct of research"/>
    <s v="CS1041TUNPBF"/>
    <s v="307910"/>
    <s v="Miscellaneous other expenses"/>
    <s v="2nd payment of conducting multidisciplinary resear"/>
    <s v="1023820500"/>
    <s v="5000598897"/>
    <s v="6"/>
    <d v="2021-10-25T00:00:00"/>
    <n v="10438.32"/>
    <s v="USD"/>
    <n v="10438.32"/>
    <s v="USD"/>
    <n v="41041378.560000002"/>
    <s v="MGA"/>
    <s v="99"/>
    <s v="HRANDY"/>
    <s v="5001036789"/>
    <s v="MG10"/>
  </r>
  <r>
    <s v="CS1041TUNPBF"/>
    <s v="TUNPBF000"/>
    <s v="CS.1041"/>
    <s v="MPTF_06"/>
    <s v="Transfers &amp; Grants Counterpart"/>
    <x v="4"/>
    <s v="Implementation livelihoods programme"/>
    <s v="CS1041TUNPBF"/>
    <s v="305880"/>
    <s v="IP transfers – National CSOs"/>
    <s v=""/>
    <s v="1023820508"/>
    <s v="5000598903"/>
    <s v="1"/>
    <d v="2021-10-25T00:00:00"/>
    <n v="25433.64"/>
    <s v="USD"/>
    <n v="25433.64"/>
    <s v="USD"/>
    <n v="100000000"/>
    <s v="MGA"/>
    <s v="99"/>
    <s v="HRANDY"/>
    <s v="5001036795"/>
    <s v="MG10"/>
  </r>
  <r>
    <s v="CS1041TUNPBF"/>
    <s v="TUNPBF000"/>
    <s v="CS.1041"/>
    <s v="MPTF_06"/>
    <s v="Transfers &amp; Grants Counterpart"/>
    <x v="4"/>
    <s v="Implementation livelihoods programme"/>
    <s v="CS1041TUNPBF"/>
    <s v="305880"/>
    <s v="IP transfers – National CSOs"/>
    <s v=""/>
    <s v="1023820509"/>
    <s v="5000598904"/>
    <s v="1"/>
    <d v="2021-10-25T00:00:00"/>
    <n v="25433.64"/>
    <s v="USD"/>
    <n v="25433.64"/>
    <s v="USD"/>
    <n v="100000000"/>
    <s v="MGA"/>
    <s v="99"/>
    <s v="HRANDY"/>
    <s v="5001036796"/>
    <s v="MG10"/>
  </r>
  <r>
    <s v="CS1041TUNPBF"/>
    <s v="TUNPBF000"/>
    <s v="CS.1041"/>
    <s v="MPTF_06"/>
    <s v="Transfers &amp; Grants Counterpart"/>
    <x v="4"/>
    <s v="Implementation livelihoods programme"/>
    <s v="CS1041TUNPBF"/>
    <s v="305880"/>
    <s v="IP transfers – National CSOs"/>
    <s v=""/>
    <s v="1023820512"/>
    <s v="5000598907"/>
    <s v="1"/>
    <d v="2021-10-25T00:00:00"/>
    <n v="15260.19"/>
    <s v="USD"/>
    <n v="15260.19"/>
    <s v="USD"/>
    <n v="60000000"/>
    <s v="MGA"/>
    <s v="99"/>
    <s v="HRANDY"/>
    <s v="5001036799"/>
    <s v="MG10"/>
  </r>
  <r>
    <s v="CS1041TUNPBF"/>
    <s v="TUNPBF000"/>
    <s v="CS.1041"/>
    <s v="MPTF_06"/>
    <s v="Transfers &amp; Grants Counterpart"/>
    <x v="4"/>
    <s v="Implementation livelihoods programme"/>
    <s v="CS1041TUNPBF"/>
    <s v="305880"/>
    <s v="IP transfers – National CSOs"/>
    <s v=""/>
    <s v="1023823621"/>
    <s v="5000599247"/>
    <s v="1"/>
    <d v="2021-10-25T00:00:00"/>
    <n v="-25433.64"/>
    <s v="USD"/>
    <n v="-25433.64"/>
    <s v="USD"/>
    <n v="-100000000"/>
    <s v="MGA"/>
    <s v="99"/>
    <s v="HRANDRIANA"/>
    <s v="5001037152"/>
    <s v="MG10"/>
  </r>
  <r>
    <s v="CS1041TUNPBF"/>
    <s v="TUNPBF000"/>
    <s v="CS.1041"/>
    <s v="MPTF_06"/>
    <s v="Transfers &amp; Grants Counterpart"/>
    <x v="4"/>
    <s v="Implementation livelihoods programme"/>
    <s v="CS1041TUNPBF"/>
    <s v="305880"/>
    <s v="IP transfers – National CSOs"/>
    <s v=""/>
    <s v="1023823623"/>
    <s v="5000599248"/>
    <s v="1"/>
    <d v="2021-10-25T00:00:00"/>
    <n v="-25433.64"/>
    <s v="USD"/>
    <n v="-25433.64"/>
    <s v="USD"/>
    <n v="-100000000"/>
    <s v="MGA"/>
    <s v="99"/>
    <s v="HRANDRIANA"/>
    <s v="5001037155"/>
    <s v="MG10"/>
  </r>
  <r>
    <s v="CS1041TUNPBF"/>
    <s v="TUNPBF000"/>
    <s v="CS.1041"/>
    <s v="MPTF_06"/>
    <s v="Transfers &amp; Grants Counterpart"/>
    <x v="4"/>
    <s v="Implementation livelihoods programme"/>
    <s v="CS1041TUNPBF"/>
    <s v="305880"/>
    <s v="IP transfers – National CSOs"/>
    <s v=""/>
    <s v="1023823624"/>
    <s v="5000599249"/>
    <s v="1"/>
    <d v="2021-10-25T00:00:00"/>
    <n v="-15260.19"/>
    <s v="USD"/>
    <n v="-15260.19"/>
    <s v="USD"/>
    <n v="-60000000"/>
    <s v="MGA"/>
    <s v="99"/>
    <s v="HRANDRIANA"/>
    <s v="5001037156"/>
    <s v="MG10"/>
  </r>
  <r>
    <s v="CS1041TUNPBF"/>
    <s v="TUNPBF000"/>
    <s v="CS.1041"/>
    <s v="MPTF_06"/>
    <s v="Transfers &amp; Grants Counterpart"/>
    <x v="2"/>
    <s v="Social cohesion activities support - Men"/>
    <s v="CS1041TUNPBF"/>
    <s v="306060"/>
    <s v="Surface transportation"/>
    <s v="Rental of 3 vehicles, fuel included for IOM/Partne"/>
    <s v="1023825170"/>
    <s v="5000599437"/>
    <s v="1"/>
    <d v="2021-10-25T00:00:00"/>
    <n v="457.81"/>
    <s v="USD"/>
    <n v="457.81"/>
    <s v="USD"/>
    <n v="1800000"/>
    <s v="MGA"/>
    <s v="99"/>
    <s v="HRANDY"/>
    <s v="5001037346"/>
    <s v="MG10"/>
  </r>
  <r>
    <s v="CS1041TUNPBF"/>
    <s v="TUNPBF000"/>
    <s v="CS.1041"/>
    <s v="MPTF_06"/>
    <s v="Transfers &amp; Grants Counterpart"/>
    <x v="4"/>
    <s v="Implementation livelihoods programme"/>
    <s v="CS1041TUNPBF"/>
    <s v="180160"/>
    <s v="Beneficiary Asset Acq. 01"/>
    <s v="Payment for solar street lamps and solar kits for"/>
    <s v="1023936022"/>
    <s v="5000616138"/>
    <s v="1"/>
    <d v="2021-11-30T00:00:00"/>
    <n v="12719.94"/>
    <s v="USD"/>
    <n v="12719.94"/>
    <s v="USD"/>
    <n v="50074200"/>
    <s v="MGA"/>
    <s v="99"/>
    <s v="HRANDY"/>
    <s v="5001053974"/>
    <s v="MG10"/>
  </r>
  <r>
    <s v="CS1041TUNPBF"/>
    <s v="TUNPBF000"/>
    <s v="CS.1041"/>
    <s v="MPTF_06"/>
    <s v="Transfers &amp; Grants Counterpart"/>
    <x v="5"/>
    <s v="Capacity buildings for women comitees -"/>
    <s v="CS1041TUNPBF"/>
    <s v="305880"/>
    <s v="IP transfers – National CSOs"/>
    <s v="Last installment after approval of final narrative"/>
    <s v="1023936356"/>
    <s v="5000616168"/>
    <s v="1"/>
    <d v="2021-11-30T00:00:00"/>
    <n v="6999.42"/>
    <s v="USD"/>
    <n v="6999.42"/>
    <s v="USD"/>
    <n v="27554400"/>
    <s v="MGA"/>
    <s v="99"/>
    <s v="HRANDY"/>
    <s v="5001054000"/>
    <s v="MG10"/>
  </r>
  <r>
    <s v="CS1041TUNPBF"/>
    <s v="TUNPBF000"/>
    <s v="CS.1041"/>
    <s v="MPTF_06"/>
    <s v="Transfers &amp; Grants Counterpart"/>
    <x v="2"/>
    <s v="Social cohesion activities support - Men"/>
    <s v="CS1041TUNPBF"/>
    <s v="305880"/>
    <s v="IP transfers – National CSOs"/>
    <s v="Funds transfert to IP Association Hasoa to support"/>
    <s v="1023936371"/>
    <s v="5000616187"/>
    <s v="1"/>
    <d v="2021-11-30T00:00:00"/>
    <n v="1723.28"/>
    <s v="USD"/>
    <n v="1723.28"/>
    <s v="USD"/>
    <n v="6784000"/>
    <s v="MGA"/>
    <s v="99"/>
    <s v="HRANDY"/>
    <s v="5001054020"/>
    <s v="MG10"/>
  </r>
  <r>
    <s v="CS1041TUNPBF"/>
    <s v="TUNPBF000"/>
    <s v="CS.1041"/>
    <s v="MPTF_06"/>
    <s v="Transfers &amp; Grants Counterpart"/>
    <x v="2"/>
    <s v="Social cohesion activities support - Men"/>
    <s v="CS1041TUNPBF"/>
    <s v="305880"/>
    <s v="IP transfers – National CSOs"/>
    <s v="1st payment, 15 days after signature of contract"/>
    <s v="1023942940"/>
    <s v="5000617337"/>
    <s v="1"/>
    <d v="2021-11-30T00:00:00"/>
    <n v="8325.26"/>
    <s v="USD"/>
    <n v="8325.26"/>
    <s v="USD"/>
    <n v="32773800"/>
    <s v="MGA"/>
    <s v="99"/>
    <s v="HRANDY"/>
    <s v="5001055170"/>
    <s v="MG10"/>
  </r>
  <r>
    <s v="CS1041TUNPBF"/>
    <s v="TUNPBF000"/>
    <s v="CS.1041"/>
    <s v="MPTF_06"/>
    <s v="Transfers &amp; Grants Counterpart"/>
    <x v="2"/>
    <s v="Social cohesion activities support - Men"/>
    <s v="CS1041TUNPBF"/>
    <s v="305880"/>
    <s v="IP transfers – National CSOs"/>
    <s v="2nd payment, due after approbation of the 1st repo"/>
    <s v="1023942940"/>
    <s v="5000617337"/>
    <s v="2"/>
    <d v="2021-11-30T00:00:00"/>
    <n v="15262.98"/>
    <s v="USD"/>
    <n v="15262.98"/>
    <s v="USD"/>
    <n v="60085300"/>
    <s v="MGA"/>
    <s v="99"/>
    <s v="HRANDY"/>
    <s v="5001055170"/>
    <s v="MG10"/>
  </r>
  <r>
    <s v="CS1041TUNPBF"/>
    <s v="TUNPBF000"/>
    <s v="CS.1041"/>
    <s v="MPTF_06"/>
    <s v="Transfers &amp; Grants Counterpart"/>
    <x v="2"/>
    <s v="Social cohesion activities support - Men"/>
    <s v="CS1041TUNPBF"/>
    <s v="307910"/>
    <s v="Miscellaneous other expenses"/>
    <s v="3rd payment of conducting multidisciplinary resear"/>
    <s v="1024094165"/>
    <s v="5000634976"/>
    <s v="1"/>
    <d v="2021-12-21T00:00:00"/>
    <n v="247.39"/>
    <s v="USD"/>
    <n v="247.39"/>
    <s v="USD"/>
    <n v="980105.32"/>
    <s v="MGA"/>
    <s v="99"/>
    <s v="HRANDY"/>
    <s v="5001072814"/>
    <s v="MG10"/>
  </r>
  <r>
    <s v="CS1041TUNPBF"/>
    <s v="TUNPBF000"/>
    <s v="CS.1041"/>
    <s v="MPTF_06"/>
    <s v="Transfers &amp; Grants Counterpart"/>
    <x v="6"/>
    <s v="Support to diffusion research outputs"/>
    <s v="CS1041TUNPBF"/>
    <s v="307910"/>
    <s v="Miscellaneous other expenses"/>
    <s v="3rd payment of conducting multidisciplinary resear"/>
    <s v="1024094165"/>
    <s v="5000634976"/>
    <s v="2"/>
    <d v="2021-12-21T00:00:00"/>
    <n v="1706.15"/>
    <s v="USD"/>
    <n v="1706.15"/>
    <s v="USD"/>
    <n v="6759347"/>
    <s v="MGA"/>
    <s v="99"/>
    <s v="HRANDY"/>
    <s v="5001072814"/>
    <s v="MG10"/>
  </r>
  <r>
    <s v="CS1041TUNPBF"/>
    <s v="TUNPBF000"/>
    <s v="CS.1041"/>
    <s v="MPTF_06"/>
    <s v="Transfers &amp; Grants Counterpart"/>
    <x v="1"/>
    <s v="Conduct of research"/>
    <s v="CS1041TUNPBF"/>
    <s v="307910"/>
    <s v="Miscellaneous other expenses"/>
    <s v="3rd payment of conducting multidisciplinary resear"/>
    <s v="1024094165"/>
    <s v="5000634976"/>
    <s v="3"/>
    <d v="2021-12-21T00:00:00"/>
    <n v="6577.22"/>
    <s v="USD"/>
    <n v="6577.22"/>
    <s v="USD"/>
    <n v="26057282.68"/>
    <s v="MGA"/>
    <s v="99"/>
    <s v="HRANDY"/>
    <s v="5001072814"/>
    <s v="MG10"/>
  </r>
  <r>
    <s v="CS1041TUNPBF"/>
    <s v="TUNPBF000"/>
    <s v="CS.1041"/>
    <s v="MPTF_06"/>
    <s v="Transfers &amp; Grants Counterpart"/>
    <x v="0"/>
    <s v="Setting up Obersvatory - Transfer IP"/>
    <s v="CS1041TUNPBF"/>
    <s v="307910"/>
    <s v="Miscellaneous other expenses"/>
    <s v="IOM/CNRE website creation service attached to the"/>
    <s v="1024095043"/>
    <s v="5000635101"/>
    <s v="1"/>
    <d v="2021-12-21T00:00:00"/>
    <n v="981.89"/>
    <s v="USD"/>
    <n v="981.89"/>
    <s v="USD"/>
    <n v="3890000"/>
    <s v="MGA"/>
    <s v="99"/>
    <s v="HRANDY"/>
    <s v="5001072927"/>
    <s v="MG10"/>
  </r>
  <r>
    <s v="CS1041TUNPBF"/>
    <s v="TUNPBF000"/>
    <s v="CS.1041"/>
    <s v="MPTF_06"/>
    <s v="Transfers &amp; Grants Counterpart"/>
    <x v="1"/>
    <s v="Conduct of research"/>
    <s v="CS1041TUNPBF"/>
    <s v="305890"/>
    <s v="IP transfers – National Gov Entities"/>
    <s v="MISE EN PLACE D'UN &quot; OBSERVATOIRE DES MIGRATIONS I"/>
    <s v="1024095088"/>
    <s v="5000635103"/>
    <s v="1"/>
    <d v="2021-12-21T00:00:00"/>
    <n v="3786.21"/>
    <s v="USD"/>
    <n v="3786.21"/>
    <s v="USD"/>
    <n v="15000000"/>
    <s v="MGA"/>
    <s v="99"/>
    <s v="HRANDY"/>
    <s v="5001072942"/>
    <s v="MG10"/>
  </r>
  <r>
    <s v="CS1041TUNPBF"/>
    <s v="TUNPBF000"/>
    <s v="CS.1041"/>
    <s v="MPTF_06"/>
    <s v="Transfers &amp; Grants Counterpart"/>
    <x v="1"/>
    <s v="Conduct of research"/>
    <s v="CS1041TUNPBF"/>
    <s v="305890"/>
    <s v="IP transfers – National Gov Entities"/>
    <s v="MISE EN PLACE D'UN &quot; OBSERVATOIRE DES MIGRATIONS I"/>
    <s v="1024095088"/>
    <s v="5000635103"/>
    <s v="2"/>
    <d v="2021-12-21T00:00:00"/>
    <n v="4038.62"/>
    <s v="USD"/>
    <n v="4038.62"/>
    <s v="USD"/>
    <n v="16000000"/>
    <s v="MGA"/>
    <s v="99"/>
    <s v="HRANDY"/>
    <s v="5001072942"/>
    <s v="MG10"/>
  </r>
  <r>
    <s v="CS1041TUNPBF"/>
    <s v="TUNPBF000"/>
    <s v="CS.1041"/>
    <s v="MPTF_06"/>
    <s v="Transfers &amp; Grants Counterpart"/>
    <x v="1"/>
    <s v="Conduct of research"/>
    <s v="CS1041TUNPBF"/>
    <s v="305890"/>
    <s v="IP transfers – National Gov Entities"/>
    <s v="MISE EN PLACE D'UN &quot; OBSERVATOIRE DES MIGRATIONS I"/>
    <s v="1024095088"/>
    <s v="5000635103"/>
    <s v="3"/>
    <d v="2021-12-21T00:00:00"/>
    <n v="2625.1"/>
    <s v="USD"/>
    <n v="2625.1"/>
    <s v="USD"/>
    <n v="10400000"/>
    <s v="MGA"/>
    <s v="99"/>
    <s v="HRANDY"/>
    <s v="5001072942"/>
    <s v="MG10"/>
  </r>
  <r>
    <s v="CS1041TUNPBF"/>
    <s v="TUNPBF000"/>
    <s v="CS.1041"/>
    <s v="MPTF_06"/>
    <s v="Transfers &amp; Grants Counterpart"/>
    <x v="0"/>
    <s v="Setting up Obersvatory - Transfer IP"/>
    <s v="CS1041TUNPBF"/>
    <s v="305890"/>
    <s v="IP transfers – National Gov Entities"/>
    <s v="MISE EN PLACE D'UN &quot; OBSERVATOIRE DES MIGRATIONS I"/>
    <s v="1024095088"/>
    <s v="5000635103"/>
    <s v="4"/>
    <d v="2021-12-21T00:00:00"/>
    <n v="949.08"/>
    <s v="USD"/>
    <n v="949.08"/>
    <s v="USD"/>
    <n v="3760000"/>
    <s v="MGA"/>
    <s v="99"/>
    <s v="HRANDY"/>
    <s v="5001072942"/>
    <s v="MG10"/>
  </r>
  <r>
    <s v="CS1041TUNPBF"/>
    <s v="TUNPBF000"/>
    <s v="CS.1041"/>
    <s v="MPTF_06"/>
    <s v="Transfers &amp; Grants Counterpart"/>
    <x v="2"/>
    <s v="Social cohesion activities support - Men"/>
    <s v="CS1041TUNPBF"/>
    <s v="305880"/>
    <s v="IP transfers – National CSOs"/>
    <s v="3rd and last payment, due after approbation of the"/>
    <s v="1024102595"/>
    <s v="5000636365"/>
    <s v="1"/>
    <d v="2021-12-22T00:00:00"/>
    <n v="4136.28"/>
    <s v="USD"/>
    <n v="4136.28"/>
    <s v="USD"/>
    <n v="16386900"/>
    <s v="MGA"/>
    <s v="99"/>
    <s v="HRANDY"/>
    <s v="5001074175"/>
    <s v="MG10"/>
  </r>
  <r>
    <s v="CS1041TUNPBF"/>
    <s v="TUNPBF000"/>
    <s v="CS.1041"/>
    <s v="MPTF_06"/>
    <s v="Transfers &amp; Grants Counterpart"/>
    <x v="4"/>
    <s v="Implementation livelihoods programme"/>
    <s v="CS1041TUNPBF"/>
    <s v="305880"/>
    <s v="IP transfers – National CSOs"/>
    <s v=""/>
    <s v="1024102651"/>
    <s v="5000636390"/>
    <s v="1"/>
    <d v="2021-12-22T00:00:00"/>
    <n v="37862.06"/>
    <s v="USD"/>
    <n v="37862.06"/>
    <s v="USD"/>
    <n v="150000000"/>
    <s v="MGA"/>
    <s v="99"/>
    <s v="HRANDY"/>
    <s v="5001074199"/>
    <s v="MG10"/>
  </r>
  <r>
    <s v="CS1041TUNPBF"/>
    <s v="TUNPBF000"/>
    <s v="CS.1041"/>
    <s v="MPTF_06"/>
    <s v="Transfers &amp; Grants Counterpart"/>
    <x v="4"/>
    <s v="Implementation livelihoods programme"/>
    <s v="CS1041TUNPBF"/>
    <s v="305880"/>
    <s v="IP transfers – National CSOs"/>
    <s v=""/>
    <s v="1024102651"/>
    <s v="5000636390"/>
    <s v="2"/>
    <d v="2021-12-22T00:00:00"/>
    <n v="25241.37"/>
    <s v="USD"/>
    <n v="25241.37"/>
    <s v="USD"/>
    <n v="100000000"/>
    <s v="MGA"/>
    <s v="99"/>
    <s v="HRANDY"/>
    <s v="5001074199"/>
    <s v="MG10"/>
  </r>
  <r>
    <s v="CS1041TUNPBF"/>
    <s v="TUNPBF000"/>
    <s v="CS.1041"/>
    <s v="MPTF_06"/>
    <s v="Transfers &amp; Grants Counterpart"/>
    <x v="4"/>
    <s v="Implementation livelihoods programme"/>
    <s v="CS1041TUNPBF"/>
    <s v="305880"/>
    <s v="IP transfers – National CSOs"/>
    <s v=""/>
    <s v="1024102651"/>
    <s v="5000636390"/>
    <s v="3"/>
    <d v="2021-12-22T00:00:00"/>
    <n v="25241.37"/>
    <s v="USD"/>
    <n v="25241.37"/>
    <s v="USD"/>
    <n v="100000000"/>
    <s v="MGA"/>
    <s v="99"/>
    <s v="HRANDY"/>
    <s v="5001074199"/>
    <s v="MG10"/>
  </r>
  <r>
    <s v="CS1041TUNPBF"/>
    <s v="TUNPBF000"/>
    <s v="CS.1041"/>
    <s v="MPTF_06"/>
    <s v="Transfers &amp; Grants Counterpart"/>
    <x v="4"/>
    <s v="Implementation livelihoods programme"/>
    <s v="CS1041TUNPBF"/>
    <s v="305880"/>
    <s v="IP transfers – National CSOs"/>
    <s v=""/>
    <s v="1024102651"/>
    <s v="5000636390"/>
    <s v="4"/>
    <d v="2021-12-22T00:00:00"/>
    <n v="15144.82"/>
    <s v="USD"/>
    <n v="15144.82"/>
    <s v="USD"/>
    <n v="60000000"/>
    <s v="MGA"/>
    <s v="99"/>
    <s v="HRANDY"/>
    <s v="5001074199"/>
    <s v="MG10"/>
  </r>
  <r>
    <s v="CS1041TUNPBF"/>
    <s v="TUNPBF000"/>
    <s v="CS.1041"/>
    <s v="MPTF_06"/>
    <s v="Transfers &amp; Grants Counterpart"/>
    <x v="4"/>
    <s v="Implementation livelihoods programme"/>
    <s v="CS1041TUNPBF"/>
    <s v="305880"/>
    <s v="IP transfers – National CSOs"/>
    <s v=""/>
    <s v="1024102651"/>
    <s v="5000636390"/>
    <s v="5"/>
    <d v="2021-12-22T00:00:00"/>
    <n v="10096.549999999999"/>
    <s v="USD"/>
    <n v="10096.549999999999"/>
    <s v="USD"/>
    <n v="40000000"/>
    <s v="MGA"/>
    <s v="99"/>
    <s v="HRANDY"/>
    <s v="5001074199"/>
    <s v="MG10"/>
  </r>
  <r>
    <s v="CS1041TUNPBF"/>
    <s v="TUNPBF000"/>
    <s v="CS.1041"/>
    <s v="MPTF_06"/>
    <s v="Transfers &amp; Grants Counterpart"/>
    <x v="1"/>
    <s v="Conduct of research"/>
    <s v="CS1041TUNPBF"/>
    <s v="306060"/>
    <s v="Surface transportation"/>
    <s v="Vehicle rental for 28 days from Tanà to Menabe reg"/>
    <s v="1024115051"/>
    <s v="5000638561"/>
    <s v="1"/>
    <d v="2021-12-26T00:00:00"/>
    <n v="1130.81"/>
    <s v="USD"/>
    <n v="1130.81"/>
    <s v="USD"/>
    <n v="4480000"/>
    <s v="MGA"/>
    <s v="99"/>
    <s v="HRANDY"/>
    <s v="5001076346"/>
    <s v="MG10"/>
  </r>
  <r>
    <s v="CS1041TUNPBF"/>
    <s v="TUNPBF000"/>
    <s v="CS.1041"/>
    <s v="MPTF_06"/>
    <s v="Transfers &amp; Grants Counterpart"/>
    <x v="1"/>
    <s v="Conduct of research"/>
    <s v="CS1041TUNPBF"/>
    <s v="306060"/>
    <s v="Surface transportation"/>
    <s v="Vehicle rental for 32 days from Tanà to in Androy"/>
    <s v="1024115051"/>
    <s v="5000638561"/>
    <s v="2"/>
    <d v="2021-12-26T00:00:00"/>
    <n v="1292.3599999999999"/>
    <s v="USD"/>
    <n v="1292.3599999999999"/>
    <s v="USD"/>
    <n v="5120000"/>
    <s v="MGA"/>
    <s v="99"/>
    <s v="HRANDY"/>
    <s v="5001076346"/>
    <s v="MG10"/>
  </r>
  <r>
    <s v="CS1041TUNPBF"/>
    <s v="TUNPBF000"/>
    <s v="CS.1041"/>
    <s v="MPTF_06"/>
    <s v="Transfers &amp; Grants Counterpart"/>
    <x v="2"/>
    <s v="Social cohesion activities support - Men"/>
    <s v="CS1041TUNPBF"/>
    <s v="306060"/>
    <s v="Surface transportation"/>
    <s v="Vehicle rental-fuel included, transfer of NOA form"/>
    <s v="1024125405"/>
    <s v="5000640191"/>
    <s v="1"/>
    <d v="2021-12-28T00:00:00"/>
    <n v="807.72"/>
    <s v="USD"/>
    <n v="807.72"/>
    <s v="USD"/>
    <n v="3200000"/>
    <s v="MGA"/>
    <s v="99"/>
    <s v="HRANDY"/>
    <s v="5001077958"/>
    <s v="MG10"/>
  </r>
  <r>
    <s v="CS1041TUNPBF"/>
    <s v="TUNPBF000"/>
    <s v="CS.1041"/>
    <s v="MPTF_06"/>
    <s v="Transfers &amp; Grants Counterpart"/>
    <x v="5"/>
    <s v="Capacity buildings for women comitees -"/>
    <s v="CS1041TUNPBF"/>
    <s v="305880"/>
    <s v="IP transfers – National CSOs"/>
    <s v="3RD INSTALMENT 3/4"/>
    <s v="1024131457"/>
    <s v="5000641287"/>
    <s v="1"/>
    <d v="2021-12-29T00:00:00"/>
    <n v="4208.8500000000004"/>
    <s v="USD"/>
    <n v="4208.8500000000004"/>
    <s v="USD"/>
    <n v="16674400"/>
    <s v="MGA"/>
    <s v="99"/>
    <s v="HRANDY"/>
    <s v="5001079056"/>
    <s v="MG10"/>
  </r>
  <r>
    <s v="CS1041TUNPBF"/>
    <s v="TUNPBF000"/>
    <s v="CS.1041"/>
    <s v="MPTF_06"/>
    <s v="Transfers &amp; Grants Counterpart"/>
    <x v="3"/>
    <s v="Mentoring sessions women comitees - Mena"/>
    <s v="CS1041TUNPBF"/>
    <s v="305880"/>
    <s v="IP transfers – National CSOs"/>
    <s v="3RD INSTALMENT 3/4"/>
    <s v="1024131457"/>
    <s v="5000641287"/>
    <s v="2"/>
    <d v="2021-12-29T00:00:00"/>
    <n v="2606.3200000000002"/>
    <s v="USD"/>
    <n v="2606.3200000000002"/>
    <s v="USD"/>
    <n v="10325600"/>
    <s v="MGA"/>
    <s v="99"/>
    <s v="HRANDY"/>
    <s v="5001079056"/>
    <s v="MG10"/>
  </r>
  <r>
    <s v="CS1041TUNPBF"/>
    <s v="TUNPBF000"/>
    <s v="CS.1041"/>
    <s v="MPTF_06"/>
    <s v="Transfers &amp; Grants Counterpart"/>
    <x v="3"/>
    <s v="Mentoring sessions women comitees - Mena"/>
    <s v="CS1041TUNPBF"/>
    <s v="305880"/>
    <s v="IP transfers – National CSOs"/>
    <s v="4TH INSTALMENT 4/6"/>
    <s v="1024131457"/>
    <s v="5000641287"/>
    <s v="3"/>
    <d v="2021-12-29T00:00:00"/>
    <n v="6815.17"/>
    <s v="USD"/>
    <n v="6815.17"/>
    <s v="USD"/>
    <n v="27000000"/>
    <s v="MGA"/>
    <s v="99"/>
    <s v="HRANDY"/>
    <s v="5001079056"/>
    <s v="MG10"/>
  </r>
  <r>
    <s v="CS1041TUNPBF"/>
    <s v="TUNPBF000"/>
    <s v="CS.1041"/>
    <s v="MPTF_06"/>
    <s v="Transfers &amp; Grants Counterpart"/>
    <x v="2"/>
    <s v="Social cohesion activities support - Men"/>
    <s v="CS1041TUNPBF"/>
    <s v="305880"/>
    <s v="IP transfers – National CSOs"/>
    <s v="Funds transfert to IP Association Hasoa to support"/>
    <s v="1024133168"/>
    <s v="5000641419"/>
    <s v="1"/>
    <d v="2021-12-29T00:00:00"/>
    <n v="3281.38"/>
    <s v="USD"/>
    <n v="3281.38"/>
    <s v="USD"/>
    <n v="13000000"/>
    <s v="MGA"/>
    <s v="99"/>
    <s v="HRANDY"/>
    <s v="5001079246"/>
    <s v="MG10"/>
  </r>
  <r>
    <s v="CS1041TUNPBF"/>
    <s v="TUNPBF000"/>
    <s v="CS.1041"/>
    <s v="MPTF_06"/>
    <s v="Transfers &amp; Grants Counterpart"/>
    <x v="2"/>
    <s v="Social cohesion activities support - Men"/>
    <s v="CS1041TUNPBF"/>
    <s v="305880"/>
    <s v="IP transfers – National CSOs"/>
    <s v="Funds transfert to IP Association Hasoa to support"/>
    <s v="1024133168"/>
    <s v="5000641419"/>
    <s v="2"/>
    <d v="2021-12-29T00:00:00"/>
    <n v="5048.2700000000004"/>
    <s v="USD"/>
    <n v="5048.2700000000004"/>
    <s v="USD"/>
    <n v="20000000"/>
    <s v="MGA"/>
    <s v="99"/>
    <s v="HRANDY"/>
    <s v="5001079246"/>
    <s v="MG10"/>
  </r>
  <r>
    <s v="CS1041TUNPBF"/>
    <s v="TUNPBF000"/>
    <s v="CS.1041"/>
    <s v="MPTF_06"/>
    <s v="Transfers &amp; Grants Counterpart"/>
    <x v="1"/>
    <s v="Conduct of research"/>
    <s v="CS1041TUNPBF"/>
    <s v="307910"/>
    <s v="Miscellaneous other expenses"/>
    <s v="Rental of 18 tablets for 32 days for surveys in Me"/>
    <s v="1024174580"/>
    <s v="5000647797"/>
    <s v="1"/>
    <d v="2021-12-31T00:00:00"/>
    <n v="552.48"/>
    <s v="USD"/>
    <n v="552.48"/>
    <s v="USD"/>
    <n v="2188800"/>
    <s v="MGA"/>
    <s v="99"/>
    <s v="HRANDY"/>
    <s v="5001085580"/>
    <s v="MG10"/>
  </r>
  <r>
    <s v="CS1041TUNPBF"/>
    <s v="TUNPBF000"/>
    <s v="CS.1041"/>
    <s v="MPTF_06"/>
    <s v="Transfers &amp; Grants Counterpart"/>
    <x v="1"/>
    <s v="Conduct of research"/>
    <s v="CS1041TUNPBF"/>
    <s v="307910"/>
    <s v="Miscellaneous other expenses"/>
    <s v="Rental of 18 tablets for 36 days for surveys in An"/>
    <s v="1024174598"/>
    <s v="5000647799"/>
    <s v="1"/>
    <d v="2021-12-31T00:00:00"/>
    <n v="621.54"/>
    <s v="USD"/>
    <n v="621.54"/>
    <s v="USD"/>
    <n v="2462400"/>
    <s v="MGA"/>
    <s v="99"/>
    <s v="HRANDY"/>
    <s v="5001085588"/>
    <s v="MG10"/>
  </r>
  <r>
    <s v="CS1041TUNPBF"/>
    <s v="TUNPBF000"/>
    <s v="CS.1041"/>
    <s v="MPTF_06"/>
    <s v="Transfers &amp; Grants Counterpart"/>
    <x v="2"/>
    <s v="Social cohesion activities support - Men"/>
    <s v="CS1041TUNPBF"/>
    <s v="306060"/>
    <s v="Surface transportation"/>
    <s v="Rental of two vehicles, fuel included for OIM/Part"/>
    <s v="1024407214"/>
    <s v="5000660354"/>
    <s v="1"/>
    <d v="2022-02-01T00:00:00"/>
    <n v="150.91"/>
    <s v="USD"/>
    <n v="150.91"/>
    <s v="USD"/>
    <n v="600000"/>
    <s v="MGA"/>
    <s v="99"/>
    <s v="HRANDY"/>
    <s v="5001098105"/>
    <s v="MG10"/>
  </r>
  <r>
    <s v="CS1041TUNPBF"/>
    <s v="TUNPBF000"/>
    <s v="CS.1041"/>
    <s v="MPTF_06"/>
    <s v="Transfers &amp; Grants Counterpart"/>
    <x v="2"/>
    <s v="Social cohesion activities support - Men"/>
    <s v="CS1041TUNPBF"/>
    <s v="306060"/>
    <s v="Surface transportation"/>
    <s v="Vehicle rental with fuel included, for IOM Mission"/>
    <s v="1024409239"/>
    <s v="5000660551"/>
    <s v="1"/>
    <d v="2022-02-01T00:00:00"/>
    <n v="452.72"/>
    <s v="USD"/>
    <n v="452.72"/>
    <s v="USD"/>
    <n v="1800000"/>
    <s v="MGA"/>
    <s v="99"/>
    <s v="HRANDY"/>
    <s v="5001098253"/>
    <s v="MG10"/>
  </r>
  <r>
    <s v="CS1041TUNPBF"/>
    <s v="TUNPBF000"/>
    <s v="CS.1041"/>
    <s v="MPTF_06"/>
    <s v="Transfers &amp; Grants Counterpart"/>
    <x v="0"/>
    <s v="Setting up Obersvatory - Transfer IP"/>
    <s v="CS1041TUNPBF"/>
    <s v="307910"/>
    <s v="Miscellaneous other expenses"/>
    <s v="Impression de 2 roll ups pour l'Observatoire des m"/>
    <s v="1022049779"/>
    <s v="5200000669"/>
    <s v="1"/>
    <d v="2021-01-11T00:00:00"/>
    <n v="-46.18"/>
    <s v="USD"/>
    <n v="-46.18"/>
    <s v="USD"/>
    <n v="-175000"/>
    <s v="MGA"/>
    <s v="99"/>
    <s v="HRANDRIANA"/>
    <s v="5200000669"/>
    <s v="MG10"/>
  </r>
  <r>
    <s v="CS1041TUNPBF"/>
    <s v="TUNPBF000"/>
    <s v="CS.1041"/>
    <s v="MPTF_06"/>
    <s v="Transfers &amp; Grants Counterpart"/>
    <x v="2"/>
    <s v="Social cohesion activities support - Men"/>
    <s v="CS1041TUNPBF"/>
    <s v="306630"/>
    <s v="Non food items (e.g clothing, kits)"/>
    <s v="Red polo shirts &quot;Komitim-behivavy&quot; with logos of I"/>
    <s v="1022734804"/>
    <s v="5200049035"/>
    <s v="1"/>
    <d v="2021-04-28T00:00:00"/>
    <n v="-11.13"/>
    <s v="USD"/>
    <n v="-11.13"/>
    <s v="USD"/>
    <n v="-42170.85"/>
    <s v="MGA"/>
    <s v="99"/>
    <s v="HRANDRIANA"/>
    <s v="5200049035"/>
    <s v="MG10"/>
  </r>
  <r>
    <s v="CS1041TUNPBF"/>
    <s v="TUNPBF000"/>
    <s v="CS.1041"/>
    <s v="MPTF_06"/>
    <s v="Transfers &amp; Grants Counterpart"/>
    <x v="2"/>
    <s v="Social cohesion activities support - Men"/>
    <s v="CS1041TUNPBF"/>
    <s v="305880"/>
    <s v="IP transfers – National CSOs"/>
    <s v="REALISATION DES ACTIVITES DE REBOISEMENT DANS L'AP"/>
    <s v="1023070973"/>
    <s v="5200075661"/>
    <s v="3"/>
    <d v="2021-06-25T00:00:00"/>
    <n v="-26.71"/>
    <s v="USD"/>
    <n v="-26.71"/>
    <s v="USD"/>
    <n v="-100000"/>
    <s v="MGA"/>
    <s v="99"/>
    <s v="HRANDRIANA"/>
    <s v="5200075661"/>
    <s v="MG10"/>
  </r>
  <r>
    <s v="CS1041TUNPBF"/>
    <s v="TUNPBF000"/>
    <s v="CS.1041"/>
    <s v="MPTF_06"/>
    <s v="Transfers &amp; Grants Counterpart"/>
    <x v="4"/>
    <s v="Implementation livelihoods programme"/>
    <s v="CS1041TUNPBF"/>
    <s v="305740"/>
    <s v="Other services"/>
    <s v="LAST PMT HASOA"/>
    <s v="1023936390"/>
    <s v="5200158309"/>
    <s v="2"/>
    <d v="2021-11-30T00:00:00"/>
    <n v="-551.35"/>
    <s v="USD"/>
    <n v="-551.35"/>
    <s v="USD"/>
    <n v="-2170488"/>
    <s v="MGA"/>
    <s v="99"/>
    <s v="HRANDY"/>
    <s v="5200158309"/>
    <s v="MG10"/>
  </r>
  <r>
    <s v="CS1041TUNPBF"/>
    <s v="TUNPBF000"/>
    <s v="CS.1041"/>
    <s v="MPTF_06"/>
    <s v="Transfers &amp; Grants Counterpart"/>
    <x v="4"/>
    <s v="Implementation livelihoods programme"/>
    <s v="CS1041TUNPBF"/>
    <s v="305740"/>
    <s v="Other services"/>
    <s v="diffrence of payment"/>
    <s v="1024102683"/>
    <s v="5200173519"/>
    <s v="2"/>
    <d v="2021-12-22T00:00:00"/>
    <n v="-8205.81"/>
    <s v="USD"/>
    <n v="-8205.81"/>
    <s v="USD"/>
    <n v="-32509383"/>
    <s v="MGA"/>
    <s v="99"/>
    <s v="HRANDY"/>
    <s v="5200173519"/>
    <s v="MG10"/>
  </r>
  <r>
    <s v="CS1041TUNPBF"/>
    <s v="TUNPBF000"/>
    <s v="CS.1041"/>
    <s v="MPTF_06"/>
    <s v="Transfers &amp; Grants Counterpart"/>
    <x v="1"/>
    <s v="Conduct of research"/>
    <s v="CS1041TUNPBF"/>
    <s v="303220"/>
    <s v="Vehicle running costs (fuel, oil)"/>
    <s v="FUEL"/>
    <s v="1024115052"/>
    <s v="5200175160"/>
    <s v="3"/>
    <d v="2021-12-26T00:00:00"/>
    <n v="937.46"/>
    <s v="USD"/>
    <n v="937.46"/>
    <s v="USD"/>
    <n v="3714000"/>
    <s v="MGA"/>
    <s v="99"/>
    <s v="HRANDY"/>
    <s v="5200175160"/>
    <s v="MG10"/>
  </r>
  <r>
    <s v="CS1041TUNPBF"/>
    <s v="TUNPBF000"/>
    <s v="CS.1041"/>
    <s v="MPTF_06"/>
    <s v="Transfers &amp; Grants Counterpart"/>
    <x v="1"/>
    <s v="Conduct of research"/>
    <s v="CS1041TUNPBF"/>
    <s v="303320"/>
    <s v="Furniture &amp; Equipment Rental"/>
    <s v="Rental of 18 tablets"/>
    <s v="1024174611"/>
    <s v="5200181673"/>
    <s v="3"/>
    <d v="2021-12-31T00:00:00"/>
    <n v="-414.36"/>
    <s v="USD"/>
    <n v="-414.36"/>
    <s v="USD"/>
    <n v="-1641600"/>
    <s v="MGA"/>
    <s v="99"/>
    <s v="HRANDY"/>
    <s v="5200181673"/>
    <s v="MG10"/>
  </r>
  <r>
    <m/>
    <m/>
    <m/>
    <m/>
    <m/>
    <x v="0"/>
    <m/>
    <m/>
    <m/>
    <m/>
    <m/>
    <m/>
    <m/>
    <m/>
    <m/>
    <m/>
    <m/>
    <n v="9595.81"/>
    <m/>
    <m/>
    <m/>
    <m/>
    <m/>
    <m/>
    <m/>
  </r>
  <r>
    <m/>
    <m/>
    <m/>
    <m/>
    <m/>
    <x v="7"/>
    <m/>
    <m/>
    <m/>
    <m/>
    <m/>
    <m/>
    <m/>
    <m/>
    <m/>
    <m/>
    <m/>
    <n v="4903.26"/>
    <m/>
    <m/>
    <m/>
    <m/>
    <m/>
    <m/>
    <m/>
  </r>
  <r>
    <m/>
    <m/>
    <m/>
    <m/>
    <m/>
    <x v="5"/>
    <m/>
    <m/>
    <m/>
    <m/>
    <m/>
    <m/>
    <m/>
    <m/>
    <m/>
    <m/>
    <m/>
    <n v="2086.6"/>
    <m/>
    <m/>
    <m/>
    <m/>
    <m/>
    <m/>
    <m/>
  </r>
  <r>
    <m/>
    <m/>
    <m/>
    <m/>
    <m/>
    <x v="2"/>
    <m/>
    <m/>
    <m/>
    <m/>
    <m/>
    <m/>
    <m/>
    <m/>
    <m/>
    <m/>
    <m/>
    <n v="7617.5"/>
    <m/>
    <m/>
    <m/>
    <m/>
    <m/>
    <m/>
    <m/>
  </r>
  <r>
    <m/>
    <m/>
    <m/>
    <m/>
    <m/>
    <x v="4"/>
    <m/>
    <m/>
    <m/>
    <m/>
    <m/>
    <m/>
    <m/>
    <m/>
    <m/>
    <n v="12719.94"/>
    <m/>
    <n v="-12719.94"/>
    <m/>
    <m/>
    <m/>
    <m/>
    <m/>
    <m/>
    <m/>
  </r>
  <r>
    <m/>
    <m/>
    <m/>
    <m/>
    <m/>
    <x v="4"/>
    <m/>
    <m/>
    <m/>
    <m/>
    <m/>
    <m/>
    <m/>
    <m/>
    <m/>
    <n v="121.16"/>
    <m/>
    <n v="-121.16"/>
    <m/>
    <m/>
    <m/>
    <m/>
    <m/>
    <m/>
    <m/>
  </r>
  <r>
    <m/>
    <m/>
    <m/>
    <m/>
    <m/>
    <x v="4"/>
    <m/>
    <m/>
    <m/>
    <m/>
    <m/>
    <m/>
    <m/>
    <m/>
    <m/>
    <n v="333.19"/>
    <m/>
    <n v="-333.19"/>
    <m/>
    <m/>
    <m/>
    <m/>
    <m/>
    <m/>
    <m/>
  </r>
  <r>
    <m/>
    <m/>
    <m/>
    <m/>
    <m/>
    <x v="4"/>
    <m/>
    <m/>
    <m/>
    <m/>
    <m/>
    <m/>
    <m/>
    <m/>
    <m/>
    <n v="320.45999999999998"/>
    <m/>
    <n v="-320.45999999999998"/>
    <m/>
    <m/>
    <m/>
    <m/>
    <m/>
    <m/>
    <m/>
  </r>
  <r>
    <m/>
    <m/>
    <m/>
    <m/>
    <m/>
    <x v="4"/>
    <m/>
    <m/>
    <m/>
    <m/>
    <m/>
    <m/>
    <m/>
    <m/>
    <m/>
    <n v="172.5"/>
    <m/>
    <n v="-172.5"/>
    <m/>
    <m/>
    <m/>
    <m/>
    <m/>
    <m/>
    <m/>
  </r>
  <r>
    <m/>
    <m/>
    <m/>
    <m/>
    <m/>
    <x v="4"/>
    <m/>
    <m/>
    <m/>
    <m/>
    <m/>
    <m/>
    <m/>
    <m/>
    <m/>
    <n v="53.01"/>
    <m/>
    <n v="-53.01"/>
    <m/>
    <m/>
    <m/>
    <m/>
    <m/>
    <m/>
    <m/>
  </r>
  <r>
    <m/>
    <m/>
    <m/>
    <m/>
    <m/>
    <x v="3"/>
    <m/>
    <m/>
    <m/>
    <m/>
    <m/>
    <m/>
    <m/>
    <m/>
    <m/>
    <n v="316.08"/>
    <m/>
    <n v="-316.08"/>
    <m/>
    <m/>
    <m/>
    <m/>
    <m/>
    <m/>
    <m/>
  </r>
  <r>
    <m/>
    <m/>
    <m/>
    <m/>
    <m/>
    <x v="0"/>
    <m/>
    <m/>
    <m/>
    <m/>
    <m/>
    <m/>
    <m/>
    <m/>
    <m/>
    <m/>
    <m/>
    <n v="10370.42"/>
    <m/>
    <m/>
    <m/>
    <m/>
    <m/>
    <m/>
    <m/>
  </r>
  <r>
    <m/>
    <m/>
    <m/>
    <m/>
    <m/>
    <x v="8"/>
    <m/>
    <m/>
    <m/>
    <m/>
    <m/>
    <m/>
    <m/>
    <m/>
    <m/>
    <m/>
    <m/>
    <m/>
    <m/>
    <m/>
    <m/>
    <m/>
    <m/>
    <m/>
    <m/>
  </r>
  <r>
    <m/>
    <m/>
    <m/>
    <m/>
    <m/>
    <x v="8"/>
    <m/>
    <m/>
    <m/>
    <m/>
    <m/>
    <m/>
    <m/>
    <m/>
    <m/>
    <m/>
    <m/>
    <m/>
    <m/>
    <m/>
    <m/>
    <m/>
    <m/>
    <m/>
    <m/>
  </r>
  <r>
    <m/>
    <m/>
    <m/>
    <m/>
    <m/>
    <x v="8"/>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4E154FB-0343-4929-9DFB-BF6DF550BE32}" name="Tableau croisé dynamique12" cacheId="10" applyNumberFormats="0" applyBorderFormats="0" applyFontFormats="0" applyPatternFormats="0" applyAlignmentFormats="0" applyWidthHeightFormats="1" dataCaption="Valeurs" updatedVersion="7" minRefreshableVersion="3" useAutoFormatting="1" itemPrintTitles="1" createdVersion="7" indent="0" outline="1" outlineData="1" multipleFieldFilters="0">
  <location ref="A3:B22" firstHeaderRow="1" firstDataRow="1" firstDataCol="1"/>
  <pivotFields count="26">
    <pivotField showAll="0"/>
    <pivotField axis="axisRow" showAll="0">
      <items count="21">
        <item x="6"/>
        <item x="5"/>
        <item x="4"/>
        <item x="9"/>
        <item x="18"/>
        <item x="3"/>
        <item x="15"/>
        <item x="12"/>
        <item x="11"/>
        <item x="10"/>
        <item x="8"/>
        <item x="16"/>
        <item x="7"/>
        <item x="2"/>
        <item x="17"/>
        <item x="1"/>
        <item h="1" x="13"/>
        <item x="0"/>
        <item x="14"/>
        <item h="1" x="19"/>
        <item t="default"/>
      </items>
    </pivotField>
    <pivotField showAll="0"/>
    <pivotField showAll="0"/>
    <pivotField showAll="0"/>
    <pivotField showAll="0"/>
    <pivotField dataField="1"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9">
    <i>
      <x/>
    </i>
    <i>
      <x v="1"/>
    </i>
    <i>
      <x v="2"/>
    </i>
    <i>
      <x v="3"/>
    </i>
    <i>
      <x v="4"/>
    </i>
    <i>
      <x v="5"/>
    </i>
    <i>
      <x v="6"/>
    </i>
    <i>
      <x v="7"/>
    </i>
    <i>
      <x v="8"/>
    </i>
    <i>
      <x v="9"/>
    </i>
    <i>
      <x v="10"/>
    </i>
    <i>
      <x v="11"/>
    </i>
    <i>
      <x v="12"/>
    </i>
    <i>
      <x v="13"/>
    </i>
    <i>
      <x v="14"/>
    </i>
    <i>
      <x v="15"/>
    </i>
    <i>
      <x v="17"/>
    </i>
    <i>
      <x v="18"/>
    </i>
    <i t="grand">
      <x/>
    </i>
  </rowItems>
  <colItems count="1">
    <i/>
  </colItems>
  <dataFields count="1">
    <dataField name="Somme de Expense             "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E2C38611-515F-4175-9854-424E41E0E090}" name="Tableau croisé dynamique5" cacheId="13" applyNumberFormats="0" applyBorderFormats="0" applyFontFormats="0" applyPatternFormats="0" applyAlignmentFormats="0" applyWidthHeightFormats="1" dataCaption="Valeurs" updatedVersion="7" minRefreshableVersion="3" useAutoFormatting="1" itemPrintTitles="1" createdVersion="7" indent="0" outline="1" outlineData="1" multipleFieldFilters="0">
  <location ref="H4:I13" firstHeaderRow="1" firstDataRow="1" firstDataCol="1"/>
  <pivotFields count="2">
    <pivotField axis="axisRow" showAll="0">
      <items count="9">
        <item x="0"/>
        <item x="3"/>
        <item x="2"/>
        <item x="5"/>
        <item x="6"/>
        <item x="4"/>
        <item x="1"/>
        <item x="7"/>
        <item t="default"/>
      </items>
    </pivotField>
    <pivotField dataField="1" showAll="0"/>
  </pivotFields>
  <rowFields count="1">
    <field x="0"/>
  </rowFields>
  <rowItems count="9">
    <i>
      <x/>
    </i>
    <i>
      <x v="1"/>
    </i>
    <i>
      <x v="2"/>
    </i>
    <i>
      <x v="3"/>
    </i>
    <i>
      <x v="4"/>
    </i>
    <i>
      <x v="5"/>
    </i>
    <i>
      <x v="6"/>
    </i>
    <i>
      <x v="7"/>
    </i>
    <i t="grand">
      <x/>
    </i>
  </rowItems>
  <colItems count="1">
    <i/>
  </colItems>
  <dataFields count="1">
    <dataField name="Somme de MONTANT" fld="1" baseField="0" baseItem="0"/>
  </dataFields>
  <formats count="4">
    <format dxfId="3">
      <pivotArea collapsedLevelsAreSubtotals="1" fieldPosition="0">
        <references count="1">
          <reference field="0" count="1">
            <x v="0"/>
          </reference>
        </references>
      </pivotArea>
    </format>
    <format dxfId="2">
      <pivotArea dataOnly="0" labelOnly="1" fieldPosition="0">
        <references count="1">
          <reference field="0" count="1">
            <x v="0"/>
          </reference>
        </references>
      </pivotArea>
    </format>
    <format dxfId="1">
      <pivotArea collapsedLevelsAreSubtotals="1" fieldPosition="0">
        <references count="1">
          <reference field="0" count="1">
            <x v="7"/>
          </reference>
        </references>
      </pivotArea>
    </format>
    <format dxfId="0">
      <pivotArea dataOnly="0" labelOnly="1" fieldPosition="0">
        <references count="1">
          <reference field="0" count="1">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0744601-F2A4-4CBB-9037-CEF2A0374FCB}" name="Tableau croisé dynamique8" cacheId="15" applyNumberFormats="0" applyBorderFormats="0" applyFontFormats="0" applyPatternFormats="0" applyAlignmentFormats="0" applyWidthHeightFormats="1" dataCaption="Valeurs" updatedVersion="7" minRefreshableVersion="3" useAutoFormatting="1" itemPrintTitles="1" createdVersion="7" indent="0" outline="1" outlineData="1" multipleFieldFilters="0">
  <location ref="E1:F7" firstHeaderRow="1" firstDataRow="1" firstDataCol="1"/>
  <pivotFields count="2">
    <pivotField dataField="1" showAll="0"/>
    <pivotField axis="axisRow" showAll="0">
      <items count="6">
        <item x="0"/>
        <item x="2"/>
        <item x="3"/>
        <item x="4"/>
        <item x="1"/>
        <item t="default"/>
      </items>
    </pivotField>
  </pivotFields>
  <rowFields count="1">
    <field x="1"/>
  </rowFields>
  <rowItems count="6">
    <i>
      <x/>
    </i>
    <i>
      <x v="1"/>
    </i>
    <i>
      <x v="2"/>
    </i>
    <i>
      <x v="3"/>
    </i>
    <i>
      <x v="4"/>
    </i>
    <i t="grand">
      <x/>
    </i>
  </rowItems>
  <colItems count="1">
    <i/>
  </colItems>
  <dataFields count="1">
    <dataField name="Somme de Somme de MONTANT" fld="0" baseField="0" baseItem="0"/>
  </dataFields>
  <formats count="2">
    <format dxfId="12">
      <pivotArea collapsedLevelsAreSubtotals="1" fieldPosition="0">
        <references count="1">
          <reference field="1" count="1">
            <x v="0"/>
          </reference>
        </references>
      </pivotArea>
    </format>
    <format dxfId="11">
      <pivotArea dataOnly="0" labelOnly="1" fieldPosition="0">
        <references count="1">
          <reference field="1"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1106EF6-55E2-4251-AC4D-531E0CA292C9}" name="Tableau croisé dynamique6" cacheId="14" applyNumberFormats="0" applyBorderFormats="0" applyFontFormats="0" applyPatternFormats="0" applyAlignmentFormats="0" applyWidthHeightFormats="1" dataCaption="Valeurs" updatedVersion="7" minRefreshableVersion="3" useAutoFormatting="1" itemPrintTitles="1" createdVersion="7" indent="0" outline="1" outlineData="1" multipleFieldFilters="0">
  <location ref="I3:J11" firstHeaderRow="1" firstDataRow="1" firstDataCol="1"/>
  <pivotFields count="2">
    <pivotField axis="axisRow" showAll="0">
      <items count="9">
        <item x="7"/>
        <item x="2"/>
        <item x="1"/>
        <item x="4"/>
        <item x="3"/>
        <item x="0"/>
        <item x="5"/>
        <item h="1" x="6"/>
        <item t="default"/>
      </items>
    </pivotField>
    <pivotField dataField="1" showAll="0"/>
  </pivotFields>
  <rowFields count="1">
    <field x="0"/>
  </rowFields>
  <rowItems count="8">
    <i>
      <x/>
    </i>
    <i>
      <x v="1"/>
    </i>
    <i>
      <x v="2"/>
    </i>
    <i>
      <x v="3"/>
    </i>
    <i>
      <x v="4"/>
    </i>
    <i>
      <x v="5"/>
    </i>
    <i>
      <x v="6"/>
    </i>
    <i t="grand">
      <x/>
    </i>
  </rowItems>
  <colItems count="1">
    <i/>
  </colItems>
  <dataFields count="1">
    <dataField name="Somme de montant" fld="1" baseField="0" baseItem="0"/>
  </dataFields>
  <formats count="4">
    <format dxfId="9">
      <pivotArea collapsedLevelsAreSubtotals="1" fieldPosition="0">
        <references count="1">
          <reference field="0" count="1">
            <x v="0"/>
          </reference>
        </references>
      </pivotArea>
    </format>
    <format dxfId="8">
      <pivotArea dataOnly="0" labelOnly="1" fieldPosition="0">
        <references count="1">
          <reference field="0" count="1">
            <x v="0"/>
          </reference>
        </references>
      </pivotArea>
    </format>
    <format dxfId="7">
      <pivotArea collapsedLevelsAreSubtotals="1" fieldPosition="0">
        <references count="1">
          <reference field="0" count="1">
            <x v="6"/>
          </reference>
        </references>
      </pivotArea>
    </format>
    <format dxfId="6">
      <pivotArea dataOnly="0" labelOnly="1" fieldPosition="0">
        <references count="1">
          <reference field="0" count="1">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B2E3DEB-A0CE-4655-9B3C-5A9B5E681EB8}" name="Tableau croisé dynamique4" cacheId="12" applyNumberFormats="0" applyBorderFormats="0" applyFontFormats="0" applyPatternFormats="0" applyAlignmentFormats="0" applyWidthHeightFormats="1" dataCaption="Valeurs" updatedVersion="7" minRefreshableVersion="3" useAutoFormatting="1" itemPrintTitles="1" createdVersion="7" indent="0" outline="1" outlineData="1" multipleFieldFilters="0">
  <location ref="A3:B15" firstHeaderRow="1" firstDataRow="1" firstDataCol="1"/>
  <pivotFields count="24">
    <pivotField showAll="0"/>
    <pivotField showAll="0"/>
    <pivotField showAll="0"/>
    <pivotField showAll="0"/>
    <pivotField showAll="0"/>
    <pivotField axis="axisRow" showAll="0">
      <items count="12">
        <item x="6"/>
        <item x="5"/>
        <item x="4"/>
        <item x="2"/>
        <item x="1"/>
        <item x="0"/>
        <item x="3"/>
        <item x="10"/>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1">
    <field x="5"/>
  </rowFields>
  <rowItems count="12">
    <i>
      <x/>
    </i>
    <i>
      <x v="1"/>
    </i>
    <i>
      <x v="2"/>
    </i>
    <i>
      <x v="3"/>
    </i>
    <i>
      <x v="4"/>
    </i>
    <i>
      <x v="5"/>
    </i>
    <i>
      <x v="6"/>
    </i>
    <i>
      <x v="7"/>
    </i>
    <i>
      <x v="8"/>
    </i>
    <i>
      <x v="9"/>
    </i>
    <i>
      <x v="10"/>
    </i>
    <i t="grand">
      <x/>
    </i>
  </rowItems>
  <colItems count="1">
    <i/>
  </colItems>
  <dataFields count="1">
    <dataField name="Somme de Amt in IOM Currency" fld="17" baseField="0" baseItem="0"/>
  </dataFields>
  <formats count="1">
    <format dxfId="10">
      <pivotArea collapsedLevelsAreSubtotals="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62881A4-F66D-4608-8561-004A6B5071FA}" name="Tableau croisé dynamique10" cacheId="16" applyNumberFormats="0" applyBorderFormats="0" applyFontFormats="0" applyPatternFormats="0" applyAlignmentFormats="0" applyWidthHeightFormats="1" dataCaption="Valeurs" updatedVersion="7" minRefreshableVersion="3" useAutoFormatting="1" itemPrintTitles="1" createdVersion="7" indent="0" outline="1" outlineData="1" multipleFieldFilters="0">
  <location ref="A1:B11" firstHeaderRow="1" firstDataRow="1" firstDataCol="1"/>
  <pivotFields count="25">
    <pivotField showAll="0"/>
    <pivotField showAll="0"/>
    <pivotField showAll="0"/>
    <pivotField showAll="0"/>
    <pivotField showAll="0"/>
    <pivotField axis="axisRow" showAll="0">
      <items count="11">
        <item x="5"/>
        <item x="6"/>
        <item x="8"/>
        <item x="4"/>
        <item x="0"/>
        <item x="7"/>
        <item x="2"/>
        <item x="1"/>
        <item x="3"/>
        <item h="1" x="9"/>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s>
  <rowFields count="1">
    <field x="5"/>
  </rowFields>
  <rowItems count="10">
    <i>
      <x/>
    </i>
    <i>
      <x v="1"/>
    </i>
    <i>
      <x v="2"/>
    </i>
    <i>
      <x v="3"/>
    </i>
    <i>
      <x v="4"/>
    </i>
    <i>
      <x v="5"/>
    </i>
    <i>
      <x v="6"/>
    </i>
    <i>
      <x v="7"/>
    </i>
    <i>
      <x v="8"/>
    </i>
    <i t="grand">
      <x/>
    </i>
  </rowItems>
  <colItems count="1">
    <i/>
  </colItems>
  <dataFields count="1">
    <dataField name="Somme de Amt in IOM Currency" fld="1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4F4ADF2-EF4B-430E-90CB-67C884A7754A}" name="Tableau croisé dynamique11" cacheId="17" applyNumberFormats="0" applyBorderFormats="0" applyFontFormats="0" applyPatternFormats="0" applyAlignmentFormats="0" applyWidthHeightFormats="1" dataCaption="Valeurs" updatedVersion="7" minRefreshableVersion="3" useAutoFormatting="1" itemPrintTitles="1" createdVersion="7" indent="0" outline="1" outlineData="1" multipleFieldFilters="0">
  <location ref="G2:H8" firstHeaderRow="1" firstDataRow="1" firstDataCol="1"/>
  <pivotFields count="2">
    <pivotField axis="axisRow" showAll="0">
      <items count="6">
        <item x="2"/>
        <item x="3"/>
        <item x="4"/>
        <item x="1"/>
        <item x="0"/>
        <item t="default"/>
      </items>
    </pivotField>
    <pivotField dataField="1" showAll="0"/>
  </pivotFields>
  <rowFields count="1">
    <field x="0"/>
  </rowFields>
  <rowItems count="6">
    <i>
      <x/>
    </i>
    <i>
      <x v="1"/>
    </i>
    <i>
      <x v="2"/>
    </i>
    <i>
      <x v="3"/>
    </i>
    <i>
      <x v="4"/>
    </i>
    <i t="grand">
      <x/>
    </i>
  </rowItems>
  <colItems count="1">
    <i/>
  </colItems>
  <dataFields count="1">
    <dataField name="Somme de MONTANT" fld="1" baseField="0" baseItem="0"/>
  </dataFields>
  <formats count="2">
    <format dxfId="5">
      <pivotArea collapsedLevelsAreSubtotals="1" fieldPosition="0">
        <references count="1">
          <reference field="0" count="1">
            <x v="4"/>
          </reference>
        </references>
      </pivotArea>
    </format>
    <format dxfId="4">
      <pivotArea dataOnly="0" labelOnly="1" fieldPosition="0">
        <references count="1">
          <reference field="0"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797F1A20-A356-48A3-914E-B7350432E39E}" name="Tableau croisé dynamique13" cacheId="18" applyNumberFormats="0" applyBorderFormats="0" applyFontFormats="0" applyPatternFormats="0" applyAlignmentFormats="0" applyWidthHeightFormats="1" dataCaption="Valeurs" updatedVersion="7" minRefreshableVersion="3" useAutoFormatting="1" itemPrintTitles="1" createdVersion="7" indent="0" outline="1" outlineData="1" multipleFieldFilters="0">
  <location ref="A1:B11" firstHeaderRow="1" firstDataRow="1" firstDataCol="1"/>
  <pivotFields count="25">
    <pivotField showAll="0"/>
    <pivotField showAll="0"/>
    <pivotField showAll="0"/>
    <pivotField showAll="0"/>
    <pivotField showAll="0"/>
    <pivotField axis="axisRow" showAll="0">
      <items count="10">
        <item x="4"/>
        <item x="2"/>
        <item x="3"/>
        <item x="5"/>
        <item x="7"/>
        <item x="6"/>
        <item x="1"/>
        <item x="0"/>
        <item x="8"/>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s>
  <rowFields count="1">
    <field x="5"/>
  </rowFields>
  <rowItems count="10">
    <i>
      <x/>
    </i>
    <i>
      <x v="1"/>
    </i>
    <i>
      <x v="2"/>
    </i>
    <i>
      <x v="3"/>
    </i>
    <i>
      <x v="4"/>
    </i>
    <i>
      <x v="5"/>
    </i>
    <i>
      <x v="6"/>
    </i>
    <i>
      <x v="7"/>
    </i>
    <i>
      <x v="8"/>
    </i>
    <i t="grand">
      <x/>
    </i>
  </rowItems>
  <colItems count="1">
    <i/>
  </colItems>
  <dataFields count="1">
    <dataField name="Somme de Amt in IOM Currency" fld="1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B65CCB33-3629-45FC-ADE8-F204FC826313}" name="Tableau croisé dynamique14" cacheId="19" applyNumberFormats="0" applyBorderFormats="0" applyFontFormats="0" applyPatternFormats="0" applyAlignmentFormats="0" applyWidthHeightFormats="1" dataCaption="Valeurs" updatedVersion="7" minRefreshableVersion="3" useAutoFormatting="1" itemPrintTitles="1" createdVersion="7" indent="0" outline="1" outlineData="1" multipleFieldFilters="0">
  <location ref="G2:H7" firstHeaderRow="1" firstDataRow="1" firstDataCol="1"/>
  <pivotFields count="2">
    <pivotField axis="axisRow" showAll="0">
      <items count="5">
        <item x="1"/>
        <item x="0"/>
        <item x="3"/>
        <item x="2"/>
        <item t="default"/>
      </items>
    </pivotField>
    <pivotField dataField="1" showAll="0"/>
  </pivotFields>
  <rowFields count="1">
    <field x="0"/>
  </rowFields>
  <rowItems count="5">
    <i>
      <x/>
    </i>
    <i>
      <x v="1"/>
    </i>
    <i>
      <x v="2"/>
    </i>
    <i>
      <x v="3"/>
    </i>
    <i t="grand">
      <x/>
    </i>
  </rowItems>
  <colItems count="1">
    <i/>
  </colItems>
  <dataFields count="1">
    <dataField name="Somme de MONTANT"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41F1B629-A7DA-4A41-8F30-50D0178A0C2C}" name="Tableau croisé dynamique2" cacheId="11" applyNumberFormats="0" applyBorderFormats="0" applyFontFormats="0" applyPatternFormats="0" applyAlignmentFormats="0" applyWidthHeightFormats="1" dataCaption="Valeurs" updatedVersion="7" minRefreshableVersion="3" useAutoFormatting="1" itemPrintTitles="1" createdVersion="7" indent="0" outline="1" outlineData="1" multipleFieldFilters="0">
  <location ref="A3:B27" firstHeaderRow="1" firstDataRow="1" firstDataCol="1"/>
  <pivotFields count="25">
    <pivotField showAll="0"/>
    <pivotField showAll="0"/>
    <pivotField showAll="0"/>
    <pivotField showAll="0"/>
    <pivotField showAll="0"/>
    <pivotField axis="axisRow" showAll="0">
      <items count="24">
        <item x="8"/>
        <item x="21"/>
        <item x="1"/>
        <item x="0"/>
        <item x="2"/>
        <item x="4"/>
        <item x="11"/>
        <item x="14"/>
        <item x="5"/>
        <item x="15"/>
        <item x="12"/>
        <item x="20"/>
        <item x="19"/>
        <item x="10"/>
        <item x="7"/>
        <item x="18"/>
        <item x="17"/>
        <item x="9"/>
        <item x="6"/>
        <item x="16"/>
        <item x="13"/>
        <item x="3"/>
        <item x="22"/>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s>
  <rowFields count="1">
    <field x="5"/>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Somme de Amt in IOM Currency" fld="1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07D302-B31A-4ACA-B016-478E8C6520D7}" name="Tableau1" displayName="Tableau1" ref="A1:Y6" totalsRowShown="0">
  <autoFilter ref="A1:Y6" xr:uid="{5907D302-B31A-4ACA-B016-478E8C6520D7}"/>
  <tableColumns count="25">
    <tableColumn id="1" xr3:uid="{25BB8C23-8360-4B92-ABF1-AE7C9F47B4C1}" name="Grant (Donor Contr)"/>
    <tableColumn id="2" xr3:uid="{EC6247B8-3239-44D5-BFFE-06D36F3A78F6}" name="Fund (Funding Source)"/>
    <tableColumn id="3" xr3:uid="{4D93AADC-D483-41C4-AF4A-FD9588E33B7E}" name="Project ID (Funded Program)"/>
    <tableColumn id="4" xr3:uid="{EFFAB3F8-0035-4B80-82FE-223823299634}" name="Donor Budget Line(Sponsored Programs)"/>
    <tableColumn id="5" xr3:uid="{1B31ABD5-0086-4480-915B-6879A743939A}" name="Donor Budget Lines Description"/>
    <tableColumn id="6" xr3:uid="{1C42524B-14B1-42D0-8FF3-E595C16B1AF8}" name="WBS Element"/>
    <tableColumn id="7" xr3:uid="{1878E3A3-07BB-4252-9040-7357EFF8FCC0}" name="WBS Description"/>
    <tableColumn id="8" xr3:uid="{E5BF7294-9497-45AE-B5C8-E993182CAB9D}" name="Grant"/>
    <tableColumn id="9" xr3:uid="{38319856-CCAF-42DE-A412-74195AE27CB7}" name="GL Account"/>
    <tableColumn id="10" xr3:uid="{783EC353-97F3-4561-B960-703ED4BE4789}" name="G/L Description"/>
    <tableColumn id="11" xr3:uid="{6F721A6B-BC24-4E36-A198-300B5658195B}" name="Text"/>
    <tableColumn id="12" xr3:uid="{EA4E45B2-3912-4CF1-86F2-1F968B88209B}" name="Document Number"/>
    <tableColumn id="13" xr3:uid="{A1596F85-C479-4B56-92A7-04F7497F52E0}" name="Reference Document Number"/>
    <tableColumn id="14" xr3:uid="{21061119-2A06-41A0-92DF-8322617F63B7}" name="Ref Doc Line"/>
    <tableColumn id="15" xr3:uid="{4BEDCCC8-5140-4DC7-BE3D-09B46B3C1E65}" name="Posting Date"/>
    <tableColumn id="16" xr3:uid="{5F5989D0-64AC-4662-BC4E-79E90DF60C19}" name="Amt Grant Currency"/>
    <tableColumn id="17" xr3:uid="{91A67F7D-2A23-4E99-A7DB-5F1B72D44067}" name="Grant Currency"/>
    <tableColumn id="18" xr3:uid="{29A5E11C-AB41-41A0-862E-06BE873BDE25}" name="Amt in IOM Currency"/>
    <tableColumn id="19" xr3:uid="{41EE3277-4407-4EAD-8BA5-8A619C0F0C26}" name="IOM Currency (USD)"/>
    <tableColumn id="20" xr3:uid="{918DAE6F-EC8F-47B7-B9DA-70274431554F}" name="Amt Trans Currency"/>
    <tableColumn id="21" xr3:uid="{C6A8A828-9A25-43E0-8341-51138B1F43B8}" name="Trans Currency"/>
    <tableColumn id="22" xr3:uid="{702E27DD-0DE7-4668-843E-ADC3637CE16C}" name="Value Type"/>
    <tableColumn id="23" xr3:uid="{C7CA53B9-A94B-467F-AFCD-666B39A00566}" name="Username"/>
    <tableColumn id="24" xr3:uid="{CFF5F13F-81DC-48DF-9265-2089B6C0550E}" name="Accounting Document"/>
    <tableColumn id="25" xr3:uid="{606F2EEC-02EC-4730-B804-278F9F117E90}" name="Refkey1 (Orig. Miss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2" Type="http://schemas.openxmlformats.org/officeDocument/2006/relationships/pivotTable" Target="../pivotTables/pivotTable10.xml"/><Relationship Id="rId1" Type="http://schemas.openxmlformats.org/officeDocument/2006/relationships/pivotTable" Target="../pivotTables/pivotTable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372"/>
  <sheetViews>
    <sheetView zoomScale="59" zoomScaleNormal="59" workbookViewId="0">
      <selection activeCell="K82" sqref="K82"/>
    </sheetView>
  </sheetViews>
  <sheetFormatPr baseColWidth="10" defaultColWidth="9.1796875" defaultRowHeight="14.5" x14ac:dyDescent="0.35"/>
  <cols>
    <col min="1" max="1" width="2.81640625" style="116" customWidth="1"/>
    <col min="2" max="2" width="30.7265625" style="11" customWidth="1"/>
    <col min="3" max="3" width="32.54296875" style="11" customWidth="1"/>
    <col min="4" max="4" width="22.453125" style="11" customWidth="1"/>
    <col min="5" max="5" width="22.7265625" style="11" bestFit="1" customWidth="1"/>
    <col min="6" max="6" width="22.7265625" style="11" customWidth="1"/>
    <col min="7" max="7" width="22.7265625" style="364" customWidth="1"/>
    <col min="8" max="9" width="22.7265625" style="11" customWidth="1"/>
    <col min="10" max="10" width="22.54296875" style="194" customWidth="1"/>
    <col min="11" max="11" width="22.453125" style="195" customWidth="1"/>
    <col min="12" max="12" width="31.453125" style="11" customWidth="1"/>
    <col min="13" max="13" width="18.81640625" style="11" customWidth="1"/>
    <col min="14" max="14" width="9.1796875" style="11"/>
    <col min="15" max="15" width="17.7265625" style="11" customWidth="1"/>
    <col min="16" max="16" width="26.54296875" style="11" customWidth="1"/>
    <col min="17" max="17" width="22.54296875" style="11" customWidth="1"/>
    <col min="18" max="18" width="29.7265625" style="11" customWidth="1"/>
    <col min="19" max="19" width="23.453125" style="11" customWidth="1"/>
    <col min="20" max="20" width="18.54296875" style="11" customWidth="1"/>
    <col min="21" max="21" width="17.453125" style="11" customWidth="1"/>
    <col min="22" max="22" width="25.1796875" style="11" customWidth="1"/>
    <col min="23" max="16384" width="9.1796875" style="11"/>
  </cols>
  <sheetData>
    <row r="1" spans="2:65" s="116" customFormat="1" x14ac:dyDescent="0.35">
      <c r="G1" s="364"/>
      <c r="J1" s="117"/>
      <c r="K1" s="118"/>
    </row>
    <row r="2" spans="2:65" s="116" customFormat="1" ht="47.25" customHeight="1" x14ac:dyDescent="0.35">
      <c r="B2" s="389" t="s">
        <v>174</v>
      </c>
      <c r="C2" s="389"/>
      <c r="D2" s="389"/>
      <c r="E2" s="389"/>
      <c r="F2" s="389"/>
      <c r="G2" s="389"/>
      <c r="H2" s="389"/>
      <c r="I2" s="119"/>
      <c r="J2" s="119"/>
      <c r="K2" s="119"/>
      <c r="L2" s="119"/>
    </row>
    <row r="3" spans="2:65" s="116" customFormat="1" ht="16" thickBot="1" x14ac:dyDescent="0.4">
      <c r="B3" s="120"/>
      <c r="G3" s="364"/>
      <c r="J3" s="117"/>
      <c r="K3" s="118"/>
    </row>
    <row r="4" spans="2:65" ht="27" customHeight="1" thickBot="1" x14ac:dyDescent="0.65">
      <c r="B4" s="390" t="s">
        <v>74</v>
      </c>
      <c r="C4" s="391"/>
      <c r="D4" s="391"/>
      <c r="E4" s="391"/>
      <c r="F4" s="391"/>
      <c r="G4" s="391"/>
      <c r="H4" s="391"/>
      <c r="I4" s="121"/>
      <c r="J4" s="121"/>
      <c r="K4" s="121"/>
      <c r="L4" s="121"/>
      <c r="M4" s="122"/>
    </row>
    <row r="5" spans="2:65" s="116" customFormat="1" x14ac:dyDescent="0.35">
      <c r="G5" s="364"/>
      <c r="J5" s="117"/>
      <c r="K5" s="118"/>
    </row>
    <row r="6" spans="2:65" s="116" customFormat="1" ht="25.5" customHeight="1" x14ac:dyDescent="0.35">
      <c r="E6" s="117"/>
      <c r="F6" s="117"/>
      <c r="G6" s="365"/>
      <c r="H6" s="117"/>
      <c r="I6" s="117"/>
      <c r="J6" s="117"/>
      <c r="K6" s="118"/>
    </row>
    <row r="7" spans="2:65" ht="47.25" customHeight="1" x14ac:dyDescent="0.35">
      <c r="B7" s="392" t="s">
        <v>75</v>
      </c>
      <c r="C7" s="392" t="s">
        <v>76</v>
      </c>
      <c r="D7" s="394" t="s">
        <v>77</v>
      </c>
      <c r="E7" s="395"/>
      <c r="F7" s="396" t="s">
        <v>78</v>
      </c>
      <c r="G7" s="397" t="s">
        <v>172</v>
      </c>
      <c r="H7" s="397"/>
      <c r="I7" s="401" t="s">
        <v>79</v>
      </c>
      <c r="J7" s="392" t="s">
        <v>80</v>
      </c>
      <c r="K7" s="403" t="s">
        <v>81</v>
      </c>
      <c r="L7" s="405" t="s">
        <v>82</v>
      </c>
      <c r="M7" s="123"/>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row>
    <row r="8" spans="2:65" ht="15.5" x14ac:dyDescent="0.35">
      <c r="B8" s="393"/>
      <c r="C8" s="393"/>
      <c r="D8" s="200" t="s">
        <v>10</v>
      </c>
      <c r="E8" s="200" t="s">
        <v>9</v>
      </c>
      <c r="F8" s="396"/>
      <c r="G8" s="366" t="s">
        <v>10</v>
      </c>
      <c r="H8" s="222" t="s">
        <v>9</v>
      </c>
      <c r="I8" s="402"/>
      <c r="J8" s="393"/>
      <c r="K8" s="404"/>
      <c r="L8" s="406"/>
      <c r="M8" s="123"/>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row>
    <row r="9" spans="2:65" ht="15.75" customHeight="1" x14ac:dyDescent="0.35">
      <c r="B9" s="124" t="s">
        <v>83</v>
      </c>
      <c r="C9" s="407" t="s">
        <v>84</v>
      </c>
      <c r="D9" s="408"/>
      <c r="E9" s="408"/>
      <c r="F9" s="408"/>
      <c r="G9" s="408"/>
      <c r="H9" s="408"/>
      <c r="I9" s="408"/>
      <c r="J9" s="408"/>
      <c r="K9" s="408"/>
      <c r="L9" s="409"/>
      <c r="M9" s="125"/>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row>
    <row r="10" spans="2:65" ht="15.75" customHeight="1" x14ac:dyDescent="0.35">
      <c r="B10" s="124" t="s">
        <v>85</v>
      </c>
      <c r="C10" s="410" t="s">
        <v>86</v>
      </c>
      <c r="D10" s="411"/>
      <c r="E10" s="411"/>
      <c r="F10" s="411"/>
      <c r="G10" s="411"/>
      <c r="H10" s="411"/>
      <c r="I10" s="411"/>
      <c r="J10" s="411"/>
      <c r="K10" s="411"/>
      <c r="L10" s="412"/>
      <c r="M10" s="12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row>
    <row r="11" spans="2:65" ht="62" x14ac:dyDescent="0.35">
      <c r="B11" s="127" t="s">
        <v>189</v>
      </c>
      <c r="C11" s="128" t="s">
        <v>87</v>
      </c>
      <c r="D11" s="201">
        <v>4903</v>
      </c>
      <c r="E11" s="201">
        <v>6500</v>
      </c>
      <c r="F11" s="201">
        <f>D11+E11</f>
        <v>11403</v>
      </c>
      <c r="G11" s="352">
        <f>GETPIVOTDATA("Expense             ",Feuil6!$A$3,"ACTIVITE","Activite 1.1.1")</f>
        <v>4903.26</v>
      </c>
      <c r="H11" s="223">
        <v>6500</v>
      </c>
      <c r="I11" s="223">
        <f>G11+H11</f>
        <v>11403.26</v>
      </c>
      <c r="J11" s="129">
        <v>1</v>
      </c>
      <c r="K11" s="130"/>
      <c r="L11" s="131"/>
      <c r="M11" s="132"/>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row>
    <row r="12" spans="2:65" ht="108.5" x14ac:dyDescent="0.35">
      <c r="B12" s="357" t="s">
        <v>188</v>
      </c>
      <c r="C12" s="128" t="s">
        <v>88</v>
      </c>
      <c r="D12" s="201">
        <v>40200</v>
      </c>
      <c r="E12" s="201">
        <v>54500</v>
      </c>
      <c r="F12" s="201">
        <f t="shared" ref="F12:F14" si="0">D12+E12</f>
        <v>94700</v>
      </c>
      <c r="G12" s="352">
        <f>GETPIVOTDATA("Expense             ",Feuil6!$A$3,"ACTIVITE","Activite 1.1.2")</f>
        <v>38851.770000000004</v>
      </c>
      <c r="H12" s="223">
        <v>44366.22</v>
      </c>
      <c r="I12" s="223">
        <f t="shared" ref="I12:I14" si="1">G12+H12</f>
        <v>83217.990000000005</v>
      </c>
      <c r="J12" s="129">
        <v>1</v>
      </c>
      <c r="K12" s="130"/>
      <c r="L12" s="131"/>
      <c r="M12" s="132"/>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row>
    <row r="13" spans="2:65" ht="46.5" x14ac:dyDescent="0.35">
      <c r="B13" s="127" t="s">
        <v>176</v>
      </c>
      <c r="C13" s="128" t="s">
        <v>89</v>
      </c>
      <c r="D13" s="201">
        <v>65000</v>
      </c>
      <c r="E13" s="201">
        <v>88000</v>
      </c>
      <c r="F13" s="201">
        <f t="shared" si="0"/>
        <v>153000</v>
      </c>
      <c r="G13" s="352">
        <f>GETPIVOTDATA("Expense             ",Feuil6!$A$3,"ACTIVITE","Activite 1.1.3")-603.63</f>
        <v>61209.279999999999</v>
      </c>
      <c r="H13" s="223">
        <v>30100</v>
      </c>
      <c r="I13" s="223">
        <f t="shared" si="1"/>
        <v>91309.28</v>
      </c>
      <c r="J13" s="129">
        <v>1</v>
      </c>
      <c r="K13" s="130"/>
      <c r="L13" s="131"/>
      <c r="M13" s="132"/>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row>
    <row r="14" spans="2:65" ht="46.5" x14ac:dyDescent="0.35">
      <c r="B14" s="127" t="s">
        <v>90</v>
      </c>
      <c r="C14" s="128" t="s">
        <v>91</v>
      </c>
      <c r="D14" s="201"/>
      <c r="E14" s="201">
        <v>5000</v>
      </c>
      <c r="F14" s="201">
        <f t="shared" si="0"/>
        <v>5000</v>
      </c>
      <c r="G14" s="352">
        <v>0</v>
      </c>
      <c r="H14" s="223">
        <v>1960.7</v>
      </c>
      <c r="I14" s="223">
        <f t="shared" si="1"/>
        <v>1960.7</v>
      </c>
      <c r="J14" s="129">
        <v>1</v>
      </c>
      <c r="K14" s="130"/>
      <c r="L14" s="131"/>
      <c r="M14" s="132"/>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row>
    <row r="15" spans="2:65" ht="15.5" x14ac:dyDescent="0.35">
      <c r="C15" s="133" t="s">
        <v>92</v>
      </c>
      <c r="D15" s="202">
        <f t="shared" ref="D15:F15" si="2">SUM(D11:D14)</f>
        <v>110103</v>
      </c>
      <c r="E15" s="203">
        <f t="shared" si="2"/>
        <v>154000</v>
      </c>
      <c r="F15" s="203">
        <f t="shared" si="2"/>
        <v>264103</v>
      </c>
      <c r="G15" s="367">
        <f>SUM(G11:G14)</f>
        <v>104964.31</v>
      </c>
      <c r="H15" s="224">
        <f t="shared" ref="H15:I15" si="3">SUM(H11:H14)</f>
        <v>82926.92</v>
      </c>
      <c r="I15" s="224">
        <f t="shared" si="3"/>
        <v>187891.23</v>
      </c>
      <c r="J15" s="91">
        <f>J11*F11+J12*F12+J13*F13+J14*F14</f>
        <v>264103</v>
      </c>
      <c r="K15" s="130"/>
      <c r="L15" s="134"/>
      <c r="M15" s="135"/>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row>
    <row r="16" spans="2:65" ht="15.75" customHeight="1" x14ac:dyDescent="0.35">
      <c r="B16" s="124" t="s">
        <v>93</v>
      </c>
      <c r="C16" s="413" t="s">
        <v>94</v>
      </c>
      <c r="D16" s="414"/>
      <c r="E16" s="414"/>
      <c r="F16" s="414"/>
      <c r="G16" s="414"/>
      <c r="H16" s="414"/>
      <c r="I16" s="414"/>
      <c r="J16" s="414"/>
      <c r="K16" s="414"/>
      <c r="L16" s="415"/>
      <c r="M16" s="12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row>
    <row r="17" spans="2:65" ht="31" x14ac:dyDescent="0.35">
      <c r="B17" s="127" t="s">
        <v>95</v>
      </c>
      <c r="C17" s="128" t="s">
        <v>96</v>
      </c>
      <c r="D17" s="204">
        <v>0</v>
      </c>
      <c r="E17" s="204">
        <v>0</v>
      </c>
      <c r="F17" s="201">
        <f>SUM(D17:E17)</f>
        <v>0</v>
      </c>
      <c r="G17" s="352"/>
      <c r="H17" s="223">
        <v>0</v>
      </c>
      <c r="I17" s="223">
        <f>G17+H17</f>
        <v>0</v>
      </c>
      <c r="J17" s="129"/>
      <c r="K17" s="130"/>
      <c r="L17" s="131"/>
      <c r="M17" s="132"/>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row>
    <row r="18" spans="2:65" ht="31" x14ac:dyDescent="0.35">
      <c r="B18" s="127" t="s">
        <v>97</v>
      </c>
      <c r="C18" s="128" t="s">
        <v>98</v>
      </c>
      <c r="D18" s="204">
        <v>0</v>
      </c>
      <c r="E18" s="204">
        <v>0</v>
      </c>
      <c r="F18" s="201">
        <f t="shared" ref="F18:F19" si="4">SUM(D18:E18)</f>
        <v>0</v>
      </c>
      <c r="G18" s="352">
        <v>0</v>
      </c>
      <c r="H18" s="223">
        <v>0</v>
      </c>
      <c r="I18" s="223">
        <f t="shared" ref="I18:I19" si="5">G18+H18</f>
        <v>0</v>
      </c>
      <c r="J18" s="129"/>
      <c r="K18" s="130"/>
      <c r="L18" s="131"/>
      <c r="M18" s="132"/>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row>
    <row r="19" spans="2:65" ht="62" x14ac:dyDescent="0.35">
      <c r="B19" s="127" t="s">
        <v>99</v>
      </c>
      <c r="C19" s="128" t="s">
        <v>100</v>
      </c>
      <c r="D19" s="204">
        <v>0</v>
      </c>
      <c r="E19" s="204">
        <v>0</v>
      </c>
      <c r="F19" s="201">
        <f t="shared" si="4"/>
        <v>0</v>
      </c>
      <c r="G19" s="352">
        <v>0</v>
      </c>
      <c r="H19" s="223"/>
      <c r="I19" s="223">
        <f t="shared" si="5"/>
        <v>0</v>
      </c>
      <c r="J19" s="129"/>
      <c r="K19" s="130"/>
      <c r="L19" s="131"/>
      <c r="M19" s="132"/>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row>
    <row r="20" spans="2:65" ht="15.5" x14ac:dyDescent="0.35">
      <c r="C20" s="137" t="s">
        <v>101</v>
      </c>
      <c r="D20" s="205">
        <f t="shared" ref="D20:F20" si="6">SUM(D17:D19)</f>
        <v>0</v>
      </c>
      <c r="E20" s="205">
        <f t="shared" si="6"/>
        <v>0</v>
      </c>
      <c r="F20" s="205">
        <f t="shared" si="6"/>
        <v>0</v>
      </c>
      <c r="G20" s="368">
        <f>SUM(G17:G19)</f>
        <v>0</v>
      </c>
      <c r="H20" s="225">
        <f>SUM(H17:H19)</f>
        <v>0</v>
      </c>
      <c r="I20" s="225">
        <f>SUM(I17:I19)</f>
        <v>0</v>
      </c>
      <c r="J20" s="91">
        <f>(J17*F17)+(J18*F18)+(J19*F19)</f>
        <v>0</v>
      </c>
      <c r="K20" s="130"/>
      <c r="L20" s="138"/>
      <c r="M20" s="135"/>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row>
    <row r="21" spans="2:65" ht="15.5" x14ac:dyDescent="0.35">
      <c r="B21" s="139" t="s">
        <v>31</v>
      </c>
      <c r="C21" s="140"/>
      <c r="D21" s="202">
        <f t="shared" ref="D21:J21" si="7">D15+D20</f>
        <v>110103</v>
      </c>
      <c r="E21" s="202">
        <f t="shared" si="7"/>
        <v>154000</v>
      </c>
      <c r="F21" s="202">
        <f t="shared" si="7"/>
        <v>264103</v>
      </c>
      <c r="G21" s="141">
        <f>G15+G20</f>
        <v>104964.31</v>
      </c>
      <c r="H21" s="226">
        <f>H15+H20</f>
        <v>82926.92</v>
      </c>
      <c r="I21" s="226">
        <f>I15+I20</f>
        <v>187891.23</v>
      </c>
      <c r="J21" s="141">
        <f t="shared" si="7"/>
        <v>264103</v>
      </c>
      <c r="K21" s="142">
        <v>-31.1</v>
      </c>
      <c r="L21" s="134"/>
      <c r="M21" s="135"/>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row>
    <row r="22" spans="2:65" ht="15.5" x14ac:dyDescent="0.35">
      <c r="B22" s="143"/>
      <c r="C22" s="144"/>
      <c r="D22" s="144"/>
      <c r="E22" s="145"/>
      <c r="F22" s="145"/>
      <c r="G22" s="369"/>
      <c r="H22" s="145"/>
      <c r="I22" s="145"/>
      <c r="J22" s="145"/>
      <c r="K22" s="145"/>
      <c r="L22" s="145"/>
      <c r="M22" s="14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row>
    <row r="23" spans="2:65" ht="15.75" customHeight="1" x14ac:dyDescent="0.35">
      <c r="B23" s="133" t="s">
        <v>102</v>
      </c>
      <c r="C23" s="398" t="s">
        <v>103</v>
      </c>
      <c r="D23" s="399"/>
      <c r="E23" s="399"/>
      <c r="F23" s="399"/>
      <c r="G23" s="399"/>
      <c r="H23" s="399"/>
      <c r="I23" s="399"/>
      <c r="J23" s="399"/>
      <c r="K23" s="399"/>
      <c r="L23" s="400"/>
      <c r="M23" s="125"/>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row>
    <row r="24" spans="2:65" ht="15.75" customHeight="1" x14ac:dyDescent="0.35">
      <c r="B24" s="124" t="s">
        <v>33</v>
      </c>
      <c r="C24" s="398" t="s">
        <v>104</v>
      </c>
      <c r="D24" s="399"/>
      <c r="E24" s="399"/>
      <c r="F24" s="399"/>
      <c r="G24" s="399"/>
      <c r="H24" s="399"/>
      <c r="I24" s="399"/>
      <c r="J24" s="399"/>
      <c r="K24" s="399"/>
      <c r="L24" s="400"/>
      <c r="M24" s="12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row>
    <row r="25" spans="2:65" ht="46.5" x14ac:dyDescent="0.35">
      <c r="B25" s="127" t="s">
        <v>179</v>
      </c>
      <c r="C25" s="136" t="s">
        <v>105</v>
      </c>
      <c r="D25" s="206">
        <v>3600</v>
      </c>
      <c r="E25" s="201">
        <v>0</v>
      </c>
      <c r="F25" s="201">
        <f>SUM(D25:E25)</f>
        <v>3600</v>
      </c>
      <c r="G25" s="352">
        <f>GETPIVOTDATA("Expense             ",Feuil6!$A$3,"ACTIVITE","Activite 2.1.1")</f>
        <v>3550.33</v>
      </c>
      <c r="H25" s="223">
        <v>0</v>
      </c>
      <c r="I25" s="223">
        <f>G25+H25</f>
        <v>3550.33</v>
      </c>
      <c r="J25" s="129">
        <v>1</v>
      </c>
      <c r="K25" s="130"/>
      <c r="L25" s="131"/>
      <c r="M25" s="132"/>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row>
    <row r="26" spans="2:65" ht="31" x14ac:dyDescent="0.35">
      <c r="B26" s="127" t="s">
        <v>178</v>
      </c>
      <c r="C26" s="136" t="s">
        <v>106</v>
      </c>
      <c r="D26" s="206">
        <v>3000</v>
      </c>
      <c r="E26" s="201">
        <v>0</v>
      </c>
      <c r="F26" s="201">
        <f>SUM(D26:E26)</f>
        <v>3000</v>
      </c>
      <c r="G26" s="352"/>
      <c r="H26" s="223">
        <v>0</v>
      </c>
      <c r="I26" s="223">
        <f t="shared" ref="I26:I27" si="8">G26+H26</f>
        <v>0</v>
      </c>
      <c r="J26" s="129">
        <v>1</v>
      </c>
      <c r="K26" s="130"/>
      <c r="L26" s="131"/>
      <c r="M26" s="132"/>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row>
    <row r="27" spans="2:65" ht="31" x14ac:dyDescent="0.35">
      <c r="B27" s="127" t="s">
        <v>177</v>
      </c>
      <c r="C27" s="136" t="s">
        <v>107</v>
      </c>
      <c r="D27" s="206">
        <v>150000</v>
      </c>
      <c r="E27" s="201">
        <v>0</v>
      </c>
      <c r="F27" s="201">
        <f>SUM(D27:E27)</f>
        <v>150000</v>
      </c>
      <c r="G27" s="352">
        <f>GETPIVOTDATA("Expense             ",Feuil6!$A$3,"ACTIVITE","Activite 2.1.3")</f>
        <v>137026.68</v>
      </c>
      <c r="H27" s="223">
        <v>0</v>
      </c>
      <c r="I27" s="223">
        <f t="shared" si="8"/>
        <v>137026.68</v>
      </c>
      <c r="J27" s="129">
        <v>1</v>
      </c>
      <c r="K27" s="130"/>
      <c r="L27" s="131"/>
      <c r="M27" s="132"/>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row>
    <row r="28" spans="2:65" s="116" customFormat="1" ht="15.5" x14ac:dyDescent="0.35">
      <c r="B28" s="11"/>
      <c r="C28" s="133" t="s">
        <v>108</v>
      </c>
      <c r="D28" s="202">
        <f t="shared" ref="D28:F28" si="9">SUM(D25:D27)</f>
        <v>156600</v>
      </c>
      <c r="E28" s="203">
        <f t="shared" si="9"/>
        <v>0</v>
      </c>
      <c r="F28" s="203">
        <f t="shared" si="9"/>
        <v>156600</v>
      </c>
      <c r="G28" s="367">
        <f>SUM(G25:G27)</f>
        <v>140577.00999999998</v>
      </c>
      <c r="H28" s="224">
        <f t="shared" ref="H28" si="10">SUM(H25:H27)</f>
        <v>0</v>
      </c>
      <c r="I28" s="224">
        <f>SUM(I25:I27)</f>
        <v>140577.00999999998</v>
      </c>
      <c r="J28" s="91">
        <f>(J25*F25)+(J26*F26)+(J27*F27)</f>
        <v>156600</v>
      </c>
      <c r="K28" s="130"/>
      <c r="L28" s="134"/>
      <c r="M28" s="135"/>
    </row>
    <row r="29" spans="2:65" ht="15.75" customHeight="1" x14ac:dyDescent="0.35">
      <c r="B29" s="124" t="s">
        <v>35</v>
      </c>
      <c r="C29" s="398" t="s">
        <v>109</v>
      </c>
      <c r="D29" s="399"/>
      <c r="E29" s="399"/>
      <c r="F29" s="399"/>
      <c r="G29" s="399"/>
      <c r="H29" s="399"/>
      <c r="I29" s="399"/>
      <c r="J29" s="399"/>
      <c r="K29" s="399"/>
      <c r="L29" s="400"/>
      <c r="M29" s="12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row>
    <row r="30" spans="2:65" ht="46.5" x14ac:dyDescent="0.35">
      <c r="B30" s="127" t="s">
        <v>110</v>
      </c>
      <c r="C30" s="128" t="s">
        <v>111</v>
      </c>
      <c r="D30" s="206">
        <v>0</v>
      </c>
      <c r="E30" s="201">
        <v>7000</v>
      </c>
      <c r="F30" s="201">
        <f>SUM(D30:E30)</f>
        <v>7000</v>
      </c>
      <c r="G30" s="352">
        <v>0</v>
      </c>
      <c r="H30" s="223">
        <v>0</v>
      </c>
      <c r="I30" s="223">
        <f>G30+H30</f>
        <v>0</v>
      </c>
      <c r="J30" s="129">
        <v>1</v>
      </c>
      <c r="K30" s="130"/>
      <c r="L30" s="131"/>
      <c r="M30" s="132"/>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row>
    <row r="31" spans="2:65" ht="31" x14ac:dyDescent="0.35">
      <c r="B31" s="127" t="s">
        <v>112</v>
      </c>
      <c r="C31" s="128" t="s">
        <v>113</v>
      </c>
      <c r="D31" s="206">
        <v>0</v>
      </c>
      <c r="E31" s="201">
        <v>3000</v>
      </c>
      <c r="F31" s="201">
        <f t="shared" ref="F31:F32" si="11">SUM(D31:E31)</f>
        <v>3000</v>
      </c>
      <c r="G31" s="352">
        <v>0</v>
      </c>
      <c r="H31" s="223">
        <v>0</v>
      </c>
      <c r="I31" s="223">
        <f t="shared" ref="I31" si="12">G31+H31</f>
        <v>0</v>
      </c>
      <c r="J31" s="129">
        <v>1</v>
      </c>
      <c r="K31" s="130"/>
      <c r="L31" s="131"/>
      <c r="M31" s="132"/>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row>
    <row r="32" spans="2:65" ht="31" x14ac:dyDescent="0.35">
      <c r="B32" s="127" t="s">
        <v>114</v>
      </c>
      <c r="C32" s="128" t="s">
        <v>115</v>
      </c>
      <c r="D32" s="206">
        <v>0</v>
      </c>
      <c r="E32" s="201">
        <v>200000</v>
      </c>
      <c r="F32" s="201">
        <f t="shared" si="11"/>
        <v>200000</v>
      </c>
      <c r="G32" s="352">
        <v>0</v>
      </c>
      <c r="H32" s="223">
        <v>132892.12</v>
      </c>
      <c r="I32" s="223">
        <f>G32+H32</f>
        <v>132892.12</v>
      </c>
      <c r="J32" s="129">
        <v>1</v>
      </c>
      <c r="K32" s="130"/>
      <c r="L32" s="131"/>
      <c r="M32" s="132"/>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row>
    <row r="33" spans="1:65" ht="15.5" x14ac:dyDescent="0.35">
      <c r="C33" s="137" t="s">
        <v>116</v>
      </c>
      <c r="D33" s="205">
        <f t="shared" ref="D33:F33" si="13">SUM(D30:D32)</f>
        <v>0</v>
      </c>
      <c r="E33" s="207">
        <f t="shared" si="13"/>
        <v>210000</v>
      </c>
      <c r="F33" s="207">
        <f t="shared" si="13"/>
        <v>210000</v>
      </c>
      <c r="G33" s="370">
        <f>SUM(G30:G32)</f>
        <v>0</v>
      </c>
      <c r="H33" s="227">
        <f>SUM(H30:H32)</f>
        <v>132892.12</v>
      </c>
      <c r="I33" s="227">
        <f>SUM(I30:I32)</f>
        <v>132892.12</v>
      </c>
      <c r="J33" s="91">
        <f>(J30*F30)+(J31*F31)+(J32*F32)</f>
        <v>210000</v>
      </c>
      <c r="K33" s="130"/>
      <c r="L33" s="138"/>
      <c r="M33" s="135"/>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row>
    <row r="34" spans="1:65" s="151" customFormat="1" ht="15.5" x14ac:dyDescent="0.35">
      <c r="A34" s="148"/>
      <c r="B34" s="149" t="s">
        <v>41</v>
      </c>
      <c r="C34" s="140"/>
      <c r="D34" s="202">
        <f t="shared" ref="D34:J34" si="14">D33+D28</f>
        <v>156600</v>
      </c>
      <c r="E34" s="202">
        <f t="shared" si="14"/>
        <v>210000</v>
      </c>
      <c r="F34" s="202">
        <f t="shared" si="14"/>
        <v>366600</v>
      </c>
      <c r="G34" s="141">
        <f>G28+G33</f>
        <v>140577.00999999998</v>
      </c>
      <c r="H34" s="226">
        <f>H28+H33</f>
        <v>132892.12</v>
      </c>
      <c r="I34" s="226">
        <f>I28+I33</f>
        <v>273469.13</v>
      </c>
      <c r="J34" s="141">
        <f t="shared" si="14"/>
        <v>366600</v>
      </c>
      <c r="K34" s="142">
        <v>17.27</v>
      </c>
      <c r="L34" s="150"/>
      <c r="M34" s="135"/>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row>
    <row r="35" spans="1:65" ht="15.75" customHeight="1" x14ac:dyDescent="0.35">
      <c r="B35" s="152"/>
      <c r="C35" s="143"/>
      <c r="D35" s="143"/>
      <c r="E35" s="153"/>
      <c r="F35" s="153"/>
      <c r="G35" s="371"/>
      <c r="H35" s="153"/>
      <c r="I35" s="153"/>
      <c r="J35" s="145"/>
      <c r="K35" s="153"/>
      <c r="L35" s="143"/>
      <c r="M35" s="154"/>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row>
    <row r="36" spans="1:65" ht="15.75" customHeight="1" x14ac:dyDescent="0.35">
      <c r="B36" s="133" t="s">
        <v>117</v>
      </c>
      <c r="C36" s="398" t="s">
        <v>118</v>
      </c>
      <c r="D36" s="399"/>
      <c r="E36" s="399"/>
      <c r="F36" s="399"/>
      <c r="G36" s="399"/>
      <c r="H36" s="399"/>
      <c r="I36" s="399"/>
      <c r="J36" s="399"/>
      <c r="K36" s="399"/>
      <c r="L36" s="400"/>
      <c r="M36" s="125"/>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row>
    <row r="37" spans="1:65" ht="15.75" customHeight="1" x14ac:dyDescent="0.35">
      <c r="B37" s="124" t="s">
        <v>43</v>
      </c>
      <c r="C37" s="398" t="s">
        <v>119</v>
      </c>
      <c r="D37" s="399"/>
      <c r="E37" s="399"/>
      <c r="F37" s="399"/>
      <c r="G37" s="399"/>
      <c r="H37" s="399"/>
      <c r="I37" s="399"/>
      <c r="J37" s="399"/>
      <c r="K37" s="399"/>
      <c r="L37" s="400"/>
      <c r="M37" s="12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row>
    <row r="38" spans="1:65" ht="31" x14ac:dyDescent="0.35">
      <c r="B38" s="127" t="s">
        <v>120</v>
      </c>
      <c r="C38" s="128" t="s">
        <v>121</v>
      </c>
      <c r="D38" s="208"/>
      <c r="E38" s="201">
        <v>10981.16</v>
      </c>
      <c r="F38" s="201">
        <f>D38+E38</f>
        <v>10981.16</v>
      </c>
      <c r="G38" s="352">
        <v>0</v>
      </c>
      <c r="H38" s="223">
        <v>10308.540000000001</v>
      </c>
      <c r="I38" s="223">
        <f>G38+H38</f>
        <v>10308.540000000001</v>
      </c>
      <c r="J38" s="129">
        <v>1</v>
      </c>
      <c r="K38" s="130"/>
      <c r="L38" s="131"/>
      <c r="M38" s="132"/>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row>
    <row r="39" spans="1:65" ht="62" x14ac:dyDescent="0.35">
      <c r="B39" s="127" t="s">
        <v>180</v>
      </c>
      <c r="C39" s="136" t="s">
        <v>122</v>
      </c>
      <c r="D39" s="206">
        <v>15000</v>
      </c>
      <c r="E39" s="201"/>
      <c r="F39" s="201">
        <f>D39+E39</f>
        <v>15000</v>
      </c>
      <c r="G39" s="352">
        <f>GETPIVOTDATA("Expense             ",Feuil6!$A$3,"ACTIVITE","Activite 3.1.2")</f>
        <v>12556.050000000001</v>
      </c>
      <c r="H39" s="223">
        <v>0</v>
      </c>
      <c r="I39" s="223">
        <f>G39+H39</f>
        <v>12556.050000000001</v>
      </c>
      <c r="J39" s="129">
        <v>1</v>
      </c>
      <c r="K39" s="130"/>
      <c r="L39" s="131"/>
      <c r="M39" s="132"/>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row>
    <row r="40" spans="1:65" ht="15.5" x14ac:dyDescent="0.35">
      <c r="C40" s="133" t="s">
        <v>123</v>
      </c>
      <c r="D40" s="202">
        <f t="shared" ref="D40:F40" si="15">SUM(D38:D39)</f>
        <v>15000</v>
      </c>
      <c r="E40" s="203">
        <f t="shared" si="15"/>
        <v>10981.16</v>
      </c>
      <c r="F40" s="203">
        <f t="shared" si="15"/>
        <v>25981.16</v>
      </c>
      <c r="G40" s="367">
        <f>SUM(G38:G39)</f>
        <v>12556.050000000001</v>
      </c>
      <c r="H40" s="224">
        <f>SUM(H38:H39)</f>
        <v>10308.540000000001</v>
      </c>
      <c r="I40" s="224">
        <f>SUM(I38:I39)</f>
        <v>22864.590000000004</v>
      </c>
      <c r="J40" s="91">
        <f>(J38*F38)+(J39*F39)</f>
        <v>25981.16</v>
      </c>
      <c r="K40" s="130"/>
      <c r="L40" s="134"/>
      <c r="M40" s="135"/>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row>
    <row r="41" spans="1:65" ht="15.75" customHeight="1" x14ac:dyDescent="0.35">
      <c r="B41" s="124" t="s">
        <v>124</v>
      </c>
      <c r="C41" s="398" t="s">
        <v>125</v>
      </c>
      <c r="D41" s="399"/>
      <c r="E41" s="399"/>
      <c r="F41" s="399"/>
      <c r="G41" s="399"/>
      <c r="H41" s="399"/>
      <c r="I41" s="399"/>
      <c r="J41" s="399"/>
      <c r="K41" s="399"/>
      <c r="L41" s="400"/>
      <c r="M41" s="12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row>
    <row r="42" spans="1:65" ht="77.5" x14ac:dyDescent="0.35">
      <c r="B42" s="127" t="s">
        <v>181</v>
      </c>
      <c r="C42" s="136" t="s">
        <v>126</v>
      </c>
      <c r="D42" s="206">
        <v>22183</v>
      </c>
      <c r="E42" s="201">
        <v>0</v>
      </c>
      <c r="F42" s="201">
        <f>SUM(D42:E42)</f>
        <v>22183</v>
      </c>
      <c r="G42" s="352">
        <f>GETPIVOTDATA("Expense             ",Feuil6!$A$3,"ACTIVITE","Activite 3.2.1")</f>
        <v>20415.54</v>
      </c>
      <c r="H42" s="223">
        <v>0</v>
      </c>
      <c r="I42" s="347">
        <f>G42+H42</f>
        <v>20415.54</v>
      </c>
      <c r="J42" s="129">
        <v>1</v>
      </c>
      <c r="K42" s="130"/>
      <c r="L42" s="131"/>
      <c r="M42" s="132"/>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row>
    <row r="43" spans="1:65" ht="62" x14ac:dyDescent="0.35">
      <c r="B43" s="127" t="s">
        <v>182</v>
      </c>
      <c r="C43" s="155" t="s">
        <v>127</v>
      </c>
      <c r="D43" s="206">
        <v>49433</v>
      </c>
      <c r="E43" s="201">
        <v>0</v>
      </c>
      <c r="F43" s="201">
        <f>SUM(D43:E43)</f>
        <v>49433</v>
      </c>
      <c r="G43" s="352">
        <f>GETPIVOTDATA("Expense             ",Feuil6!$A$3,"ACTIVITE","Activite 3.2.2")</f>
        <v>42057.75</v>
      </c>
      <c r="H43" s="223">
        <v>0</v>
      </c>
      <c r="I43" s="223">
        <f t="shared" ref="I43:I44" si="16">G43+H43</f>
        <v>42057.75</v>
      </c>
      <c r="J43" s="129">
        <v>1</v>
      </c>
      <c r="K43" s="130"/>
      <c r="L43" s="131"/>
      <c r="M43" s="132"/>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row>
    <row r="44" spans="1:65" ht="31" x14ac:dyDescent="0.35">
      <c r="B44" s="127" t="s">
        <v>183</v>
      </c>
      <c r="C44" s="156" t="s">
        <v>128</v>
      </c>
      <c r="D44" s="206">
        <v>6000</v>
      </c>
      <c r="E44" s="201"/>
      <c r="F44" s="201">
        <f>SUM(D44:E44)</f>
        <v>6000</v>
      </c>
      <c r="G44" s="352">
        <f>GETPIVOTDATA("Expense             ",Feuil6!$A$3,"ACTIVITE","Activite 3.2.3")</f>
        <v>5767.75</v>
      </c>
      <c r="H44" s="223">
        <f>SUM(H42:H43)</f>
        <v>0</v>
      </c>
      <c r="I44" s="223">
        <f t="shared" si="16"/>
        <v>5767.75</v>
      </c>
      <c r="J44" s="129">
        <v>1</v>
      </c>
      <c r="K44" s="130"/>
      <c r="L44" s="131"/>
      <c r="M44" s="132"/>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row>
    <row r="45" spans="1:65" ht="15.5" x14ac:dyDescent="0.35">
      <c r="C45" s="133" t="s">
        <v>129</v>
      </c>
      <c r="D45" s="202">
        <f t="shared" ref="D45:F45" si="17">SUM(D42:D44)</f>
        <v>77616</v>
      </c>
      <c r="E45" s="207">
        <f t="shared" si="17"/>
        <v>0</v>
      </c>
      <c r="F45" s="207">
        <f t="shared" si="17"/>
        <v>77616</v>
      </c>
      <c r="G45" s="370">
        <f>SUM(G42:G44)</f>
        <v>68241.040000000008</v>
      </c>
      <c r="H45" s="227">
        <f>SUM(H42:H44)</f>
        <v>0</v>
      </c>
      <c r="I45" s="227">
        <f>SUM(I42:I44)</f>
        <v>68241.040000000008</v>
      </c>
      <c r="J45" s="91">
        <f>(J42*F42)+(J43*F43)+(J44*F44)</f>
        <v>77616</v>
      </c>
      <c r="K45" s="130"/>
      <c r="L45" s="134"/>
      <c r="M45" s="135"/>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row>
    <row r="46" spans="1:65" ht="15.75" customHeight="1" x14ac:dyDescent="0.35">
      <c r="B46" s="133" t="s">
        <v>47</v>
      </c>
      <c r="C46" s="398" t="s">
        <v>130</v>
      </c>
      <c r="D46" s="399"/>
      <c r="E46" s="399"/>
      <c r="F46" s="399"/>
      <c r="G46" s="399"/>
      <c r="H46" s="399"/>
      <c r="I46" s="399"/>
      <c r="J46" s="399"/>
      <c r="K46" s="399"/>
      <c r="L46" s="400"/>
      <c r="M46" s="12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row>
    <row r="47" spans="1:65" ht="53.5" customHeight="1" x14ac:dyDescent="0.35">
      <c r="B47" s="127" t="s">
        <v>187</v>
      </c>
      <c r="C47" s="128" t="s">
        <v>131</v>
      </c>
      <c r="D47" s="206">
        <v>9300</v>
      </c>
      <c r="E47" s="209"/>
      <c r="F47" s="201">
        <f>SUM(D47:E47)</f>
        <v>9300</v>
      </c>
      <c r="G47" s="352">
        <f>GETPIVOTDATA("Expense             ",Feuil6!$A$3,"ACTIVITE","Activite 3.3.1")</f>
        <v>18658.559999999998</v>
      </c>
      <c r="H47" s="223"/>
      <c r="I47" s="223">
        <f>G47+H47</f>
        <v>18658.559999999998</v>
      </c>
      <c r="J47" s="129">
        <v>1</v>
      </c>
      <c r="K47" s="130"/>
      <c r="L47" s="131"/>
      <c r="M47" s="132"/>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row>
    <row r="48" spans="1:65" ht="31" x14ac:dyDescent="0.35">
      <c r="B48" s="127" t="s">
        <v>132</v>
      </c>
      <c r="C48" s="128" t="s">
        <v>133</v>
      </c>
      <c r="D48" s="206"/>
      <c r="E48" s="210">
        <v>13500</v>
      </c>
      <c r="F48" s="201">
        <f>SUM(D48:E48)</f>
        <v>13500</v>
      </c>
      <c r="G48" s="352">
        <v>0</v>
      </c>
      <c r="H48" s="223">
        <v>15290</v>
      </c>
      <c r="I48" s="223">
        <f t="shared" ref="I48:I50" si="18">G48+H48</f>
        <v>15290</v>
      </c>
      <c r="J48" s="129">
        <v>1</v>
      </c>
      <c r="K48" s="130"/>
      <c r="L48" s="131"/>
      <c r="M48" s="132"/>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row>
    <row r="49" spans="1:65" ht="31" x14ac:dyDescent="0.35">
      <c r="B49" s="127" t="s">
        <v>184</v>
      </c>
      <c r="C49" s="136" t="s">
        <v>134</v>
      </c>
      <c r="D49" s="206">
        <v>500</v>
      </c>
      <c r="E49" s="201"/>
      <c r="F49" s="201">
        <f>SUM(D49:E49)</f>
        <v>500</v>
      </c>
      <c r="G49" s="352">
        <f>GETPIVOTDATA("Expense             ",Feuil6!$A$3,"ACTIVITE","Activite 3.3.3")</f>
        <v>491.22</v>
      </c>
      <c r="H49" s="223">
        <v>0</v>
      </c>
      <c r="I49" s="223">
        <f t="shared" si="18"/>
        <v>491.22</v>
      </c>
      <c r="J49" s="129">
        <v>1</v>
      </c>
      <c r="K49" s="130"/>
      <c r="L49" s="131"/>
      <c r="M49" s="132"/>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row>
    <row r="50" spans="1:65" ht="31" x14ac:dyDescent="0.35">
      <c r="B50" s="127" t="s">
        <v>135</v>
      </c>
      <c r="C50" s="128" t="s">
        <v>136</v>
      </c>
      <c r="D50" s="206"/>
      <c r="E50" s="201">
        <v>6800</v>
      </c>
      <c r="F50" s="201">
        <f>SUM(D50:E50)</f>
        <v>6800</v>
      </c>
      <c r="G50" s="352">
        <v>0</v>
      </c>
      <c r="H50" s="223">
        <v>7735.4</v>
      </c>
      <c r="I50" s="223">
        <f t="shared" si="18"/>
        <v>7735.4</v>
      </c>
      <c r="J50" s="129">
        <v>1</v>
      </c>
      <c r="K50" s="130"/>
      <c r="L50" s="131"/>
      <c r="M50" s="132"/>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row>
    <row r="51" spans="1:65" ht="15.5" x14ac:dyDescent="0.35">
      <c r="C51" s="133" t="s">
        <v>137</v>
      </c>
      <c r="D51" s="202">
        <f t="shared" ref="D51:F51" si="19">SUM(D47:D50)</f>
        <v>9800</v>
      </c>
      <c r="E51" s="211">
        <f t="shared" si="19"/>
        <v>20300</v>
      </c>
      <c r="F51" s="207">
        <f t="shared" si="19"/>
        <v>30100</v>
      </c>
      <c r="G51" s="370">
        <f>SUM(G47:G50)</f>
        <v>19149.78</v>
      </c>
      <c r="H51" s="227">
        <f>SUM(H47:H50)</f>
        <v>23025.4</v>
      </c>
      <c r="I51" s="227">
        <f>SUM(I47:I50)</f>
        <v>42175.18</v>
      </c>
      <c r="J51" s="91">
        <f>(J47*F47)+(J48*F48)+(J49*F49)+(J50*F50)</f>
        <v>30100</v>
      </c>
      <c r="K51" s="130"/>
      <c r="L51" s="134"/>
      <c r="M51" s="135"/>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row>
    <row r="52" spans="1:65" ht="37.5" customHeight="1" x14ac:dyDescent="0.35">
      <c r="B52" s="133" t="s">
        <v>49</v>
      </c>
      <c r="C52" s="398" t="s">
        <v>138</v>
      </c>
      <c r="D52" s="399"/>
      <c r="E52" s="399"/>
      <c r="F52" s="399"/>
      <c r="G52" s="399"/>
      <c r="H52" s="399"/>
      <c r="I52" s="399"/>
      <c r="J52" s="399"/>
      <c r="K52" s="399"/>
      <c r="L52" s="400"/>
      <c r="M52" s="12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row>
    <row r="53" spans="1:65" ht="49.5" customHeight="1" x14ac:dyDescent="0.35">
      <c r="B53" s="127" t="s">
        <v>185</v>
      </c>
      <c r="C53" s="128" t="s">
        <v>139</v>
      </c>
      <c r="D53" s="206">
        <v>1200</v>
      </c>
      <c r="E53" s="201">
        <v>0</v>
      </c>
      <c r="F53" s="201">
        <f>SUM(D53:E53)</f>
        <v>1200</v>
      </c>
      <c r="G53" s="352">
        <f>GETPIVOTDATA("Expense             ",Feuil6!$A$3,"ACTIVITE","Activite 3.4.1")</f>
        <v>38.940000000000005</v>
      </c>
      <c r="H53" s="223">
        <v>0</v>
      </c>
      <c r="I53" s="223">
        <f>G53+H53</f>
        <v>38.940000000000005</v>
      </c>
      <c r="J53" s="129">
        <v>1</v>
      </c>
      <c r="K53" s="130"/>
      <c r="L53" s="131"/>
      <c r="M53" s="132"/>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row>
    <row r="54" spans="1:65" ht="51" customHeight="1" x14ac:dyDescent="0.35">
      <c r="B54" s="127" t="s">
        <v>140</v>
      </c>
      <c r="C54" s="128" t="s">
        <v>141</v>
      </c>
      <c r="D54" s="206"/>
      <c r="E54" s="210">
        <v>1580</v>
      </c>
      <c r="F54" s="201">
        <f>SUM(D54:E54)</f>
        <v>1580</v>
      </c>
      <c r="G54" s="352"/>
      <c r="H54" s="223">
        <v>10462.94</v>
      </c>
      <c r="I54" s="223">
        <f t="shared" ref="I54:I56" si="20">G54+H54</f>
        <v>10462.94</v>
      </c>
      <c r="J54" s="129">
        <v>1</v>
      </c>
      <c r="K54" s="130"/>
      <c r="L54" s="131"/>
      <c r="M54" s="132"/>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row>
    <row r="55" spans="1:65" ht="30.75" customHeight="1" x14ac:dyDescent="0.35">
      <c r="B55" s="127" t="s">
        <v>186</v>
      </c>
      <c r="C55" s="128" t="s">
        <v>142</v>
      </c>
      <c r="D55" s="206">
        <v>84000</v>
      </c>
      <c r="E55" s="210">
        <v>0</v>
      </c>
      <c r="F55" s="201">
        <f>SUM(D55:E55)</f>
        <v>84000</v>
      </c>
      <c r="G55" s="352">
        <f>GETPIVOTDATA("Expense             ",Feuil6!$A$3,"ACTIVITE","Activite 3.4.3")+2047.28</f>
        <v>76341.97</v>
      </c>
      <c r="H55" s="223">
        <v>0</v>
      </c>
      <c r="I55" s="223">
        <f t="shared" si="20"/>
        <v>76341.97</v>
      </c>
      <c r="J55" s="129">
        <v>1</v>
      </c>
      <c r="K55" s="130"/>
      <c r="L55" s="131"/>
      <c r="M55" s="132"/>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row>
    <row r="56" spans="1:65" ht="33" customHeight="1" x14ac:dyDescent="0.35">
      <c r="B56" s="127" t="s">
        <v>143</v>
      </c>
      <c r="C56" s="128" t="s">
        <v>144</v>
      </c>
      <c r="D56" s="204"/>
      <c r="E56" s="210">
        <v>154680</v>
      </c>
      <c r="F56" s="201">
        <f>SUM(D56:E56)</f>
        <v>154680</v>
      </c>
      <c r="G56" s="352">
        <v>0</v>
      </c>
      <c r="H56" s="223">
        <v>31218.36</v>
      </c>
      <c r="I56" s="223">
        <f t="shared" si="20"/>
        <v>31218.36</v>
      </c>
      <c r="J56" s="129">
        <v>1</v>
      </c>
      <c r="K56" s="130"/>
      <c r="L56" s="131"/>
      <c r="M56" s="132"/>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row>
    <row r="57" spans="1:65" ht="15.5" x14ac:dyDescent="0.35">
      <c r="C57" s="137" t="s">
        <v>145</v>
      </c>
      <c r="D57" s="205">
        <f t="shared" ref="D57:F57" si="21">SUM(D53:D56)</f>
        <v>85200</v>
      </c>
      <c r="E57" s="211">
        <f t="shared" si="21"/>
        <v>156260</v>
      </c>
      <c r="F57" s="207">
        <f t="shared" si="21"/>
        <v>241460</v>
      </c>
      <c r="G57" s="370">
        <f>SUM(G53:G56)</f>
        <v>76380.91</v>
      </c>
      <c r="H57" s="227">
        <f>SUM(H53:H56)</f>
        <v>41681.300000000003</v>
      </c>
      <c r="I57" s="227">
        <f>SUM(I53:I56)</f>
        <v>118062.21</v>
      </c>
      <c r="J57" s="91">
        <f>(J53*F53)+(J54*F54)+(J55*F55)+(J56*F56)</f>
        <v>241460</v>
      </c>
      <c r="K57" s="130"/>
      <c r="L57" s="138"/>
      <c r="M57" s="135"/>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row>
    <row r="58" spans="1:65" s="151" customFormat="1" ht="15.75" customHeight="1" x14ac:dyDescent="0.35">
      <c r="A58" s="148"/>
      <c r="B58" s="140" t="s">
        <v>51</v>
      </c>
      <c r="C58" s="157"/>
      <c r="D58" s="212">
        <f t="shared" ref="D58:E58" si="22">D57+D51+D45+D40</f>
        <v>187616</v>
      </c>
      <c r="E58" s="212">
        <f t="shared" si="22"/>
        <v>187541.16</v>
      </c>
      <c r="F58" s="212">
        <f>F57+F51+F45+F40</f>
        <v>375157.16</v>
      </c>
      <c r="G58" s="158">
        <f>G40+G45+G51+G57</f>
        <v>176327.78000000003</v>
      </c>
      <c r="H58" s="228">
        <f>H40+H45+H51+H57</f>
        <v>75015.240000000005</v>
      </c>
      <c r="I58" s="228">
        <f>I40+I45+I51+I57</f>
        <v>251343.02000000002</v>
      </c>
      <c r="J58" s="158">
        <f>J57+J51+J45+J40</f>
        <v>375157.16</v>
      </c>
      <c r="K58" s="142">
        <v>27.39</v>
      </c>
      <c r="L58" s="159"/>
      <c r="M58" s="154"/>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row>
    <row r="59" spans="1:65" ht="15.75" customHeight="1" x14ac:dyDescent="0.35">
      <c r="B59" s="152"/>
      <c r="C59" s="143"/>
      <c r="D59" s="143"/>
      <c r="E59" s="153"/>
      <c r="F59" s="153"/>
      <c r="G59" s="371"/>
      <c r="H59" s="153"/>
      <c r="I59" s="153"/>
      <c r="J59" s="145"/>
      <c r="K59" s="153"/>
      <c r="L59" s="143"/>
      <c r="M59" s="154"/>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row>
    <row r="60" spans="1:65" ht="15.75" customHeight="1" x14ac:dyDescent="0.35">
      <c r="B60" s="152"/>
      <c r="C60" s="143"/>
      <c r="D60" s="143"/>
      <c r="E60" s="153"/>
      <c r="F60" s="153"/>
      <c r="G60" s="371"/>
      <c r="H60" s="153"/>
      <c r="I60" s="153"/>
      <c r="J60" s="145"/>
      <c r="K60" s="153"/>
      <c r="L60" s="143"/>
      <c r="M60" s="154"/>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row>
    <row r="61" spans="1:65" ht="123.65" customHeight="1" x14ac:dyDescent="0.35">
      <c r="B61" s="133" t="s">
        <v>146</v>
      </c>
      <c r="C61" s="359" t="s">
        <v>192</v>
      </c>
      <c r="D61" s="201">
        <v>185666</v>
      </c>
      <c r="E61" s="201">
        <v>86094</v>
      </c>
      <c r="F61" s="201">
        <f>SUM(D61:E61)</f>
        <v>271760</v>
      </c>
      <c r="G61" s="352">
        <f>GETPIVOTDATA("Expense             ",Feuil6!$A$3,"ACTIVITE","staff")</f>
        <v>185892.94999999998</v>
      </c>
      <c r="H61" s="223">
        <v>72725</v>
      </c>
      <c r="I61" s="352">
        <f>G61+H61</f>
        <v>258617.94999999998</v>
      </c>
      <c r="J61" s="129">
        <v>0.5</v>
      </c>
      <c r="K61" s="160"/>
      <c r="L61" s="161"/>
      <c r="M61" s="135"/>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row>
    <row r="62" spans="1:65" ht="117" customHeight="1" x14ac:dyDescent="0.35">
      <c r="B62" s="133" t="s">
        <v>147</v>
      </c>
      <c r="C62" s="358" t="s">
        <v>193</v>
      </c>
      <c r="D62" s="201">
        <v>54194</v>
      </c>
      <c r="E62" s="201">
        <v>7100</v>
      </c>
      <c r="F62" s="201">
        <f t="shared" ref="F62:F64" si="23">SUM(D62:E62)</f>
        <v>61294</v>
      </c>
      <c r="G62" s="352">
        <f>GETPIVOTDATA("Expense             ",Feuil6!$A$3,"ACTIVITE","office")</f>
        <v>43809.78</v>
      </c>
      <c r="H62" s="223">
        <v>13675.72</v>
      </c>
      <c r="I62" s="352">
        <f t="shared" ref="I62:I64" si="24">G62+H62</f>
        <v>57485.5</v>
      </c>
      <c r="J62" s="129"/>
      <c r="K62" s="160"/>
      <c r="L62" s="161"/>
      <c r="M62" s="135"/>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row>
    <row r="63" spans="1:65" ht="74.150000000000006" customHeight="1" x14ac:dyDescent="0.35">
      <c r="B63" s="133" t="s">
        <v>149</v>
      </c>
      <c r="C63" s="358" t="s">
        <v>191</v>
      </c>
      <c r="D63" s="201">
        <v>23591</v>
      </c>
      <c r="E63" s="201">
        <v>9364</v>
      </c>
      <c r="F63" s="201">
        <f t="shared" si="23"/>
        <v>32955</v>
      </c>
      <c r="G63" s="352">
        <f>GETPIVOTDATA("Expense             ",Feuil6!$A$3,"ACTIVITE","suivi")</f>
        <v>22666.76</v>
      </c>
      <c r="H63" s="223">
        <v>5465.36</v>
      </c>
      <c r="I63" s="352">
        <f t="shared" si="24"/>
        <v>28132.12</v>
      </c>
      <c r="J63" s="129">
        <v>1</v>
      </c>
      <c r="K63" s="160"/>
      <c r="L63" s="161"/>
      <c r="M63" s="135"/>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row>
    <row r="64" spans="1:65" ht="65.25" customHeight="1" x14ac:dyDescent="0.35">
      <c r="B64" s="162" t="s">
        <v>150</v>
      </c>
      <c r="C64" s="163" t="s">
        <v>190</v>
      </c>
      <c r="D64" s="201">
        <v>30000</v>
      </c>
      <c r="E64" s="201"/>
      <c r="F64" s="201">
        <f t="shared" si="23"/>
        <v>30000</v>
      </c>
      <c r="G64" s="352">
        <f>GETPIVOTDATA("Expense             ",Feuil6!$A$3,"ACTIVITE","eval")</f>
        <v>28617.96</v>
      </c>
      <c r="H64" s="223">
        <v>0</v>
      </c>
      <c r="I64" s="352">
        <f t="shared" si="24"/>
        <v>28617.96</v>
      </c>
      <c r="J64" s="129">
        <v>1</v>
      </c>
      <c r="K64" s="160"/>
      <c r="L64" s="161"/>
      <c r="M64" s="135"/>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row>
    <row r="65" spans="2:71" ht="15.5" x14ac:dyDescent="0.35">
      <c r="B65" s="152"/>
      <c r="C65" s="164" t="s">
        <v>151</v>
      </c>
      <c r="D65" s="213">
        <f t="shared" ref="D65:I65" si="25">SUM(D61:D64)</f>
        <v>293451</v>
      </c>
      <c r="E65" s="213">
        <f t="shared" si="25"/>
        <v>102558</v>
      </c>
      <c r="F65" s="213">
        <f t="shared" si="25"/>
        <v>396009</v>
      </c>
      <c r="G65" s="353">
        <f t="shared" si="25"/>
        <v>280987.45</v>
      </c>
      <c r="H65" s="229">
        <f t="shared" si="25"/>
        <v>91866.08</v>
      </c>
      <c r="I65" s="353">
        <f t="shared" si="25"/>
        <v>372853.52999999997</v>
      </c>
      <c r="J65" s="165">
        <f>(J61*F61)+(J62*F62)+(J63*F63)+(J64*F64)</f>
        <v>198835</v>
      </c>
      <c r="K65" s="130"/>
      <c r="L65" s="163"/>
      <c r="M65" s="154"/>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row>
    <row r="66" spans="2:71" ht="15.75" customHeight="1" thickBot="1" x14ac:dyDescent="0.4">
      <c r="B66" s="152"/>
      <c r="C66" s="143"/>
      <c r="D66" s="143"/>
      <c r="E66" s="153"/>
      <c r="F66" s="153"/>
      <c r="G66" s="371"/>
      <c r="H66" s="153"/>
      <c r="I66" s="153"/>
      <c r="J66" s="145"/>
      <c r="K66" s="153"/>
      <c r="L66" s="143"/>
      <c r="M66" s="154"/>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row>
    <row r="67" spans="2:71" ht="15.75" customHeight="1" thickBot="1" x14ac:dyDescent="0.4">
      <c r="B67" s="152"/>
      <c r="C67" s="166" t="s">
        <v>152</v>
      </c>
      <c r="D67" s="167">
        <f t="shared" ref="D67" si="26">D65+D58+D34+D21</f>
        <v>747770</v>
      </c>
      <c r="E67" s="167">
        <f>E65+E58+E34+E21</f>
        <v>654099.16</v>
      </c>
      <c r="F67" s="167">
        <f>F65+F58+F34+F21</f>
        <v>1401869.16</v>
      </c>
      <c r="G67" s="354">
        <f>G21+G34+G58+G65</f>
        <v>702856.55</v>
      </c>
      <c r="H67" s="230">
        <f>H21+H34+H58+H65</f>
        <v>382700.36</v>
      </c>
      <c r="I67" s="354">
        <f>I21+I34+I58+I65</f>
        <v>1085556.9099999999</v>
      </c>
      <c r="J67" s="167"/>
      <c r="K67" s="167"/>
      <c r="L67" s="168"/>
      <c r="M67" s="154"/>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row>
    <row r="68" spans="2:71" s="116" customFormat="1" ht="15.75" customHeight="1" x14ac:dyDescent="0.35">
      <c r="B68" s="152"/>
      <c r="C68" s="143"/>
      <c r="D68" s="143"/>
      <c r="E68" s="153"/>
      <c r="F68" s="153"/>
      <c r="G68" s="371"/>
      <c r="H68" s="153"/>
      <c r="I68" s="153"/>
      <c r="J68" s="145"/>
      <c r="K68" s="153"/>
      <c r="L68" s="143"/>
      <c r="M68" s="154"/>
    </row>
    <row r="69" spans="2:71" s="116" customFormat="1" ht="15.75" customHeight="1" x14ac:dyDescent="0.35">
      <c r="B69" s="152"/>
      <c r="C69" s="143"/>
      <c r="D69" s="143"/>
      <c r="E69" s="153"/>
      <c r="F69" s="153"/>
      <c r="G69" s="371"/>
      <c r="H69" s="153"/>
      <c r="I69" s="153"/>
      <c r="J69" s="145"/>
      <c r="K69" s="153"/>
      <c r="L69" s="143"/>
      <c r="M69" s="154"/>
    </row>
    <row r="70" spans="2:71" s="116" customFormat="1" ht="15.75" customHeight="1" x14ac:dyDescent="0.35">
      <c r="B70" s="152"/>
      <c r="C70" s="143"/>
      <c r="D70" s="143"/>
      <c r="E70" s="153"/>
      <c r="F70" s="153"/>
      <c r="G70" s="371"/>
      <c r="H70" s="153"/>
      <c r="I70" s="153"/>
      <c r="J70" s="145"/>
      <c r="K70" s="153"/>
      <c r="L70" s="143"/>
      <c r="M70" s="154"/>
    </row>
    <row r="71" spans="2:71" s="116" customFormat="1" ht="15.75" customHeight="1" x14ac:dyDescent="0.35">
      <c r="B71" s="152"/>
      <c r="C71" s="143"/>
      <c r="D71" s="143"/>
      <c r="E71" s="153"/>
      <c r="F71" s="153"/>
      <c r="G71" s="371"/>
      <c r="H71" s="153"/>
      <c r="I71" s="153"/>
      <c r="J71" s="145"/>
      <c r="K71" s="153"/>
      <c r="L71" s="153"/>
      <c r="M71" s="153"/>
      <c r="N71" s="153"/>
      <c r="O71" s="153"/>
      <c r="P71" s="153"/>
    </row>
    <row r="72" spans="2:71" s="116" customFormat="1" ht="15.75" customHeight="1" x14ac:dyDescent="0.35">
      <c r="B72" s="152"/>
      <c r="C72" s="143"/>
      <c r="D72" s="143"/>
      <c r="E72" s="153"/>
      <c r="F72" s="153"/>
      <c r="G72" s="371"/>
      <c r="H72" s="153"/>
      <c r="I72" s="153"/>
      <c r="J72" s="145"/>
      <c r="K72" s="153"/>
      <c r="L72" s="153"/>
      <c r="M72" s="153"/>
      <c r="N72" s="153"/>
      <c r="O72" s="153"/>
      <c r="P72" s="153"/>
    </row>
    <row r="73" spans="2:71" ht="15.5" x14ac:dyDescent="0.35">
      <c r="B73" s="152"/>
      <c r="C73" s="422" t="s">
        <v>153</v>
      </c>
      <c r="D73" s="423"/>
      <c r="E73" s="423"/>
      <c r="F73" s="423"/>
      <c r="G73" s="423"/>
      <c r="H73" s="423"/>
      <c r="I73" s="423"/>
      <c r="J73" s="169"/>
      <c r="K73" s="170"/>
      <c r="L73" s="153"/>
      <c r="M73" s="153"/>
      <c r="N73" s="153"/>
      <c r="O73" s="153"/>
      <c r="P73" s="153"/>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row>
    <row r="74" spans="2:71" ht="40.5" customHeight="1" x14ac:dyDescent="0.35">
      <c r="B74" s="152"/>
      <c r="C74" s="424">
        <f>'[1]1) Tableau budgétaire 1'!C196</f>
        <v>0</v>
      </c>
      <c r="D74" s="214" t="s">
        <v>5</v>
      </c>
      <c r="E74" s="214" t="s">
        <v>6</v>
      </c>
      <c r="F74" s="214" t="s">
        <v>8</v>
      </c>
      <c r="G74" s="355" t="s">
        <v>5</v>
      </c>
      <c r="H74" s="231" t="s">
        <v>154</v>
      </c>
      <c r="I74" s="231" t="s">
        <v>8</v>
      </c>
      <c r="J74" s="153"/>
      <c r="K74" s="153"/>
      <c r="L74" s="153"/>
      <c r="M74" s="153"/>
      <c r="N74" s="153"/>
      <c r="O74" s="153"/>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row>
    <row r="75" spans="2:71" ht="15.5" x14ac:dyDescent="0.35">
      <c r="B75" s="152"/>
      <c r="C75" s="425"/>
      <c r="D75" s="214" t="s">
        <v>10</v>
      </c>
      <c r="E75" s="215">
        <f>J8</f>
        <v>0</v>
      </c>
      <c r="F75" s="214"/>
      <c r="G75" s="355" t="s">
        <v>10</v>
      </c>
      <c r="H75" s="231" t="s">
        <v>9</v>
      </c>
      <c r="I75" s="231"/>
      <c r="J75" s="153"/>
      <c r="K75" s="153"/>
      <c r="L75" s="153"/>
      <c r="M75" s="153"/>
      <c r="N75" s="153"/>
      <c r="O75" s="153"/>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row>
    <row r="76" spans="2:71" ht="41.25" customHeight="1" x14ac:dyDescent="0.35">
      <c r="B76" s="171"/>
      <c r="C76" s="172" t="s">
        <v>71</v>
      </c>
      <c r="D76" s="214">
        <v>747770</v>
      </c>
      <c r="E76" s="216">
        <v>654099.16</v>
      </c>
      <c r="F76" s="214">
        <f>SUM(D76:E76)</f>
        <v>1401869.1600000001</v>
      </c>
      <c r="G76" s="355">
        <f>G67</f>
        <v>702856.55</v>
      </c>
      <c r="H76" s="231">
        <f>H67</f>
        <v>382700.36</v>
      </c>
      <c r="I76" s="231">
        <f>G76+H76</f>
        <v>1085556.9100000001</v>
      </c>
      <c r="J76" s="153"/>
      <c r="K76" s="153"/>
      <c r="L76" s="153"/>
      <c r="M76" s="153"/>
      <c r="N76" s="153"/>
      <c r="O76" s="153"/>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row>
    <row r="77" spans="2:71" ht="51.75" customHeight="1" x14ac:dyDescent="0.35">
      <c r="B77" s="143"/>
      <c r="C77" s="172" t="s">
        <v>72</v>
      </c>
      <c r="D77" s="214">
        <f t="shared" ref="D77:I77" si="27">D76*0.07</f>
        <v>52343.9</v>
      </c>
      <c r="E77" s="216">
        <f t="shared" si="27"/>
        <v>45786.941200000008</v>
      </c>
      <c r="F77" s="214">
        <f t="shared" si="27"/>
        <v>98130.841200000024</v>
      </c>
      <c r="G77" s="355">
        <f t="shared" si="27"/>
        <v>49199.958500000008</v>
      </c>
      <c r="H77" s="355">
        <v>21207.45</v>
      </c>
      <c r="I77" s="355">
        <f t="shared" si="27"/>
        <v>75988.983700000012</v>
      </c>
      <c r="J77" s="153"/>
      <c r="K77" s="153"/>
      <c r="L77" s="153"/>
      <c r="M77" s="153"/>
      <c r="N77" s="153"/>
      <c r="O77" s="153"/>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row>
    <row r="78" spans="2:71" ht="51.75" customHeight="1" thickBot="1" x14ac:dyDescent="0.4">
      <c r="B78" s="143"/>
      <c r="C78" s="173" t="s">
        <v>8</v>
      </c>
      <c r="D78" s="214">
        <f>D76+D77</f>
        <v>800113.9</v>
      </c>
      <c r="E78" s="217">
        <f>E76+E77</f>
        <v>699886.10120000003</v>
      </c>
      <c r="F78" s="214">
        <f>SUM(F76:F77)</f>
        <v>1500000.0012000003</v>
      </c>
      <c r="G78" s="355">
        <f>SUM(G76:G77)</f>
        <v>752056.5085</v>
      </c>
      <c r="H78" s="348">
        <f>SUM(H76:H77)</f>
        <v>403907.81</v>
      </c>
      <c r="I78" s="348">
        <f>SUM(I76:I77)</f>
        <v>1161545.8937000001</v>
      </c>
      <c r="J78" s="153"/>
      <c r="K78" s="153"/>
      <c r="L78" s="153"/>
      <c r="M78" s="153"/>
      <c r="N78" s="153"/>
      <c r="O78" s="153"/>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row>
    <row r="79" spans="2:71" ht="42" customHeight="1" x14ac:dyDescent="0.35">
      <c r="B79" s="143"/>
      <c r="C79" s="116"/>
      <c r="D79" s="153"/>
      <c r="E79" s="153"/>
      <c r="F79" s="153"/>
      <c r="G79" s="371"/>
      <c r="H79" s="153"/>
      <c r="I79" s="153"/>
      <c r="J79" s="153"/>
      <c r="K79" s="153"/>
      <c r="L79" s="153"/>
      <c r="M79" s="174"/>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row>
    <row r="80" spans="2:71" s="116" customFormat="1" ht="29.25" customHeight="1" thickBot="1" x14ac:dyDescent="0.4">
      <c r="B80" s="143"/>
      <c r="C80" s="175"/>
      <c r="D80" s="153"/>
      <c r="E80" s="153"/>
      <c r="F80" s="153"/>
      <c r="G80" s="371"/>
      <c r="H80" s="153"/>
      <c r="I80" s="153"/>
      <c r="J80" s="153"/>
      <c r="K80" s="153"/>
      <c r="L80" s="153"/>
      <c r="M80" s="153"/>
      <c r="N80" s="153"/>
      <c r="O80" s="153"/>
    </row>
    <row r="81" spans="2:71" ht="23.25" customHeight="1" x14ac:dyDescent="0.35">
      <c r="B81" s="174"/>
      <c r="C81" s="426" t="s">
        <v>155</v>
      </c>
      <c r="D81" s="427"/>
      <c r="E81" s="427"/>
      <c r="F81" s="427"/>
      <c r="G81" s="428"/>
      <c r="H81" s="153"/>
      <c r="I81" s="153"/>
      <c r="J81" s="153"/>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row>
    <row r="82" spans="2:71" ht="41.25" customHeight="1" x14ac:dyDescent="0.35">
      <c r="B82" s="174"/>
      <c r="C82" s="176"/>
      <c r="D82" s="214" t="s">
        <v>5</v>
      </c>
      <c r="E82" s="214" t="s">
        <v>6</v>
      </c>
      <c r="F82" s="218" t="s">
        <v>8</v>
      </c>
      <c r="G82" s="416" t="s">
        <v>156</v>
      </c>
      <c r="H82" s="153"/>
      <c r="I82" s="153"/>
      <c r="J82" s="153"/>
      <c r="K82" s="345"/>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row>
    <row r="83" spans="2:71" ht="15.5" x14ac:dyDescent="0.35">
      <c r="B83" s="174"/>
      <c r="C83" s="176"/>
      <c r="D83" s="215" t="s">
        <v>10</v>
      </c>
      <c r="E83" s="215" t="s">
        <v>9</v>
      </c>
      <c r="F83" s="218">
        <f>K8</f>
        <v>0</v>
      </c>
      <c r="G83" s="417"/>
      <c r="H83" s="153"/>
      <c r="I83" s="153"/>
      <c r="J83" s="153"/>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row>
    <row r="84" spans="2:71" ht="55.5" customHeight="1" x14ac:dyDescent="0.35">
      <c r="B84" s="174"/>
      <c r="C84" s="177" t="s">
        <v>157</v>
      </c>
      <c r="D84" s="219">
        <v>560079.73</v>
      </c>
      <c r="E84" s="219">
        <v>489920.27</v>
      </c>
      <c r="F84" s="219">
        <f>D84+E84</f>
        <v>1050000</v>
      </c>
      <c r="G84" s="372">
        <v>0.7</v>
      </c>
      <c r="H84" s="153"/>
      <c r="I84" s="153"/>
      <c r="J84" s="153"/>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row>
    <row r="85" spans="2:71" ht="57.75" customHeight="1" x14ac:dyDescent="0.35">
      <c r="B85" s="418"/>
      <c r="C85" s="178" t="s">
        <v>158</v>
      </c>
      <c r="D85" s="219">
        <v>240034.17</v>
      </c>
      <c r="E85" s="219">
        <v>0</v>
      </c>
      <c r="F85" s="219">
        <f>D85+E85</f>
        <v>240034.17</v>
      </c>
      <c r="G85" s="373">
        <v>0.3</v>
      </c>
      <c r="H85" s="153"/>
      <c r="I85" s="153"/>
      <c r="J85" s="153"/>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row>
    <row r="86" spans="2:71" ht="38.25" customHeight="1" thickBot="1" x14ac:dyDescent="0.4">
      <c r="B86" s="418"/>
      <c r="C86" s="173" t="s">
        <v>8</v>
      </c>
      <c r="D86" s="220">
        <v>800113.9</v>
      </c>
      <c r="E86" s="221">
        <f>SUM(E84:E85)</f>
        <v>489920.27</v>
      </c>
      <c r="F86" s="221">
        <f>SUM(F84:F85)</f>
        <v>1290034.17</v>
      </c>
      <c r="G86" s="374">
        <v>1</v>
      </c>
      <c r="H86" s="153"/>
      <c r="I86" s="153"/>
      <c r="J86" s="153"/>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row>
    <row r="87" spans="2:71" ht="21.75" customHeight="1" thickBot="1" x14ac:dyDescent="0.4">
      <c r="B87" s="418"/>
      <c r="C87" s="179"/>
      <c r="D87" s="153"/>
      <c r="E87" s="179"/>
      <c r="F87" s="179"/>
      <c r="G87" s="375"/>
      <c r="H87" s="179"/>
      <c r="I87" s="179"/>
      <c r="J87" s="179"/>
      <c r="K87" s="180"/>
      <c r="L87" s="181"/>
      <c r="M87" s="153"/>
      <c r="N87" s="153"/>
      <c r="O87" s="153"/>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row>
    <row r="88" spans="2:71" ht="49.5" customHeight="1" x14ac:dyDescent="0.35">
      <c r="B88" s="418"/>
      <c r="C88" s="182" t="s">
        <v>159</v>
      </c>
      <c r="D88" s="183"/>
      <c r="E88" s="183"/>
      <c r="F88" s="184">
        <v>1269851.56</v>
      </c>
      <c r="G88" s="376" t="s">
        <v>148</v>
      </c>
      <c r="H88" s="153"/>
      <c r="I88" s="153"/>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row>
    <row r="89" spans="2:71" ht="28.5" customHeight="1" x14ac:dyDescent="0.35">
      <c r="B89" s="418"/>
      <c r="C89" s="185" t="s">
        <v>160</v>
      </c>
      <c r="D89" s="186"/>
      <c r="E89" s="186"/>
      <c r="F89" s="187">
        <f>F88/F78</f>
        <v>0.84656770598941233</v>
      </c>
      <c r="G89" s="377"/>
      <c r="H89" s="153"/>
      <c r="I89" s="153"/>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row>
    <row r="90" spans="2:71" ht="28.5" customHeight="1" x14ac:dyDescent="0.35">
      <c r="B90" s="418"/>
      <c r="C90" s="188"/>
      <c r="D90" s="189"/>
      <c r="E90" s="189"/>
      <c r="F90" s="190"/>
      <c r="G90" s="378"/>
      <c r="H90" s="153"/>
      <c r="I90" s="153"/>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row>
    <row r="91" spans="2:71" ht="28.5" customHeight="1" x14ac:dyDescent="0.35">
      <c r="B91" s="418"/>
      <c r="C91" s="185" t="s">
        <v>161</v>
      </c>
      <c r="D91" s="186"/>
      <c r="E91" s="186"/>
      <c r="F91" s="191">
        <v>67361.850000000006</v>
      </c>
      <c r="G91" s="379"/>
      <c r="H91" s="153"/>
      <c r="I91" s="153"/>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row>
    <row r="92" spans="2:71" ht="23.25" customHeight="1" x14ac:dyDescent="0.35">
      <c r="B92" s="418"/>
      <c r="C92" s="185" t="s">
        <v>162</v>
      </c>
      <c r="D92" s="186"/>
      <c r="E92" s="186"/>
      <c r="F92" s="192">
        <f>F91/F78</f>
        <v>4.4907899964073676E-2</v>
      </c>
      <c r="G92" s="379"/>
      <c r="H92" s="153"/>
      <c r="I92" s="153"/>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row>
    <row r="93" spans="2:71" ht="68.25" customHeight="1" thickBot="1" x14ac:dyDescent="0.4">
      <c r="B93" s="418"/>
      <c r="C93" s="419" t="s">
        <v>163</v>
      </c>
      <c r="D93" s="420"/>
      <c r="E93" s="420"/>
      <c r="F93" s="421"/>
      <c r="G93" s="380"/>
      <c r="H93" s="153"/>
      <c r="I93" s="153"/>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row>
    <row r="94" spans="2:71" ht="55.5" customHeight="1" x14ac:dyDescent="0.35">
      <c r="B94" s="418"/>
      <c r="C94" s="153"/>
      <c r="D94" s="153"/>
      <c r="E94" s="153"/>
      <c r="F94" s="153"/>
      <c r="G94" s="371"/>
      <c r="H94" s="153"/>
      <c r="I94" s="153"/>
      <c r="J94" s="153"/>
      <c r="K94" s="153"/>
      <c r="L94" s="153"/>
      <c r="M94" s="153"/>
      <c r="N94" s="153"/>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row>
    <row r="95" spans="2:71" ht="42.75" customHeight="1" x14ac:dyDescent="0.35">
      <c r="B95" s="418"/>
      <c r="C95" s="153"/>
      <c r="D95" s="153"/>
      <c r="E95" s="153"/>
      <c r="F95" s="153"/>
      <c r="G95" s="371"/>
      <c r="H95" s="153"/>
      <c r="I95" s="153"/>
      <c r="J95" s="153"/>
      <c r="K95" s="153"/>
      <c r="L95" s="153"/>
      <c r="M95" s="153"/>
      <c r="N95" s="153"/>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row>
    <row r="96" spans="2:71" ht="21.75" customHeight="1" x14ac:dyDescent="0.35">
      <c r="B96" s="418"/>
      <c r="C96" s="153"/>
      <c r="D96" s="153"/>
      <c r="E96" s="153"/>
      <c r="F96" s="153"/>
      <c r="G96" s="371"/>
      <c r="H96" s="153"/>
      <c r="I96" s="153"/>
      <c r="J96" s="153"/>
      <c r="K96" s="153"/>
      <c r="L96" s="153"/>
      <c r="M96" s="153"/>
      <c r="N96" s="153"/>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row>
    <row r="97" spans="1:71" ht="21.75" customHeight="1" x14ac:dyDescent="0.35">
      <c r="B97" s="418"/>
      <c r="C97" s="153"/>
      <c r="D97" s="153"/>
      <c r="E97" s="153"/>
      <c r="F97" s="153"/>
      <c r="G97" s="371"/>
      <c r="H97" s="153"/>
      <c r="I97" s="153"/>
      <c r="J97" s="153"/>
      <c r="K97" s="153"/>
      <c r="L97" s="153"/>
      <c r="M97" s="153"/>
      <c r="N97" s="153"/>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row>
    <row r="98" spans="1:71" s="193" customFormat="1" ht="23.25" customHeight="1" x14ac:dyDescent="0.35">
      <c r="A98" s="116"/>
      <c r="B98" s="418"/>
      <c r="C98" s="153"/>
      <c r="D98" s="153"/>
      <c r="E98" s="153"/>
      <c r="F98" s="153"/>
      <c r="G98" s="371"/>
      <c r="H98" s="153"/>
      <c r="I98" s="153"/>
      <c r="J98" s="153"/>
      <c r="K98" s="153"/>
      <c r="L98" s="153"/>
      <c r="M98" s="153"/>
      <c r="N98" s="153"/>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row>
    <row r="99" spans="1:71" ht="23.25" customHeight="1" x14ac:dyDescent="0.35">
      <c r="B99" s="153"/>
      <c r="C99" s="153"/>
      <c r="D99" s="153"/>
      <c r="E99" s="153"/>
      <c r="F99" s="153"/>
      <c r="G99" s="371"/>
      <c r="H99" s="153"/>
      <c r="I99" s="153"/>
      <c r="J99" s="153"/>
      <c r="K99" s="153"/>
      <c r="L99" s="153"/>
      <c r="M99" s="153"/>
      <c r="N99" s="153"/>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row>
    <row r="100" spans="1:71" ht="21.75" customHeight="1" x14ac:dyDescent="0.35">
      <c r="B100" s="153"/>
      <c r="C100" s="153"/>
      <c r="D100" s="153"/>
      <c r="E100" s="153"/>
      <c r="F100" s="153"/>
      <c r="G100" s="371"/>
      <c r="H100" s="153"/>
      <c r="I100" s="153"/>
      <c r="J100" s="153"/>
      <c r="K100" s="153"/>
      <c r="L100" s="153"/>
      <c r="M100" s="153"/>
      <c r="N100" s="153"/>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row>
    <row r="101" spans="1:71" ht="16.5" customHeight="1" x14ac:dyDescent="0.35">
      <c r="B101" s="153"/>
      <c r="C101" s="153"/>
      <c r="D101" s="153"/>
      <c r="E101" s="153"/>
      <c r="F101" s="153"/>
      <c r="G101" s="371"/>
      <c r="H101" s="153"/>
      <c r="I101" s="153"/>
      <c r="J101" s="153"/>
      <c r="K101" s="153"/>
      <c r="L101" s="153"/>
      <c r="M101" s="153"/>
      <c r="N101" s="153"/>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row>
    <row r="102" spans="1:71" ht="29.25" customHeight="1" x14ac:dyDescent="0.35">
      <c r="B102" s="153"/>
      <c r="C102" s="153"/>
      <c r="D102" s="153"/>
      <c r="E102" s="153"/>
      <c r="F102" s="153"/>
      <c r="G102" s="371"/>
      <c r="H102" s="153"/>
      <c r="I102" s="153"/>
      <c r="J102" s="153"/>
      <c r="K102" s="153"/>
      <c r="L102" s="153"/>
      <c r="M102" s="153"/>
      <c r="N102" s="153"/>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row>
    <row r="103" spans="1:71" ht="24.75" customHeight="1" x14ac:dyDescent="0.35">
      <c r="B103" s="153"/>
      <c r="C103" s="153"/>
      <c r="D103" s="153"/>
      <c r="E103" s="153"/>
      <c r="F103" s="153"/>
      <c r="G103" s="371"/>
      <c r="H103" s="153"/>
      <c r="I103" s="153"/>
      <c r="J103" s="153"/>
      <c r="K103" s="153"/>
      <c r="L103" s="153"/>
      <c r="M103" s="153"/>
      <c r="N103" s="153"/>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row>
    <row r="104" spans="1:71" ht="33" customHeight="1" x14ac:dyDescent="0.35">
      <c r="B104" s="153"/>
      <c r="C104" s="153"/>
      <c r="D104" s="153"/>
      <c r="E104" s="153"/>
      <c r="F104" s="153"/>
      <c r="G104" s="371"/>
      <c r="H104" s="153"/>
      <c r="I104" s="153"/>
      <c r="J104" s="153"/>
      <c r="K104" s="153"/>
      <c r="L104" s="153"/>
      <c r="M104" s="153"/>
      <c r="N104" s="153"/>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row>
    <row r="105" spans="1:71" ht="15.5" x14ac:dyDescent="0.35">
      <c r="B105" s="153"/>
      <c r="C105" s="153"/>
      <c r="D105" s="153"/>
      <c r="E105" s="153"/>
      <c r="F105" s="153"/>
      <c r="G105" s="371"/>
      <c r="H105" s="153"/>
      <c r="I105" s="153"/>
      <c r="J105" s="153"/>
      <c r="K105" s="153"/>
      <c r="L105" s="153"/>
      <c r="M105" s="153"/>
      <c r="N105" s="153"/>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row>
    <row r="106" spans="1:71" ht="15" customHeight="1" x14ac:dyDescent="0.35">
      <c r="B106" s="153"/>
      <c r="C106" s="153"/>
      <c r="E106" s="153"/>
      <c r="F106" s="153"/>
      <c r="G106" s="371"/>
      <c r="H106" s="153"/>
      <c r="I106" s="153"/>
      <c r="J106" s="153"/>
      <c r="K106" s="153"/>
      <c r="L106" s="153"/>
      <c r="M106" s="153"/>
      <c r="N106" s="153"/>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row>
    <row r="107" spans="1:71" ht="25.5" customHeight="1" x14ac:dyDescent="0.35">
      <c r="B107" s="153"/>
      <c r="C107" s="153"/>
      <c r="E107" s="153"/>
      <c r="F107" s="153"/>
      <c r="G107" s="371"/>
      <c r="H107" s="153"/>
      <c r="I107" s="153"/>
      <c r="J107" s="153"/>
      <c r="K107" s="153"/>
      <c r="L107" s="153"/>
      <c r="M107" s="153"/>
      <c r="N107" s="153"/>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row>
    <row r="108" spans="1:71" ht="15.5" x14ac:dyDescent="0.35">
      <c r="B108" s="153"/>
      <c r="C108" s="153"/>
      <c r="E108" s="153"/>
      <c r="F108" s="153"/>
      <c r="G108" s="371"/>
      <c r="H108" s="153"/>
      <c r="I108" s="153"/>
      <c r="J108" s="153"/>
      <c r="K108" s="153"/>
      <c r="L108" s="153"/>
      <c r="M108" s="153"/>
      <c r="N108" s="153"/>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row>
    <row r="109" spans="1:71" ht="15.5" x14ac:dyDescent="0.35">
      <c r="B109" s="153"/>
      <c r="C109" s="153"/>
      <c r="E109" s="153"/>
      <c r="F109" s="153"/>
      <c r="G109" s="371"/>
      <c r="H109" s="153"/>
      <c r="I109" s="153"/>
      <c r="J109" s="153"/>
      <c r="K109" s="153"/>
      <c r="L109" s="153"/>
      <c r="M109" s="153"/>
      <c r="N109" s="153"/>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row>
    <row r="110" spans="1:71" ht="15.5" x14ac:dyDescent="0.35">
      <c r="B110" s="153"/>
      <c r="C110" s="153"/>
      <c r="E110" s="153"/>
      <c r="F110" s="153"/>
      <c r="G110" s="371"/>
      <c r="H110" s="153"/>
      <c r="I110" s="153"/>
      <c r="J110" s="153"/>
      <c r="K110" s="153"/>
      <c r="L110" s="153"/>
      <c r="M110" s="153"/>
      <c r="N110" s="153"/>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row>
    <row r="111" spans="1:71" ht="15.5" x14ac:dyDescent="0.35">
      <c r="B111" s="153"/>
      <c r="C111" s="153"/>
      <c r="E111" s="153"/>
      <c r="F111" s="153"/>
      <c r="G111" s="371"/>
      <c r="H111" s="153"/>
      <c r="I111" s="153"/>
      <c r="J111" s="153"/>
      <c r="K111" s="153"/>
      <c r="L111" s="153"/>
      <c r="M111" s="153"/>
      <c r="N111" s="153"/>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row>
    <row r="112" spans="1:71" ht="15.5" x14ac:dyDescent="0.35">
      <c r="B112" s="153"/>
      <c r="C112" s="153"/>
      <c r="J112" s="153"/>
      <c r="K112" s="153"/>
      <c r="L112" s="153"/>
      <c r="M112" s="153"/>
      <c r="N112" s="153"/>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row>
    <row r="113" spans="2:71" ht="15.5" x14ac:dyDescent="0.35">
      <c r="B113" s="153"/>
      <c r="C113" s="153"/>
      <c r="J113" s="153"/>
      <c r="K113" s="153"/>
      <c r="L113" s="153"/>
      <c r="M113" s="153"/>
      <c r="N113" s="153"/>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row>
    <row r="114" spans="2:71" ht="15.5" x14ac:dyDescent="0.35">
      <c r="B114" s="153"/>
      <c r="C114" s="153"/>
      <c r="K114" s="118"/>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row>
    <row r="115" spans="2:71" x14ac:dyDescent="0.35">
      <c r="K115" s="118"/>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row>
    <row r="116" spans="2:71" x14ac:dyDescent="0.35">
      <c r="K116" s="118"/>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row>
    <row r="117" spans="2:71" x14ac:dyDescent="0.35">
      <c r="K117" s="118"/>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row>
    <row r="118" spans="2:71" x14ac:dyDescent="0.35">
      <c r="K118" s="118"/>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row>
    <row r="119" spans="2:71" x14ac:dyDescent="0.35">
      <c r="K119" s="118"/>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row>
    <row r="120" spans="2:71" x14ac:dyDescent="0.35">
      <c r="K120" s="118"/>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row>
    <row r="121" spans="2:71" x14ac:dyDescent="0.35">
      <c r="K121" s="118"/>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row>
    <row r="122" spans="2:71" x14ac:dyDescent="0.35">
      <c r="K122" s="118"/>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6"/>
      <c r="BQ122" s="116"/>
      <c r="BR122" s="116"/>
      <c r="BS122" s="116"/>
    </row>
    <row r="123" spans="2:71" x14ac:dyDescent="0.35">
      <c r="K123" s="118"/>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row>
    <row r="124" spans="2:71" x14ac:dyDescent="0.35">
      <c r="K124" s="118"/>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row>
    <row r="125" spans="2:71" x14ac:dyDescent="0.35">
      <c r="K125" s="118"/>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row>
    <row r="126" spans="2:71" x14ac:dyDescent="0.35">
      <c r="K126" s="118"/>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row>
    <row r="127" spans="2:71" x14ac:dyDescent="0.35">
      <c r="K127" s="118"/>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c r="BL127" s="116"/>
      <c r="BM127" s="116"/>
      <c r="BN127" s="116"/>
      <c r="BO127" s="116"/>
      <c r="BP127" s="116"/>
      <c r="BQ127" s="116"/>
      <c r="BR127" s="116"/>
      <c r="BS127" s="116"/>
    </row>
    <row r="128" spans="2:71" x14ac:dyDescent="0.35">
      <c r="K128" s="118"/>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6"/>
      <c r="BR128" s="116"/>
      <c r="BS128" s="116"/>
    </row>
    <row r="129" spans="11:71" x14ac:dyDescent="0.35">
      <c r="K129" s="118"/>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6"/>
      <c r="BR129" s="116"/>
      <c r="BS129" s="116"/>
    </row>
    <row r="130" spans="11:71" x14ac:dyDescent="0.35">
      <c r="K130" s="118"/>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row>
    <row r="131" spans="11:71" x14ac:dyDescent="0.35">
      <c r="K131" s="118"/>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6"/>
      <c r="BR131" s="116"/>
      <c r="BS131" s="116"/>
    </row>
    <row r="132" spans="11:71" x14ac:dyDescent="0.35">
      <c r="K132" s="118"/>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6"/>
      <c r="BR132" s="116"/>
      <c r="BS132" s="116"/>
    </row>
    <row r="133" spans="11:71" x14ac:dyDescent="0.35">
      <c r="K133" s="118"/>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row>
    <row r="134" spans="11:71" x14ac:dyDescent="0.35">
      <c r="K134" s="118"/>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6"/>
      <c r="BR134" s="116"/>
      <c r="BS134" s="116"/>
    </row>
    <row r="135" spans="11:71" x14ac:dyDescent="0.35">
      <c r="K135" s="118"/>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c r="BR135" s="116"/>
      <c r="BS135" s="116"/>
    </row>
    <row r="136" spans="11:71" x14ac:dyDescent="0.35">
      <c r="K136" s="118"/>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row>
    <row r="137" spans="11:71" x14ac:dyDescent="0.35">
      <c r="K137" s="118"/>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row>
    <row r="138" spans="11:71" x14ac:dyDescent="0.35">
      <c r="K138" s="118"/>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6"/>
      <c r="BR138" s="116"/>
      <c r="BS138" s="116"/>
    </row>
    <row r="139" spans="11:71" x14ac:dyDescent="0.35">
      <c r="K139" s="118"/>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row>
    <row r="140" spans="11:71" x14ac:dyDescent="0.35">
      <c r="K140" s="118"/>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BS140" s="116"/>
    </row>
    <row r="141" spans="11:71" x14ac:dyDescent="0.35">
      <c r="K141" s="118"/>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6"/>
    </row>
    <row r="142" spans="11:71" x14ac:dyDescent="0.35">
      <c r="K142" s="118"/>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BS142" s="116"/>
    </row>
    <row r="143" spans="11:71" x14ac:dyDescent="0.35">
      <c r="K143" s="118"/>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c r="BR143" s="116"/>
      <c r="BS143" s="116"/>
    </row>
    <row r="144" spans="11:71" x14ac:dyDescent="0.35">
      <c r="K144" s="118"/>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c r="BM144" s="116"/>
      <c r="BN144" s="116"/>
      <c r="BO144" s="116"/>
      <c r="BP144" s="116"/>
      <c r="BQ144" s="116"/>
      <c r="BR144" s="116"/>
      <c r="BS144" s="116"/>
    </row>
    <row r="145" spans="11:71" x14ac:dyDescent="0.35">
      <c r="K145" s="118"/>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c r="BR145" s="116"/>
      <c r="BS145" s="116"/>
    </row>
    <row r="146" spans="11:71" x14ac:dyDescent="0.35">
      <c r="K146" s="118"/>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c r="BR146" s="116"/>
      <c r="BS146" s="116"/>
    </row>
    <row r="147" spans="11:71" x14ac:dyDescent="0.35">
      <c r="K147" s="118"/>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6"/>
    </row>
    <row r="148" spans="11:71" x14ac:dyDescent="0.35">
      <c r="K148" s="118"/>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c r="BR148" s="116"/>
      <c r="BS148" s="116"/>
    </row>
    <row r="149" spans="11:71" x14ac:dyDescent="0.35">
      <c r="K149" s="118"/>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row>
    <row r="150" spans="11:71" x14ac:dyDescent="0.35">
      <c r="K150" s="118"/>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row>
    <row r="151" spans="11:71" x14ac:dyDescent="0.35">
      <c r="K151" s="118"/>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row>
    <row r="152" spans="11:71" x14ac:dyDescent="0.35">
      <c r="K152" s="118"/>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row>
    <row r="153" spans="11:71" x14ac:dyDescent="0.35">
      <c r="K153" s="118"/>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c r="BR153" s="116"/>
      <c r="BS153" s="116"/>
    </row>
    <row r="154" spans="11:71" x14ac:dyDescent="0.35">
      <c r="K154" s="118"/>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c r="BL154" s="116"/>
      <c r="BM154" s="116"/>
      <c r="BN154" s="116"/>
      <c r="BO154" s="116"/>
      <c r="BP154" s="116"/>
      <c r="BQ154" s="116"/>
      <c r="BR154" s="116"/>
      <c r="BS154" s="116"/>
    </row>
    <row r="155" spans="11:71" x14ac:dyDescent="0.35">
      <c r="K155" s="118"/>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c r="BL155" s="116"/>
      <c r="BM155" s="116"/>
      <c r="BN155" s="116"/>
      <c r="BO155" s="116"/>
      <c r="BP155" s="116"/>
      <c r="BQ155" s="116"/>
      <c r="BR155" s="116"/>
      <c r="BS155" s="116"/>
    </row>
    <row r="156" spans="11:71" x14ac:dyDescent="0.35">
      <c r="K156" s="118"/>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c r="BL156" s="116"/>
      <c r="BM156" s="116"/>
      <c r="BN156" s="116"/>
      <c r="BO156" s="116"/>
      <c r="BP156" s="116"/>
      <c r="BQ156" s="116"/>
      <c r="BR156" s="116"/>
      <c r="BS156" s="116"/>
    </row>
    <row r="157" spans="11:71" x14ac:dyDescent="0.35">
      <c r="K157" s="118"/>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c r="BR157" s="116"/>
      <c r="BS157" s="116"/>
    </row>
    <row r="158" spans="11:71" x14ac:dyDescent="0.35">
      <c r="K158" s="118"/>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c r="BR158" s="116"/>
      <c r="BS158" s="116"/>
    </row>
    <row r="159" spans="11:71" x14ac:dyDescent="0.35">
      <c r="K159" s="118"/>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6"/>
      <c r="BP159" s="116"/>
      <c r="BQ159" s="116"/>
      <c r="BR159" s="116"/>
      <c r="BS159" s="116"/>
    </row>
    <row r="160" spans="11:71" x14ac:dyDescent="0.35">
      <c r="K160" s="118"/>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row>
    <row r="161" spans="11:71" x14ac:dyDescent="0.35">
      <c r="K161" s="118"/>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row>
    <row r="162" spans="11:71" x14ac:dyDescent="0.35">
      <c r="K162" s="118"/>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BS162" s="116"/>
    </row>
    <row r="163" spans="11:71" x14ac:dyDescent="0.35">
      <c r="K163" s="118"/>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c r="BJ163" s="116"/>
      <c r="BK163" s="116"/>
      <c r="BL163" s="116"/>
      <c r="BM163" s="116"/>
      <c r="BN163" s="116"/>
      <c r="BO163" s="116"/>
      <c r="BP163" s="116"/>
      <c r="BQ163" s="116"/>
      <c r="BR163" s="116"/>
      <c r="BS163" s="116"/>
    </row>
    <row r="164" spans="11:71" x14ac:dyDescent="0.35">
      <c r="K164" s="118"/>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c r="BJ164" s="116"/>
      <c r="BK164" s="116"/>
      <c r="BL164" s="116"/>
      <c r="BM164" s="116"/>
      <c r="BN164" s="116"/>
      <c r="BO164" s="116"/>
      <c r="BP164" s="116"/>
      <c r="BQ164" s="116"/>
      <c r="BR164" s="116"/>
      <c r="BS164" s="116"/>
    </row>
    <row r="165" spans="11:71" x14ac:dyDescent="0.35">
      <c r="K165" s="118"/>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6"/>
      <c r="BR165" s="116"/>
      <c r="BS165" s="116"/>
    </row>
    <row r="166" spans="11:71" x14ac:dyDescent="0.35">
      <c r="K166" s="118"/>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6"/>
      <c r="BR166" s="116"/>
      <c r="BS166" s="116"/>
    </row>
    <row r="167" spans="11:71" x14ac:dyDescent="0.35">
      <c r="K167" s="118"/>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6"/>
      <c r="BR167" s="116"/>
      <c r="BS167" s="116"/>
    </row>
    <row r="168" spans="11:71" x14ac:dyDescent="0.35">
      <c r="K168" s="118"/>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row>
    <row r="169" spans="11:71" x14ac:dyDescent="0.35">
      <c r="K169" s="118"/>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6"/>
      <c r="BQ169" s="116"/>
      <c r="BR169" s="116"/>
      <c r="BS169" s="116"/>
    </row>
    <row r="170" spans="11:71" x14ac:dyDescent="0.35">
      <c r="K170" s="118"/>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row>
    <row r="171" spans="11:71" x14ac:dyDescent="0.35">
      <c r="K171" s="118"/>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c r="BM171" s="116"/>
      <c r="BN171" s="116"/>
      <c r="BO171" s="116"/>
      <c r="BP171" s="116"/>
      <c r="BQ171" s="116"/>
      <c r="BR171" s="116"/>
      <c r="BS171" s="116"/>
    </row>
    <row r="172" spans="11:71" x14ac:dyDescent="0.35">
      <c r="K172" s="118"/>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6"/>
      <c r="BR172" s="116"/>
      <c r="BS172" s="116"/>
    </row>
    <row r="173" spans="11:71" x14ac:dyDescent="0.35">
      <c r="K173" s="118"/>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c r="BM173" s="116"/>
      <c r="BN173" s="116"/>
      <c r="BO173" s="116"/>
      <c r="BP173" s="116"/>
      <c r="BQ173" s="116"/>
      <c r="BR173" s="116"/>
      <c r="BS173" s="116"/>
    </row>
    <row r="174" spans="11:71" x14ac:dyDescent="0.35">
      <c r="K174" s="118"/>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c r="BJ174" s="116"/>
      <c r="BK174" s="116"/>
      <c r="BL174" s="116"/>
      <c r="BM174" s="116"/>
      <c r="BN174" s="116"/>
      <c r="BO174" s="116"/>
      <c r="BP174" s="116"/>
      <c r="BQ174" s="116"/>
      <c r="BR174" s="116"/>
      <c r="BS174" s="116"/>
    </row>
    <row r="175" spans="11:71" x14ac:dyDescent="0.35">
      <c r="K175" s="118"/>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c r="BJ175" s="116"/>
      <c r="BK175" s="116"/>
      <c r="BL175" s="116"/>
      <c r="BM175" s="116"/>
      <c r="BN175" s="116"/>
      <c r="BO175" s="116"/>
      <c r="BP175" s="116"/>
      <c r="BQ175" s="116"/>
      <c r="BR175" s="116"/>
      <c r="BS175" s="116"/>
    </row>
    <row r="176" spans="11:71" x14ac:dyDescent="0.35">
      <c r="K176" s="118"/>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c r="BL176" s="116"/>
      <c r="BM176" s="116"/>
      <c r="BN176" s="116"/>
      <c r="BO176" s="116"/>
      <c r="BP176" s="116"/>
      <c r="BQ176" s="116"/>
      <c r="BR176" s="116"/>
      <c r="BS176" s="116"/>
    </row>
    <row r="177" spans="11:71" x14ac:dyDescent="0.35">
      <c r="K177" s="118"/>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c r="BJ177" s="116"/>
      <c r="BK177" s="116"/>
      <c r="BL177" s="116"/>
      <c r="BM177" s="116"/>
      <c r="BN177" s="116"/>
      <c r="BO177" s="116"/>
      <c r="BP177" s="116"/>
      <c r="BQ177" s="116"/>
      <c r="BR177" s="116"/>
      <c r="BS177" s="116"/>
    </row>
    <row r="178" spans="11:71" x14ac:dyDescent="0.35">
      <c r="K178" s="118"/>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c r="BJ178" s="116"/>
      <c r="BK178" s="116"/>
      <c r="BL178" s="116"/>
      <c r="BM178" s="116"/>
      <c r="BN178" s="116"/>
      <c r="BO178" s="116"/>
      <c r="BP178" s="116"/>
      <c r="BQ178" s="116"/>
      <c r="BR178" s="116"/>
      <c r="BS178" s="116"/>
    </row>
    <row r="179" spans="11:71" x14ac:dyDescent="0.35">
      <c r="K179" s="118"/>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c r="BJ179" s="116"/>
      <c r="BK179" s="116"/>
      <c r="BL179" s="116"/>
      <c r="BM179" s="116"/>
      <c r="BN179" s="116"/>
      <c r="BO179" s="116"/>
      <c r="BP179" s="116"/>
      <c r="BQ179" s="116"/>
      <c r="BR179" s="116"/>
      <c r="BS179" s="116"/>
    </row>
    <row r="180" spans="11:71" x14ac:dyDescent="0.35">
      <c r="K180" s="118"/>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c r="BJ180" s="116"/>
      <c r="BK180" s="116"/>
      <c r="BL180" s="116"/>
      <c r="BM180" s="116"/>
      <c r="BN180" s="116"/>
      <c r="BO180" s="116"/>
      <c r="BP180" s="116"/>
      <c r="BQ180" s="116"/>
      <c r="BR180" s="116"/>
      <c r="BS180" s="116"/>
    </row>
    <row r="181" spans="11:71" x14ac:dyDescent="0.35">
      <c r="K181" s="118"/>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c r="BJ181" s="116"/>
      <c r="BK181" s="116"/>
      <c r="BL181" s="116"/>
      <c r="BM181" s="116"/>
      <c r="BN181" s="116"/>
      <c r="BO181" s="116"/>
      <c r="BP181" s="116"/>
      <c r="BQ181" s="116"/>
      <c r="BR181" s="116"/>
      <c r="BS181" s="116"/>
    </row>
    <row r="182" spans="11:71" x14ac:dyDescent="0.35">
      <c r="K182" s="118"/>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c r="BJ182" s="116"/>
      <c r="BK182" s="116"/>
      <c r="BL182" s="116"/>
      <c r="BM182" s="116"/>
      <c r="BN182" s="116"/>
      <c r="BO182" s="116"/>
      <c r="BP182" s="116"/>
      <c r="BQ182" s="116"/>
      <c r="BR182" s="116"/>
      <c r="BS182" s="116"/>
    </row>
    <row r="183" spans="11:71" x14ac:dyDescent="0.35">
      <c r="K183" s="118"/>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c r="BJ183" s="116"/>
      <c r="BK183" s="116"/>
      <c r="BL183" s="116"/>
      <c r="BM183" s="116"/>
      <c r="BN183" s="116"/>
      <c r="BO183" s="116"/>
      <c r="BP183" s="116"/>
      <c r="BQ183" s="116"/>
      <c r="BR183" s="116"/>
      <c r="BS183" s="116"/>
    </row>
    <row r="184" spans="11:71" x14ac:dyDescent="0.35">
      <c r="K184" s="118"/>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116"/>
      <c r="BK184" s="116"/>
      <c r="BL184" s="116"/>
      <c r="BM184" s="116"/>
      <c r="BN184" s="116"/>
      <c r="BO184" s="116"/>
      <c r="BP184" s="116"/>
      <c r="BQ184" s="116"/>
      <c r="BR184" s="116"/>
      <c r="BS184" s="116"/>
    </row>
    <row r="185" spans="11:71" x14ac:dyDescent="0.35">
      <c r="K185" s="118"/>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c r="BJ185" s="116"/>
      <c r="BK185" s="116"/>
      <c r="BL185" s="116"/>
      <c r="BM185" s="116"/>
      <c r="BN185" s="116"/>
      <c r="BO185" s="116"/>
      <c r="BP185" s="116"/>
      <c r="BQ185" s="116"/>
      <c r="BR185" s="116"/>
      <c r="BS185" s="116"/>
    </row>
    <row r="186" spans="11:71" x14ac:dyDescent="0.35">
      <c r="K186" s="118"/>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c r="BR186" s="116"/>
      <c r="BS186" s="116"/>
    </row>
    <row r="187" spans="11:71" x14ac:dyDescent="0.35">
      <c r="K187" s="118"/>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row>
    <row r="188" spans="11:71" x14ac:dyDescent="0.35">
      <c r="K188" s="118"/>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c r="BL188" s="116"/>
      <c r="BM188" s="116"/>
      <c r="BN188" s="116"/>
      <c r="BO188" s="116"/>
      <c r="BP188" s="116"/>
      <c r="BQ188" s="116"/>
      <c r="BR188" s="116"/>
      <c r="BS188" s="116"/>
    </row>
    <row r="189" spans="11:71" x14ac:dyDescent="0.35">
      <c r="K189" s="118"/>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6"/>
      <c r="BR189" s="116"/>
      <c r="BS189" s="116"/>
    </row>
    <row r="190" spans="11:71" x14ac:dyDescent="0.35">
      <c r="K190" s="118"/>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c r="BR190" s="116"/>
      <c r="BS190" s="116"/>
    </row>
    <row r="191" spans="11:71" x14ac:dyDescent="0.35">
      <c r="K191" s="118"/>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6"/>
      <c r="BO191" s="116"/>
      <c r="BP191" s="116"/>
      <c r="BQ191" s="116"/>
      <c r="BR191" s="116"/>
      <c r="BS191" s="116"/>
    </row>
    <row r="192" spans="11:71" x14ac:dyDescent="0.35">
      <c r="K192" s="118"/>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6"/>
      <c r="BR192" s="116"/>
      <c r="BS192" s="116"/>
    </row>
    <row r="193" spans="11:71" x14ac:dyDescent="0.35">
      <c r="K193" s="118"/>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6"/>
      <c r="BR193" s="116"/>
      <c r="BS193" s="116"/>
    </row>
    <row r="194" spans="11:71" x14ac:dyDescent="0.35">
      <c r="K194" s="118"/>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6"/>
      <c r="BR194" s="116"/>
      <c r="BS194" s="116"/>
    </row>
    <row r="195" spans="11:71" x14ac:dyDescent="0.35">
      <c r="K195" s="118"/>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c r="BR195" s="116"/>
      <c r="BS195" s="116"/>
    </row>
    <row r="196" spans="11:71" x14ac:dyDescent="0.35">
      <c r="K196" s="118"/>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6"/>
      <c r="BQ196" s="116"/>
      <c r="BR196" s="116"/>
      <c r="BS196" s="116"/>
    </row>
    <row r="197" spans="11:71" x14ac:dyDescent="0.35">
      <c r="K197" s="118"/>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c r="BR197" s="116"/>
      <c r="BS197" s="116"/>
    </row>
    <row r="198" spans="11:71" x14ac:dyDescent="0.35">
      <c r="K198" s="118"/>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c r="BM198" s="116"/>
      <c r="BN198" s="116"/>
      <c r="BO198" s="116"/>
      <c r="BP198" s="116"/>
      <c r="BQ198" s="116"/>
      <c r="BR198" s="116"/>
      <c r="BS198" s="116"/>
    </row>
    <row r="199" spans="11:71" x14ac:dyDescent="0.35">
      <c r="K199" s="118"/>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c r="BL199" s="116"/>
      <c r="BM199" s="116"/>
      <c r="BN199" s="116"/>
      <c r="BO199" s="116"/>
      <c r="BP199" s="116"/>
      <c r="BQ199" s="116"/>
      <c r="BR199" s="116"/>
      <c r="BS199" s="116"/>
    </row>
    <row r="200" spans="11:71" x14ac:dyDescent="0.35">
      <c r="K200" s="118"/>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row>
    <row r="201" spans="11:71" x14ac:dyDescent="0.35">
      <c r="K201" s="118"/>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c r="BM201" s="116"/>
      <c r="BN201" s="116"/>
      <c r="BO201" s="116"/>
      <c r="BP201" s="116"/>
      <c r="BQ201" s="116"/>
      <c r="BR201" s="116"/>
      <c r="BS201" s="116"/>
    </row>
    <row r="202" spans="11:71" x14ac:dyDescent="0.35">
      <c r="K202" s="118"/>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c r="BM202" s="116"/>
      <c r="BN202" s="116"/>
      <c r="BO202" s="116"/>
      <c r="BP202" s="116"/>
      <c r="BQ202" s="116"/>
      <c r="BR202" s="116"/>
      <c r="BS202" s="116"/>
    </row>
    <row r="203" spans="11:71" x14ac:dyDescent="0.35">
      <c r="K203" s="118"/>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c r="BL203" s="116"/>
      <c r="BM203" s="116"/>
      <c r="BN203" s="116"/>
      <c r="BO203" s="116"/>
      <c r="BP203" s="116"/>
      <c r="BQ203" s="116"/>
      <c r="BR203" s="116"/>
      <c r="BS203" s="116"/>
    </row>
    <row r="204" spans="11:71" x14ac:dyDescent="0.35">
      <c r="K204" s="118"/>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c r="BM204" s="116"/>
      <c r="BN204" s="116"/>
      <c r="BO204" s="116"/>
      <c r="BP204" s="116"/>
      <c r="BQ204" s="116"/>
      <c r="BR204" s="116"/>
      <c r="BS204" s="116"/>
    </row>
    <row r="205" spans="11:71" x14ac:dyDescent="0.35">
      <c r="K205" s="118"/>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c r="BM205" s="116"/>
      <c r="BN205" s="116"/>
      <c r="BO205" s="116"/>
      <c r="BP205" s="116"/>
      <c r="BQ205" s="116"/>
      <c r="BR205" s="116"/>
      <c r="BS205" s="116"/>
    </row>
    <row r="206" spans="11:71" x14ac:dyDescent="0.35">
      <c r="K206" s="118"/>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c r="BM206" s="116"/>
      <c r="BN206" s="116"/>
      <c r="BO206" s="116"/>
      <c r="BP206" s="116"/>
      <c r="BQ206" s="116"/>
      <c r="BR206" s="116"/>
      <c r="BS206" s="116"/>
    </row>
    <row r="207" spans="11:71" x14ac:dyDescent="0.35">
      <c r="K207" s="118"/>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6"/>
      <c r="BP207" s="116"/>
      <c r="BQ207" s="116"/>
      <c r="BR207" s="116"/>
      <c r="BS207" s="116"/>
    </row>
    <row r="208" spans="11:71" x14ac:dyDescent="0.35">
      <c r="K208" s="118"/>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c r="BL208" s="116"/>
      <c r="BM208" s="116"/>
      <c r="BN208" s="116"/>
      <c r="BO208" s="116"/>
      <c r="BP208" s="116"/>
      <c r="BQ208" s="116"/>
      <c r="BR208" s="116"/>
      <c r="BS208" s="116"/>
    </row>
    <row r="209" spans="11:71" x14ac:dyDescent="0.35">
      <c r="K209" s="118"/>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16"/>
      <c r="AZ209" s="116"/>
      <c r="BA209" s="116"/>
      <c r="BB209" s="116"/>
      <c r="BC209" s="116"/>
      <c r="BD209" s="116"/>
      <c r="BE209" s="116"/>
      <c r="BF209" s="116"/>
      <c r="BG209" s="116"/>
      <c r="BH209" s="116"/>
      <c r="BI209" s="116"/>
      <c r="BJ209" s="116"/>
      <c r="BK209" s="116"/>
      <c r="BL209" s="116"/>
      <c r="BM209" s="116"/>
      <c r="BN209" s="116"/>
      <c r="BO209" s="116"/>
      <c r="BP209" s="116"/>
      <c r="BQ209" s="116"/>
      <c r="BR209" s="116"/>
      <c r="BS209" s="116"/>
    </row>
    <row r="210" spans="11:71" x14ac:dyDescent="0.35">
      <c r="K210" s="118"/>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c r="BM210" s="116"/>
      <c r="BN210" s="116"/>
      <c r="BO210" s="116"/>
      <c r="BP210" s="116"/>
      <c r="BQ210" s="116"/>
      <c r="BR210" s="116"/>
      <c r="BS210" s="116"/>
    </row>
    <row r="211" spans="11:71" x14ac:dyDescent="0.35">
      <c r="K211" s="118"/>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6"/>
      <c r="BJ211" s="116"/>
      <c r="BK211" s="116"/>
      <c r="BL211" s="116"/>
      <c r="BM211" s="116"/>
      <c r="BN211" s="116"/>
      <c r="BO211" s="116"/>
      <c r="BP211" s="116"/>
      <c r="BQ211" s="116"/>
      <c r="BR211" s="116"/>
      <c r="BS211" s="116"/>
    </row>
    <row r="212" spans="11:71" x14ac:dyDescent="0.35">
      <c r="K212" s="118"/>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16"/>
      <c r="AZ212" s="116"/>
      <c r="BA212" s="116"/>
      <c r="BB212" s="116"/>
      <c r="BC212" s="116"/>
      <c r="BD212" s="116"/>
      <c r="BE212" s="116"/>
      <c r="BF212" s="116"/>
      <c r="BG212" s="116"/>
      <c r="BH212" s="116"/>
      <c r="BI212" s="116"/>
      <c r="BJ212" s="116"/>
      <c r="BK212" s="116"/>
      <c r="BL212" s="116"/>
      <c r="BM212" s="116"/>
      <c r="BN212" s="116"/>
      <c r="BO212" s="116"/>
      <c r="BP212" s="116"/>
      <c r="BQ212" s="116"/>
      <c r="BR212" s="116"/>
      <c r="BS212" s="116"/>
    </row>
    <row r="213" spans="11:71" x14ac:dyDescent="0.35">
      <c r="K213" s="118"/>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6"/>
      <c r="BR213" s="116"/>
      <c r="BS213" s="116"/>
    </row>
    <row r="214" spans="11:71" x14ac:dyDescent="0.35">
      <c r="K214" s="118"/>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6"/>
      <c r="BR214" s="116"/>
      <c r="BS214" s="116"/>
    </row>
    <row r="215" spans="11:71" x14ac:dyDescent="0.35">
      <c r="K215" s="118"/>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c r="BF215" s="116"/>
      <c r="BG215" s="116"/>
      <c r="BH215" s="116"/>
      <c r="BI215" s="116"/>
      <c r="BJ215" s="116"/>
      <c r="BK215" s="116"/>
      <c r="BL215" s="116"/>
      <c r="BM215" s="116"/>
      <c r="BN215" s="116"/>
      <c r="BO215" s="116"/>
      <c r="BP215" s="116"/>
      <c r="BQ215" s="116"/>
      <c r="BR215" s="116"/>
      <c r="BS215" s="116"/>
    </row>
    <row r="216" spans="11:71" x14ac:dyDescent="0.35">
      <c r="K216" s="118"/>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6"/>
      <c r="BP216" s="116"/>
      <c r="BQ216" s="116"/>
      <c r="BR216" s="116"/>
      <c r="BS216" s="116"/>
    </row>
    <row r="217" spans="11:71" x14ac:dyDescent="0.35">
      <c r="K217" s="118"/>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6"/>
      <c r="BQ217" s="116"/>
      <c r="BR217" s="116"/>
      <c r="BS217" s="116"/>
    </row>
    <row r="218" spans="11:71" x14ac:dyDescent="0.35">
      <c r="K218" s="118"/>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6"/>
      <c r="BR218" s="116"/>
      <c r="BS218" s="116"/>
    </row>
    <row r="219" spans="11:71" x14ac:dyDescent="0.35">
      <c r="K219" s="118"/>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c r="BR219" s="116"/>
      <c r="BS219" s="116"/>
    </row>
    <row r="220" spans="11:71" x14ac:dyDescent="0.35">
      <c r="K220" s="118"/>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6"/>
      <c r="BM220" s="116"/>
      <c r="BN220" s="116"/>
      <c r="BO220" s="116"/>
      <c r="BP220" s="116"/>
      <c r="BQ220" s="116"/>
      <c r="BR220" s="116"/>
      <c r="BS220" s="116"/>
    </row>
    <row r="221" spans="11:71" x14ac:dyDescent="0.35">
      <c r="K221" s="118"/>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6"/>
      <c r="AL221" s="116"/>
      <c r="AM221" s="116"/>
      <c r="AN221" s="116"/>
      <c r="AO221" s="116"/>
      <c r="AP221" s="116"/>
      <c r="AQ221" s="116"/>
      <c r="AR221" s="116"/>
      <c r="AS221" s="116"/>
      <c r="AT221" s="116"/>
      <c r="AU221" s="116"/>
      <c r="AV221" s="116"/>
      <c r="AW221" s="116"/>
      <c r="AX221" s="116"/>
      <c r="AY221" s="116"/>
      <c r="AZ221" s="116"/>
      <c r="BA221" s="116"/>
      <c r="BB221" s="116"/>
      <c r="BC221" s="116"/>
      <c r="BD221" s="116"/>
      <c r="BE221" s="116"/>
      <c r="BF221" s="116"/>
      <c r="BG221" s="116"/>
      <c r="BH221" s="116"/>
      <c r="BI221" s="116"/>
      <c r="BJ221" s="116"/>
      <c r="BK221" s="116"/>
      <c r="BL221" s="116"/>
      <c r="BM221" s="116"/>
      <c r="BN221" s="116"/>
      <c r="BO221" s="116"/>
      <c r="BP221" s="116"/>
      <c r="BQ221" s="116"/>
      <c r="BR221" s="116"/>
      <c r="BS221" s="116"/>
    </row>
    <row r="222" spans="11:71" x14ac:dyDescent="0.35">
      <c r="K222" s="118"/>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6"/>
      <c r="AT222" s="116"/>
      <c r="AU222" s="116"/>
      <c r="AV222" s="116"/>
      <c r="AW222" s="116"/>
      <c r="AX222" s="116"/>
      <c r="AY222" s="116"/>
      <c r="AZ222" s="116"/>
      <c r="BA222" s="116"/>
      <c r="BB222" s="116"/>
      <c r="BC222" s="116"/>
      <c r="BD222" s="116"/>
      <c r="BE222" s="116"/>
      <c r="BF222" s="116"/>
      <c r="BG222" s="116"/>
      <c r="BH222" s="116"/>
      <c r="BI222" s="116"/>
      <c r="BJ222" s="116"/>
      <c r="BK222" s="116"/>
      <c r="BL222" s="116"/>
      <c r="BM222" s="116"/>
      <c r="BN222" s="116"/>
      <c r="BO222" s="116"/>
      <c r="BP222" s="116"/>
      <c r="BQ222" s="116"/>
      <c r="BR222" s="116"/>
      <c r="BS222" s="116"/>
    </row>
    <row r="223" spans="11:71" x14ac:dyDescent="0.35">
      <c r="K223" s="118"/>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6"/>
      <c r="BR223" s="116"/>
      <c r="BS223" s="116"/>
    </row>
    <row r="224" spans="11:71" x14ac:dyDescent="0.35">
      <c r="K224" s="118"/>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c r="BR224" s="116"/>
      <c r="BS224" s="116"/>
    </row>
    <row r="225" spans="11:71" x14ac:dyDescent="0.35">
      <c r="K225" s="118"/>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6"/>
      <c r="BF225" s="116"/>
      <c r="BG225" s="116"/>
      <c r="BH225" s="116"/>
      <c r="BI225" s="116"/>
      <c r="BJ225" s="116"/>
      <c r="BK225" s="116"/>
      <c r="BL225" s="116"/>
      <c r="BM225" s="116"/>
      <c r="BN225" s="116"/>
      <c r="BO225" s="116"/>
      <c r="BP225" s="116"/>
      <c r="BQ225" s="116"/>
      <c r="BR225" s="116"/>
      <c r="BS225" s="116"/>
    </row>
    <row r="226" spans="11:71" x14ac:dyDescent="0.35">
      <c r="K226" s="118"/>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c r="BR226" s="116"/>
      <c r="BS226" s="116"/>
    </row>
    <row r="227" spans="11:71" x14ac:dyDescent="0.35">
      <c r="K227" s="118"/>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16"/>
      <c r="BA227" s="116"/>
      <c r="BB227" s="116"/>
      <c r="BC227" s="116"/>
      <c r="BD227" s="116"/>
      <c r="BE227" s="116"/>
      <c r="BF227" s="116"/>
      <c r="BG227" s="116"/>
      <c r="BH227" s="116"/>
      <c r="BI227" s="116"/>
      <c r="BJ227" s="116"/>
      <c r="BK227" s="116"/>
      <c r="BL227" s="116"/>
      <c r="BM227" s="116"/>
      <c r="BN227" s="116"/>
      <c r="BO227" s="116"/>
      <c r="BP227" s="116"/>
      <c r="BQ227" s="116"/>
      <c r="BR227" s="116"/>
      <c r="BS227" s="116"/>
    </row>
    <row r="228" spans="11:71" x14ac:dyDescent="0.35">
      <c r="K228" s="118"/>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c r="BR228" s="116"/>
      <c r="BS228" s="116"/>
    </row>
    <row r="229" spans="11:71" x14ac:dyDescent="0.35">
      <c r="K229" s="118"/>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c r="BR229" s="116"/>
      <c r="BS229" s="116"/>
    </row>
    <row r="230" spans="11:71" x14ac:dyDescent="0.35">
      <c r="K230" s="118"/>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6"/>
      <c r="AY230" s="116"/>
      <c r="AZ230" s="116"/>
      <c r="BA230" s="116"/>
      <c r="BB230" s="116"/>
      <c r="BC230" s="116"/>
      <c r="BD230" s="116"/>
      <c r="BE230" s="116"/>
      <c r="BF230" s="116"/>
      <c r="BG230" s="116"/>
      <c r="BH230" s="116"/>
      <c r="BI230" s="116"/>
      <c r="BJ230" s="116"/>
      <c r="BK230" s="116"/>
      <c r="BL230" s="116"/>
      <c r="BM230" s="116"/>
      <c r="BN230" s="116"/>
      <c r="BO230" s="116"/>
      <c r="BP230" s="116"/>
      <c r="BQ230" s="116"/>
      <c r="BR230" s="116"/>
      <c r="BS230" s="116"/>
    </row>
    <row r="231" spans="11:71" x14ac:dyDescent="0.35">
      <c r="K231" s="118"/>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c r="BF231" s="116"/>
      <c r="BG231" s="116"/>
      <c r="BH231" s="116"/>
      <c r="BI231" s="116"/>
      <c r="BJ231" s="116"/>
      <c r="BK231" s="116"/>
      <c r="BL231" s="116"/>
      <c r="BM231" s="116"/>
      <c r="BN231" s="116"/>
      <c r="BO231" s="116"/>
      <c r="BP231" s="116"/>
      <c r="BQ231" s="116"/>
      <c r="BR231" s="116"/>
      <c r="BS231" s="116"/>
    </row>
    <row r="232" spans="11:71" x14ac:dyDescent="0.35">
      <c r="K232" s="118"/>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6"/>
      <c r="BM232" s="116"/>
      <c r="BN232" s="116"/>
      <c r="BO232" s="116"/>
      <c r="BP232" s="116"/>
      <c r="BQ232" s="116"/>
      <c r="BR232" s="116"/>
      <c r="BS232" s="116"/>
    </row>
    <row r="233" spans="11:71" x14ac:dyDescent="0.35">
      <c r="K233" s="118"/>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6"/>
      <c r="BE233" s="116"/>
      <c r="BF233" s="116"/>
      <c r="BG233" s="116"/>
      <c r="BH233" s="116"/>
      <c r="BI233" s="116"/>
      <c r="BJ233" s="116"/>
      <c r="BK233" s="116"/>
      <c r="BL233" s="116"/>
      <c r="BM233" s="116"/>
      <c r="BN233" s="116"/>
      <c r="BO233" s="116"/>
      <c r="BP233" s="116"/>
      <c r="BQ233" s="116"/>
      <c r="BR233" s="116"/>
      <c r="BS233" s="116"/>
    </row>
    <row r="234" spans="11:71" x14ac:dyDescent="0.35">
      <c r="K234" s="118"/>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6"/>
      <c r="AQ234" s="116"/>
      <c r="AR234" s="116"/>
      <c r="AS234" s="116"/>
      <c r="AT234" s="116"/>
      <c r="AU234" s="116"/>
      <c r="AV234" s="116"/>
      <c r="AW234" s="116"/>
      <c r="AX234" s="116"/>
      <c r="AY234" s="116"/>
      <c r="AZ234" s="116"/>
      <c r="BA234" s="116"/>
      <c r="BB234" s="116"/>
      <c r="BC234" s="116"/>
      <c r="BD234" s="116"/>
      <c r="BE234" s="116"/>
      <c r="BF234" s="116"/>
      <c r="BG234" s="116"/>
      <c r="BH234" s="116"/>
      <c r="BI234" s="116"/>
      <c r="BJ234" s="116"/>
      <c r="BK234" s="116"/>
      <c r="BL234" s="116"/>
      <c r="BM234" s="116"/>
      <c r="BN234" s="116"/>
      <c r="BO234" s="116"/>
      <c r="BP234" s="116"/>
      <c r="BQ234" s="116"/>
      <c r="BR234" s="116"/>
      <c r="BS234" s="116"/>
    </row>
    <row r="235" spans="11:71" x14ac:dyDescent="0.35">
      <c r="K235" s="118"/>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c r="AO235" s="116"/>
      <c r="AP235" s="116"/>
      <c r="AQ235" s="116"/>
      <c r="AR235" s="116"/>
      <c r="AS235" s="116"/>
      <c r="AT235" s="116"/>
      <c r="AU235" s="116"/>
      <c r="AV235" s="116"/>
      <c r="AW235" s="116"/>
      <c r="AX235" s="116"/>
      <c r="AY235" s="116"/>
      <c r="AZ235" s="116"/>
      <c r="BA235" s="116"/>
      <c r="BB235" s="116"/>
      <c r="BC235" s="116"/>
      <c r="BD235" s="116"/>
      <c r="BE235" s="116"/>
      <c r="BF235" s="116"/>
      <c r="BG235" s="116"/>
      <c r="BH235" s="116"/>
      <c r="BI235" s="116"/>
      <c r="BJ235" s="116"/>
      <c r="BK235" s="116"/>
      <c r="BL235" s="116"/>
      <c r="BM235" s="116"/>
      <c r="BN235" s="116"/>
      <c r="BO235" s="116"/>
      <c r="BP235" s="116"/>
      <c r="BQ235" s="116"/>
      <c r="BR235" s="116"/>
      <c r="BS235" s="116"/>
    </row>
    <row r="236" spans="11:71" x14ac:dyDescent="0.35">
      <c r="K236" s="118"/>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6"/>
      <c r="AQ236" s="116"/>
      <c r="AR236" s="116"/>
      <c r="AS236" s="116"/>
      <c r="AT236" s="116"/>
      <c r="AU236" s="116"/>
      <c r="AV236" s="116"/>
      <c r="AW236" s="116"/>
      <c r="AX236" s="116"/>
      <c r="AY236" s="116"/>
      <c r="AZ236" s="116"/>
      <c r="BA236" s="116"/>
      <c r="BB236" s="116"/>
      <c r="BC236" s="116"/>
      <c r="BD236" s="116"/>
      <c r="BE236" s="116"/>
      <c r="BF236" s="116"/>
      <c r="BG236" s="116"/>
      <c r="BH236" s="116"/>
      <c r="BI236" s="116"/>
      <c r="BJ236" s="116"/>
      <c r="BK236" s="116"/>
      <c r="BL236" s="116"/>
      <c r="BM236" s="116"/>
      <c r="BN236" s="116"/>
      <c r="BO236" s="116"/>
      <c r="BP236" s="116"/>
      <c r="BQ236" s="116"/>
      <c r="BR236" s="116"/>
      <c r="BS236" s="116"/>
    </row>
    <row r="237" spans="11:71" x14ac:dyDescent="0.35">
      <c r="K237" s="118"/>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6"/>
      <c r="BR237" s="116"/>
      <c r="BS237" s="116"/>
    </row>
    <row r="238" spans="11:71" x14ac:dyDescent="0.35">
      <c r="K238" s="118"/>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6"/>
      <c r="BR238" s="116"/>
      <c r="BS238" s="116"/>
    </row>
    <row r="239" spans="11:71" x14ac:dyDescent="0.35">
      <c r="K239" s="118"/>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16"/>
      <c r="AU239" s="116"/>
      <c r="AV239" s="116"/>
      <c r="AW239" s="116"/>
      <c r="AX239" s="116"/>
      <c r="AY239" s="116"/>
      <c r="AZ239" s="116"/>
      <c r="BA239" s="116"/>
      <c r="BB239" s="116"/>
      <c r="BC239" s="116"/>
      <c r="BD239" s="116"/>
      <c r="BE239" s="116"/>
      <c r="BF239" s="116"/>
      <c r="BG239" s="116"/>
      <c r="BH239" s="116"/>
      <c r="BI239" s="116"/>
      <c r="BJ239" s="116"/>
      <c r="BK239" s="116"/>
      <c r="BL239" s="116"/>
      <c r="BM239" s="116"/>
      <c r="BN239" s="116"/>
      <c r="BO239" s="116"/>
      <c r="BP239" s="116"/>
      <c r="BQ239" s="116"/>
      <c r="BR239" s="116"/>
      <c r="BS239" s="116"/>
    </row>
    <row r="240" spans="11:71" x14ac:dyDescent="0.35">
      <c r="K240" s="118"/>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c r="AX240" s="116"/>
      <c r="AY240" s="116"/>
      <c r="AZ240" s="116"/>
      <c r="BA240" s="116"/>
      <c r="BB240" s="116"/>
      <c r="BC240" s="116"/>
      <c r="BD240" s="116"/>
      <c r="BE240" s="116"/>
      <c r="BF240" s="116"/>
      <c r="BG240" s="116"/>
      <c r="BH240" s="116"/>
      <c r="BI240" s="116"/>
      <c r="BJ240" s="116"/>
      <c r="BK240" s="116"/>
      <c r="BL240" s="116"/>
      <c r="BM240" s="116"/>
      <c r="BN240" s="116"/>
      <c r="BO240" s="116"/>
      <c r="BP240" s="116"/>
      <c r="BQ240" s="116"/>
      <c r="BR240" s="116"/>
      <c r="BS240" s="116"/>
    </row>
    <row r="241" spans="11:71" x14ac:dyDescent="0.35">
      <c r="K241" s="118"/>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6"/>
      <c r="BR241" s="116"/>
      <c r="BS241" s="116"/>
    </row>
    <row r="242" spans="11:71" x14ac:dyDescent="0.35">
      <c r="K242" s="118"/>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c r="BL242" s="116"/>
      <c r="BM242" s="116"/>
      <c r="BN242" s="116"/>
      <c r="BO242" s="116"/>
      <c r="BP242" s="116"/>
      <c r="BQ242" s="116"/>
      <c r="BR242" s="116"/>
      <c r="BS242" s="116"/>
    </row>
    <row r="243" spans="11:71" x14ac:dyDescent="0.35">
      <c r="K243" s="118"/>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6"/>
      <c r="AT243" s="116"/>
      <c r="AU243" s="116"/>
      <c r="AV243" s="116"/>
      <c r="AW243" s="116"/>
      <c r="AX243" s="116"/>
      <c r="AY243" s="116"/>
      <c r="AZ243" s="116"/>
      <c r="BA243" s="116"/>
      <c r="BB243" s="116"/>
      <c r="BC243" s="116"/>
      <c r="BD243" s="116"/>
      <c r="BE243" s="116"/>
      <c r="BF243" s="116"/>
      <c r="BG243" s="116"/>
      <c r="BH243" s="116"/>
      <c r="BI243" s="116"/>
      <c r="BJ243" s="116"/>
      <c r="BK243" s="116"/>
      <c r="BL243" s="116"/>
      <c r="BM243" s="116"/>
      <c r="BN243" s="116"/>
      <c r="BO243" s="116"/>
      <c r="BP243" s="116"/>
      <c r="BQ243" s="116"/>
      <c r="BR243" s="116"/>
      <c r="BS243" s="116"/>
    </row>
    <row r="244" spans="11:71" x14ac:dyDescent="0.35">
      <c r="K244" s="118"/>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6"/>
      <c r="AQ244" s="116"/>
      <c r="AR244" s="116"/>
      <c r="AS244" s="116"/>
      <c r="AT244" s="116"/>
      <c r="AU244" s="116"/>
      <c r="AV244" s="116"/>
      <c r="AW244" s="116"/>
      <c r="AX244" s="116"/>
      <c r="AY244" s="116"/>
      <c r="AZ244" s="116"/>
      <c r="BA244" s="116"/>
      <c r="BB244" s="116"/>
      <c r="BC244" s="116"/>
      <c r="BD244" s="116"/>
      <c r="BE244" s="116"/>
      <c r="BF244" s="116"/>
      <c r="BG244" s="116"/>
      <c r="BH244" s="116"/>
      <c r="BI244" s="116"/>
      <c r="BJ244" s="116"/>
      <c r="BK244" s="116"/>
      <c r="BL244" s="116"/>
      <c r="BM244" s="116"/>
      <c r="BN244" s="116"/>
      <c r="BO244" s="116"/>
      <c r="BP244" s="116"/>
      <c r="BQ244" s="116"/>
      <c r="BR244" s="116"/>
      <c r="BS244" s="116"/>
    </row>
    <row r="245" spans="11:71" x14ac:dyDescent="0.35">
      <c r="K245" s="118"/>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6"/>
      <c r="AQ245" s="116"/>
      <c r="AR245" s="116"/>
      <c r="AS245" s="116"/>
      <c r="AT245" s="116"/>
      <c r="AU245" s="116"/>
      <c r="AV245" s="116"/>
      <c r="AW245" s="116"/>
      <c r="AX245" s="116"/>
      <c r="AY245" s="116"/>
      <c r="AZ245" s="116"/>
      <c r="BA245" s="116"/>
      <c r="BB245" s="116"/>
      <c r="BC245" s="116"/>
      <c r="BD245" s="116"/>
      <c r="BE245" s="116"/>
      <c r="BF245" s="116"/>
      <c r="BG245" s="116"/>
      <c r="BH245" s="116"/>
      <c r="BI245" s="116"/>
      <c r="BJ245" s="116"/>
      <c r="BK245" s="116"/>
      <c r="BL245" s="116"/>
      <c r="BM245" s="116"/>
      <c r="BN245" s="116"/>
      <c r="BO245" s="116"/>
      <c r="BP245" s="116"/>
      <c r="BQ245" s="116"/>
      <c r="BR245" s="116"/>
      <c r="BS245" s="116"/>
    </row>
    <row r="246" spans="11:71" x14ac:dyDescent="0.35">
      <c r="K246" s="118"/>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6"/>
      <c r="AQ246" s="116"/>
      <c r="AR246" s="116"/>
      <c r="AS246" s="116"/>
      <c r="AT246" s="116"/>
      <c r="AU246" s="116"/>
      <c r="AV246" s="116"/>
      <c r="AW246" s="116"/>
      <c r="AX246" s="116"/>
      <c r="AY246" s="116"/>
      <c r="AZ246" s="116"/>
      <c r="BA246" s="116"/>
      <c r="BB246" s="116"/>
      <c r="BC246" s="116"/>
      <c r="BD246" s="116"/>
      <c r="BE246" s="116"/>
      <c r="BF246" s="116"/>
      <c r="BG246" s="116"/>
      <c r="BH246" s="116"/>
      <c r="BI246" s="116"/>
      <c r="BJ246" s="116"/>
      <c r="BK246" s="116"/>
      <c r="BL246" s="116"/>
      <c r="BM246" s="116"/>
      <c r="BN246" s="116"/>
      <c r="BO246" s="116"/>
      <c r="BP246" s="116"/>
      <c r="BQ246" s="116"/>
      <c r="BR246" s="116"/>
      <c r="BS246" s="116"/>
    </row>
    <row r="247" spans="11:71" x14ac:dyDescent="0.35">
      <c r="K247" s="118"/>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6"/>
      <c r="AY247" s="116"/>
      <c r="AZ247" s="116"/>
      <c r="BA247" s="116"/>
      <c r="BB247" s="116"/>
      <c r="BC247" s="116"/>
      <c r="BD247" s="116"/>
      <c r="BE247" s="116"/>
      <c r="BF247" s="116"/>
      <c r="BG247" s="116"/>
      <c r="BH247" s="116"/>
      <c r="BI247" s="116"/>
      <c r="BJ247" s="116"/>
      <c r="BK247" s="116"/>
      <c r="BL247" s="116"/>
      <c r="BM247" s="116"/>
      <c r="BN247" s="116"/>
      <c r="BO247" s="116"/>
      <c r="BP247" s="116"/>
      <c r="BQ247" s="116"/>
      <c r="BR247" s="116"/>
      <c r="BS247" s="116"/>
    </row>
    <row r="248" spans="11:71" x14ac:dyDescent="0.35">
      <c r="K248" s="118"/>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c r="BM248" s="116"/>
      <c r="BN248" s="116"/>
      <c r="BO248" s="116"/>
      <c r="BP248" s="116"/>
      <c r="BQ248" s="116"/>
      <c r="BR248" s="116"/>
      <c r="BS248" s="116"/>
    </row>
    <row r="249" spans="11:71" x14ac:dyDescent="0.35">
      <c r="K249" s="118"/>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16"/>
      <c r="AY249" s="116"/>
      <c r="AZ249" s="116"/>
      <c r="BA249" s="116"/>
      <c r="BB249" s="116"/>
      <c r="BC249" s="116"/>
      <c r="BD249" s="116"/>
      <c r="BE249" s="116"/>
      <c r="BF249" s="116"/>
      <c r="BG249" s="116"/>
      <c r="BH249" s="116"/>
      <c r="BI249" s="116"/>
      <c r="BJ249" s="116"/>
      <c r="BK249" s="116"/>
      <c r="BL249" s="116"/>
      <c r="BM249" s="116"/>
      <c r="BN249" s="116"/>
      <c r="BO249" s="116"/>
      <c r="BP249" s="116"/>
      <c r="BQ249" s="116"/>
      <c r="BR249" s="116"/>
      <c r="BS249" s="116"/>
    </row>
    <row r="250" spans="11:71" x14ac:dyDescent="0.35">
      <c r="K250" s="118"/>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6"/>
      <c r="AY250" s="116"/>
      <c r="AZ250" s="116"/>
      <c r="BA250" s="116"/>
      <c r="BB250" s="116"/>
      <c r="BC250" s="116"/>
      <c r="BD250" s="116"/>
      <c r="BE250" s="116"/>
      <c r="BF250" s="116"/>
      <c r="BG250" s="116"/>
      <c r="BH250" s="116"/>
      <c r="BI250" s="116"/>
      <c r="BJ250" s="116"/>
      <c r="BK250" s="116"/>
      <c r="BL250" s="116"/>
      <c r="BM250" s="116"/>
      <c r="BN250" s="116"/>
      <c r="BO250" s="116"/>
      <c r="BP250" s="116"/>
      <c r="BQ250" s="116"/>
      <c r="BR250" s="116"/>
      <c r="BS250" s="116"/>
    </row>
    <row r="251" spans="11:71" x14ac:dyDescent="0.35">
      <c r="K251" s="118"/>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6"/>
      <c r="AY251" s="116"/>
      <c r="AZ251" s="116"/>
      <c r="BA251" s="116"/>
      <c r="BB251" s="116"/>
      <c r="BC251" s="116"/>
      <c r="BD251" s="116"/>
      <c r="BE251" s="116"/>
      <c r="BF251" s="116"/>
      <c r="BG251" s="116"/>
      <c r="BH251" s="116"/>
      <c r="BI251" s="116"/>
      <c r="BJ251" s="116"/>
      <c r="BK251" s="116"/>
      <c r="BL251" s="116"/>
      <c r="BM251" s="116"/>
      <c r="BN251" s="116"/>
      <c r="BO251" s="116"/>
      <c r="BP251" s="116"/>
      <c r="BQ251" s="116"/>
      <c r="BR251" s="116"/>
      <c r="BS251" s="116"/>
    </row>
    <row r="252" spans="11:71" x14ac:dyDescent="0.35">
      <c r="K252" s="118"/>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6"/>
      <c r="AY252" s="116"/>
      <c r="AZ252" s="116"/>
      <c r="BA252" s="116"/>
      <c r="BB252" s="116"/>
      <c r="BC252" s="116"/>
      <c r="BD252" s="116"/>
      <c r="BE252" s="116"/>
      <c r="BF252" s="116"/>
      <c r="BG252" s="116"/>
      <c r="BH252" s="116"/>
      <c r="BI252" s="116"/>
      <c r="BJ252" s="116"/>
      <c r="BK252" s="116"/>
      <c r="BL252" s="116"/>
      <c r="BM252" s="116"/>
      <c r="BN252" s="116"/>
      <c r="BO252" s="116"/>
      <c r="BP252" s="116"/>
      <c r="BQ252" s="116"/>
      <c r="BR252" s="116"/>
      <c r="BS252" s="116"/>
    </row>
    <row r="253" spans="11:71" x14ac:dyDescent="0.35">
      <c r="K253" s="118"/>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c r="BR253" s="116"/>
      <c r="BS253" s="116"/>
    </row>
    <row r="254" spans="11:71" x14ac:dyDescent="0.35">
      <c r="K254" s="118"/>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c r="BR254" s="116"/>
      <c r="BS254" s="116"/>
    </row>
    <row r="255" spans="11:71" x14ac:dyDescent="0.35">
      <c r="K255" s="118"/>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c r="BR255" s="116"/>
      <c r="BS255" s="116"/>
    </row>
    <row r="256" spans="11:71" x14ac:dyDescent="0.35">
      <c r="K256" s="118"/>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c r="BR256" s="116"/>
      <c r="BS256" s="116"/>
    </row>
    <row r="257" spans="11:71" x14ac:dyDescent="0.35">
      <c r="K257" s="118"/>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16"/>
      <c r="BG257" s="116"/>
      <c r="BH257" s="116"/>
      <c r="BI257" s="116"/>
      <c r="BJ257" s="116"/>
      <c r="BK257" s="116"/>
      <c r="BL257" s="116"/>
      <c r="BM257" s="116"/>
      <c r="BN257" s="116"/>
      <c r="BO257" s="116"/>
      <c r="BP257" s="116"/>
      <c r="BQ257" s="116"/>
      <c r="BR257" s="116"/>
      <c r="BS257" s="116"/>
    </row>
    <row r="258" spans="11:71" x14ac:dyDescent="0.35">
      <c r="K258" s="118"/>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16"/>
      <c r="BG258" s="116"/>
      <c r="BH258" s="116"/>
      <c r="BI258" s="116"/>
      <c r="BJ258" s="116"/>
      <c r="BK258" s="116"/>
      <c r="BL258" s="116"/>
      <c r="BM258" s="116"/>
      <c r="BN258" s="116"/>
      <c r="BO258" s="116"/>
      <c r="BP258" s="116"/>
      <c r="BQ258" s="116"/>
      <c r="BR258" s="116"/>
      <c r="BS258" s="116"/>
    </row>
    <row r="259" spans="11:71" x14ac:dyDescent="0.35">
      <c r="K259" s="118"/>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c r="BL259" s="116"/>
      <c r="BM259" s="116"/>
      <c r="BN259" s="116"/>
      <c r="BO259" s="116"/>
      <c r="BP259" s="116"/>
      <c r="BQ259" s="116"/>
      <c r="BR259" s="116"/>
      <c r="BS259" s="116"/>
    </row>
    <row r="260" spans="11:71" x14ac:dyDescent="0.35">
      <c r="K260" s="118"/>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row>
    <row r="261" spans="11:71" x14ac:dyDescent="0.35">
      <c r="K261" s="118"/>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c r="BR261" s="116"/>
      <c r="BS261" s="116"/>
    </row>
    <row r="262" spans="11:71" x14ac:dyDescent="0.35">
      <c r="K262" s="118"/>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c r="BR262" s="116"/>
      <c r="BS262" s="116"/>
    </row>
    <row r="263" spans="11:71" x14ac:dyDescent="0.35">
      <c r="K263" s="118"/>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c r="BL263" s="116"/>
      <c r="BM263" s="116"/>
      <c r="BN263" s="116"/>
      <c r="BO263" s="116"/>
      <c r="BP263" s="116"/>
      <c r="BQ263" s="116"/>
      <c r="BR263" s="116"/>
      <c r="BS263" s="116"/>
    </row>
    <row r="264" spans="11:71" x14ac:dyDescent="0.35">
      <c r="K264" s="118"/>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c r="BR264" s="116"/>
      <c r="BS264" s="116"/>
    </row>
    <row r="265" spans="11:71" x14ac:dyDescent="0.35">
      <c r="K265" s="118"/>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c r="BR265" s="116"/>
      <c r="BS265" s="116"/>
    </row>
    <row r="266" spans="11:71" x14ac:dyDescent="0.35">
      <c r="K266" s="118"/>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c r="BR266" s="116"/>
      <c r="BS266" s="116"/>
    </row>
    <row r="267" spans="11:71" x14ac:dyDescent="0.35">
      <c r="K267" s="118"/>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c r="BR267" s="116"/>
      <c r="BS267" s="116"/>
    </row>
    <row r="268" spans="11:71" x14ac:dyDescent="0.35">
      <c r="K268" s="118"/>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c r="BL268" s="116"/>
      <c r="BM268" s="116"/>
      <c r="BN268" s="116"/>
      <c r="BO268" s="116"/>
      <c r="BP268" s="116"/>
      <c r="BQ268" s="116"/>
      <c r="BR268" s="116"/>
      <c r="BS268" s="116"/>
    </row>
    <row r="269" spans="11:71" x14ac:dyDescent="0.35">
      <c r="K269" s="118"/>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116"/>
      <c r="BI269" s="116"/>
      <c r="BJ269" s="116"/>
      <c r="BK269" s="116"/>
      <c r="BL269" s="116"/>
      <c r="BM269" s="116"/>
      <c r="BN269" s="116"/>
      <c r="BO269" s="116"/>
      <c r="BP269" s="116"/>
      <c r="BQ269" s="116"/>
      <c r="BR269" s="116"/>
      <c r="BS269" s="116"/>
    </row>
    <row r="270" spans="11:71" x14ac:dyDescent="0.35">
      <c r="K270" s="118"/>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c r="BR270" s="116"/>
      <c r="BS270" s="116"/>
    </row>
    <row r="271" spans="11:71" x14ac:dyDescent="0.35">
      <c r="K271" s="118"/>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c r="BR271" s="116"/>
      <c r="BS271" s="116"/>
    </row>
    <row r="272" spans="11:71" x14ac:dyDescent="0.35">
      <c r="K272" s="118"/>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c r="BR272" s="116"/>
      <c r="BS272" s="116"/>
    </row>
    <row r="273" spans="11:71" x14ac:dyDescent="0.35">
      <c r="K273" s="118"/>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c r="BR273" s="116"/>
      <c r="BS273" s="116"/>
    </row>
    <row r="274" spans="11:71" x14ac:dyDescent="0.35">
      <c r="K274" s="118"/>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row>
    <row r="275" spans="11:71" x14ac:dyDescent="0.35">
      <c r="K275" s="118"/>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row>
    <row r="276" spans="11:71" x14ac:dyDescent="0.35">
      <c r="K276" s="118"/>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row>
    <row r="277" spans="11:71" x14ac:dyDescent="0.35">
      <c r="K277" s="118"/>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row>
    <row r="278" spans="11:71" x14ac:dyDescent="0.35">
      <c r="K278" s="118"/>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row>
    <row r="279" spans="11:71" x14ac:dyDescent="0.35">
      <c r="K279" s="118"/>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row>
    <row r="280" spans="11:71" x14ac:dyDescent="0.35">
      <c r="K280" s="118"/>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row>
    <row r="281" spans="11:71" x14ac:dyDescent="0.35">
      <c r="K281" s="118"/>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row>
    <row r="282" spans="11:71" x14ac:dyDescent="0.35">
      <c r="K282" s="118"/>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c r="BR282" s="116"/>
      <c r="BS282" s="116"/>
    </row>
    <row r="283" spans="11:71" x14ac:dyDescent="0.35">
      <c r="K283" s="118"/>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row>
    <row r="284" spans="11:71" x14ac:dyDescent="0.35">
      <c r="K284" s="118"/>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row>
    <row r="285" spans="11:71" x14ac:dyDescent="0.35">
      <c r="K285" s="118"/>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row>
    <row r="286" spans="11:71" x14ac:dyDescent="0.35">
      <c r="K286" s="118"/>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c r="BR286" s="116"/>
      <c r="BS286" s="116"/>
    </row>
    <row r="287" spans="11:71" x14ac:dyDescent="0.35">
      <c r="K287" s="118"/>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row>
    <row r="288" spans="11:71" x14ac:dyDescent="0.35">
      <c r="K288" s="118"/>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row>
    <row r="289" spans="11:71" x14ac:dyDescent="0.35">
      <c r="K289" s="118"/>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row>
    <row r="290" spans="11:71" x14ac:dyDescent="0.35">
      <c r="K290" s="118"/>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row>
    <row r="291" spans="11:71" x14ac:dyDescent="0.35">
      <c r="K291" s="118"/>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row>
    <row r="292" spans="11:71" x14ac:dyDescent="0.35">
      <c r="K292" s="118"/>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c r="BR292" s="116"/>
      <c r="BS292" s="116"/>
    </row>
    <row r="293" spans="11:71" x14ac:dyDescent="0.35">
      <c r="K293" s="118"/>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c r="BR293" s="116"/>
      <c r="BS293" s="116"/>
    </row>
    <row r="294" spans="11:71" x14ac:dyDescent="0.35">
      <c r="K294" s="118"/>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c r="BR294" s="116"/>
      <c r="BS294" s="116"/>
    </row>
    <row r="295" spans="11:71" x14ac:dyDescent="0.35">
      <c r="K295" s="118"/>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c r="BR295" s="116"/>
      <c r="BS295" s="116"/>
    </row>
    <row r="296" spans="11:71" x14ac:dyDescent="0.35">
      <c r="K296" s="118"/>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row>
    <row r="297" spans="11:71" x14ac:dyDescent="0.35">
      <c r="K297" s="118"/>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c r="BR297" s="116"/>
      <c r="BS297" s="116"/>
    </row>
    <row r="298" spans="11:71" x14ac:dyDescent="0.35">
      <c r="K298" s="118"/>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c r="BR298" s="116"/>
      <c r="BS298" s="116"/>
    </row>
    <row r="299" spans="11:71" x14ac:dyDescent="0.35">
      <c r="K299" s="118"/>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c r="BR299" s="116"/>
      <c r="BS299" s="116"/>
    </row>
    <row r="300" spans="11:71" x14ac:dyDescent="0.35">
      <c r="K300" s="118"/>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row>
    <row r="301" spans="11:71" x14ac:dyDescent="0.35">
      <c r="K301" s="118"/>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c r="BL301" s="116"/>
      <c r="BM301" s="116"/>
      <c r="BN301" s="116"/>
      <c r="BO301" s="116"/>
      <c r="BP301" s="116"/>
      <c r="BQ301" s="116"/>
      <c r="BR301" s="116"/>
      <c r="BS301" s="116"/>
    </row>
    <row r="302" spans="11:71" x14ac:dyDescent="0.35">
      <c r="K302" s="118"/>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6"/>
      <c r="BM302" s="116"/>
      <c r="BN302" s="116"/>
      <c r="BO302" s="116"/>
      <c r="BP302" s="116"/>
      <c r="BQ302" s="116"/>
      <c r="BR302" s="116"/>
      <c r="BS302" s="116"/>
    </row>
    <row r="303" spans="11:71" x14ac:dyDescent="0.35">
      <c r="K303" s="118"/>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c r="BR303" s="116"/>
      <c r="BS303" s="116"/>
    </row>
    <row r="304" spans="11:71" x14ac:dyDescent="0.35">
      <c r="K304" s="118"/>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row>
    <row r="305" spans="11:71" x14ac:dyDescent="0.35">
      <c r="K305" s="118"/>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row>
    <row r="306" spans="11:71" x14ac:dyDescent="0.35">
      <c r="K306" s="118"/>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row>
    <row r="307" spans="11:71" x14ac:dyDescent="0.35">
      <c r="K307" s="118"/>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c r="BL307" s="116"/>
      <c r="BM307" s="116"/>
      <c r="BN307" s="116"/>
      <c r="BO307" s="116"/>
      <c r="BP307" s="116"/>
      <c r="BQ307" s="116"/>
      <c r="BR307" s="116"/>
      <c r="BS307" s="116"/>
    </row>
    <row r="308" spans="11:71" x14ac:dyDescent="0.35">
      <c r="K308" s="118"/>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c r="BR308" s="116"/>
      <c r="BS308" s="116"/>
    </row>
    <row r="309" spans="11:71" x14ac:dyDescent="0.35">
      <c r="K309" s="118"/>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c r="BR309" s="116"/>
      <c r="BS309" s="116"/>
    </row>
    <row r="310" spans="11:71" x14ac:dyDescent="0.35">
      <c r="K310" s="118"/>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c r="BR310" s="116"/>
      <c r="BS310" s="116"/>
    </row>
    <row r="311" spans="11:71" x14ac:dyDescent="0.35">
      <c r="K311" s="118"/>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c r="BR311" s="116"/>
      <c r="BS311" s="116"/>
    </row>
    <row r="312" spans="11:71" x14ac:dyDescent="0.35">
      <c r="K312" s="118"/>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c r="BL312" s="116"/>
      <c r="BM312" s="116"/>
      <c r="BN312" s="116"/>
      <c r="BO312" s="116"/>
      <c r="BP312" s="116"/>
      <c r="BQ312" s="116"/>
      <c r="BR312" s="116"/>
      <c r="BS312" s="116"/>
    </row>
    <row r="313" spans="11:71" x14ac:dyDescent="0.35">
      <c r="K313" s="118"/>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6"/>
      <c r="BQ313" s="116"/>
      <c r="BR313" s="116"/>
      <c r="BS313" s="116"/>
    </row>
    <row r="314" spans="11:71" x14ac:dyDescent="0.35">
      <c r="K314" s="118"/>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6"/>
      <c r="BQ314" s="116"/>
      <c r="BR314" s="116"/>
      <c r="BS314" s="116"/>
    </row>
    <row r="315" spans="11:71" x14ac:dyDescent="0.35">
      <c r="K315" s="118"/>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row>
    <row r="316" spans="11:71" x14ac:dyDescent="0.35">
      <c r="K316" s="118"/>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6"/>
      <c r="BM316" s="116"/>
      <c r="BN316" s="116"/>
      <c r="BO316" s="116"/>
      <c r="BP316" s="116"/>
      <c r="BQ316" s="116"/>
      <c r="BR316" s="116"/>
      <c r="BS316" s="116"/>
    </row>
    <row r="317" spans="11:71" x14ac:dyDescent="0.35">
      <c r="K317" s="118"/>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c r="BL317" s="116"/>
      <c r="BM317" s="116"/>
      <c r="BN317" s="116"/>
      <c r="BO317" s="116"/>
      <c r="BP317" s="116"/>
      <c r="BQ317" s="116"/>
      <c r="BR317" s="116"/>
      <c r="BS317" s="116"/>
    </row>
    <row r="318" spans="11:71" x14ac:dyDescent="0.35">
      <c r="K318" s="118"/>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c r="BL318" s="116"/>
      <c r="BM318" s="116"/>
      <c r="BN318" s="116"/>
      <c r="BO318" s="116"/>
      <c r="BP318" s="116"/>
      <c r="BQ318" s="116"/>
      <c r="BR318" s="116"/>
      <c r="BS318" s="116"/>
    </row>
    <row r="319" spans="11:71" x14ac:dyDescent="0.35">
      <c r="K319" s="118"/>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c r="BL319" s="116"/>
      <c r="BM319" s="116"/>
      <c r="BN319" s="116"/>
      <c r="BO319" s="116"/>
      <c r="BP319" s="116"/>
      <c r="BQ319" s="116"/>
      <c r="BR319" s="116"/>
      <c r="BS319" s="116"/>
    </row>
    <row r="320" spans="11:71" x14ac:dyDescent="0.35">
      <c r="K320" s="118"/>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c r="BL320" s="116"/>
      <c r="BM320" s="116"/>
      <c r="BN320" s="116"/>
      <c r="BO320" s="116"/>
      <c r="BP320" s="116"/>
      <c r="BQ320" s="116"/>
      <c r="BR320" s="116"/>
      <c r="BS320" s="116"/>
    </row>
    <row r="321" spans="11:71" x14ac:dyDescent="0.35">
      <c r="K321" s="118"/>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c r="BL321" s="116"/>
      <c r="BM321" s="116"/>
      <c r="BN321" s="116"/>
      <c r="BO321" s="116"/>
      <c r="BP321" s="116"/>
      <c r="BQ321" s="116"/>
      <c r="BR321" s="116"/>
      <c r="BS321" s="116"/>
    </row>
    <row r="322" spans="11:71" x14ac:dyDescent="0.35">
      <c r="K322" s="118"/>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c r="BL322" s="116"/>
      <c r="BM322" s="116"/>
      <c r="BN322" s="116"/>
      <c r="BO322" s="116"/>
      <c r="BP322" s="116"/>
      <c r="BQ322" s="116"/>
      <c r="BR322" s="116"/>
      <c r="BS322" s="116"/>
    </row>
    <row r="323" spans="11:71" x14ac:dyDescent="0.35">
      <c r="K323" s="118"/>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c r="BL323" s="116"/>
      <c r="BM323" s="116"/>
      <c r="BN323" s="116"/>
      <c r="BO323" s="116"/>
      <c r="BP323" s="116"/>
      <c r="BQ323" s="116"/>
      <c r="BR323" s="116"/>
      <c r="BS323" s="116"/>
    </row>
    <row r="324" spans="11:71" x14ac:dyDescent="0.35">
      <c r="K324" s="118"/>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c r="BL324" s="116"/>
      <c r="BM324" s="116"/>
      <c r="BN324" s="116"/>
      <c r="BO324" s="116"/>
      <c r="BP324" s="116"/>
      <c r="BQ324" s="116"/>
      <c r="BR324" s="116"/>
      <c r="BS324" s="116"/>
    </row>
    <row r="325" spans="11:71" x14ac:dyDescent="0.35">
      <c r="K325" s="118"/>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c r="BL325" s="116"/>
      <c r="BM325" s="116"/>
      <c r="BN325" s="116"/>
      <c r="BO325" s="116"/>
      <c r="BP325" s="116"/>
      <c r="BQ325" s="116"/>
      <c r="BR325" s="116"/>
      <c r="BS325" s="116"/>
    </row>
    <row r="326" spans="11:71" x14ac:dyDescent="0.35">
      <c r="K326" s="118"/>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c r="BL326" s="116"/>
      <c r="BM326" s="116"/>
      <c r="BN326" s="116"/>
      <c r="BO326" s="116"/>
      <c r="BP326" s="116"/>
      <c r="BQ326" s="116"/>
      <c r="BR326" s="116"/>
      <c r="BS326" s="116"/>
    </row>
    <row r="327" spans="11:71" x14ac:dyDescent="0.35">
      <c r="K327" s="118"/>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c r="BL327" s="116"/>
      <c r="BM327" s="116"/>
      <c r="BN327" s="116"/>
      <c r="BO327" s="116"/>
      <c r="BP327" s="116"/>
      <c r="BQ327" s="116"/>
      <c r="BR327" s="116"/>
      <c r="BS327" s="116"/>
    </row>
    <row r="328" spans="11:71" x14ac:dyDescent="0.35">
      <c r="K328" s="118"/>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c r="BL328" s="116"/>
      <c r="BM328" s="116"/>
      <c r="BN328" s="116"/>
      <c r="BO328" s="116"/>
      <c r="BP328" s="116"/>
      <c r="BQ328" s="116"/>
      <c r="BR328" s="116"/>
      <c r="BS328" s="116"/>
    </row>
    <row r="329" spans="11:71" x14ac:dyDescent="0.35">
      <c r="K329" s="118"/>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c r="BL329" s="116"/>
      <c r="BM329" s="116"/>
      <c r="BN329" s="116"/>
      <c r="BO329" s="116"/>
      <c r="BP329" s="116"/>
      <c r="BQ329" s="116"/>
      <c r="BR329" s="116"/>
      <c r="BS329" s="116"/>
    </row>
    <row r="330" spans="11:71" x14ac:dyDescent="0.35">
      <c r="K330" s="118"/>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row>
    <row r="331" spans="11:71" x14ac:dyDescent="0.35">
      <c r="K331" s="118"/>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row>
    <row r="332" spans="11:71" x14ac:dyDescent="0.35">
      <c r="K332" s="118"/>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row>
    <row r="333" spans="11:71" x14ac:dyDescent="0.35">
      <c r="K333" s="118"/>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c r="BL333" s="116"/>
      <c r="BM333" s="116"/>
      <c r="BN333" s="116"/>
      <c r="BO333" s="116"/>
      <c r="BP333" s="116"/>
      <c r="BQ333" s="116"/>
      <c r="BR333" s="116"/>
      <c r="BS333" s="116"/>
    </row>
    <row r="334" spans="11:71" x14ac:dyDescent="0.35">
      <c r="K334" s="118"/>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c r="BL334" s="116"/>
      <c r="BM334" s="116"/>
      <c r="BN334" s="116"/>
      <c r="BO334" s="116"/>
      <c r="BP334" s="116"/>
      <c r="BQ334" s="116"/>
      <c r="BR334" s="116"/>
      <c r="BS334" s="116"/>
    </row>
    <row r="335" spans="11:71" x14ac:dyDescent="0.35">
      <c r="K335" s="118"/>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row>
    <row r="336" spans="11:71" x14ac:dyDescent="0.35">
      <c r="K336" s="118"/>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c r="BL336" s="116"/>
      <c r="BM336" s="116"/>
      <c r="BN336" s="116"/>
      <c r="BO336" s="116"/>
      <c r="BP336" s="116"/>
      <c r="BQ336" s="116"/>
      <c r="BR336" s="116"/>
      <c r="BS336" s="116"/>
    </row>
    <row r="337" spans="11:71" x14ac:dyDescent="0.35">
      <c r="K337" s="118"/>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row>
    <row r="338" spans="11:71" x14ac:dyDescent="0.35">
      <c r="K338" s="118"/>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row>
    <row r="339" spans="11:71" x14ac:dyDescent="0.35">
      <c r="K339" s="118"/>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c r="BL339" s="116"/>
      <c r="BM339" s="116"/>
      <c r="BN339" s="116"/>
      <c r="BO339" s="116"/>
      <c r="BP339" s="116"/>
      <c r="BQ339" s="116"/>
      <c r="BR339" s="116"/>
      <c r="BS339" s="116"/>
    </row>
    <row r="340" spans="11:71" x14ac:dyDescent="0.35">
      <c r="K340" s="118"/>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c r="BL340" s="116"/>
      <c r="BM340" s="116"/>
      <c r="BN340" s="116"/>
      <c r="BO340" s="116"/>
      <c r="BP340" s="116"/>
      <c r="BQ340" s="116"/>
      <c r="BR340" s="116"/>
      <c r="BS340" s="116"/>
    </row>
    <row r="341" spans="11:71" x14ac:dyDescent="0.35">
      <c r="K341" s="118"/>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c r="BL341" s="116"/>
      <c r="BM341" s="116"/>
      <c r="BN341" s="116"/>
      <c r="BO341" s="116"/>
      <c r="BP341" s="116"/>
      <c r="BQ341" s="116"/>
      <c r="BR341" s="116"/>
      <c r="BS341" s="116"/>
    </row>
    <row r="342" spans="11:71" x14ac:dyDescent="0.35">
      <c r="K342" s="118"/>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c r="BL342" s="116"/>
      <c r="BM342" s="116"/>
      <c r="BN342" s="116"/>
      <c r="BO342" s="116"/>
      <c r="BP342" s="116"/>
      <c r="BQ342" s="116"/>
      <c r="BR342" s="116"/>
      <c r="BS342" s="116"/>
    </row>
    <row r="343" spans="11:71" x14ac:dyDescent="0.35">
      <c r="K343" s="118"/>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c r="BL343" s="116"/>
      <c r="BM343" s="116"/>
      <c r="BN343" s="116"/>
      <c r="BO343" s="116"/>
      <c r="BP343" s="116"/>
      <c r="BQ343" s="116"/>
      <c r="BR343" s="116"/>
      <c r="BS343" s="116"/>
    </row>
    <row r="344" spans="11:71" x14ac:dyDescent="0.35">
      <c r="K344" s="118"/>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6"/>
      <c r="BM344" s="116"/>
      <c r="BN344" s="116"/>
      <c r="BO344" s="116"/>
      <c r="BP344" s="116"/>
      <c r="BQ344" s="116"/>
      <c r="BR344" s="116"/>
      <c r="BS344" s="116"/>
    </row>
    <row r="345" spans="11:71" x14ac:dyDescent="0.35">
      <c r="K345" s="118"/>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c r="BL345" s="116"/>
      <c r="BM345" s="116"/>
      <c r="BN345" s="116"/>
      <c r="BO345" s="116"/>
      <c r="BP345" s="116"/>
      <c r="BQ345" s="116"/>
      <c r="BR345" s="116"/>
      <c r="BS345" s="116"/>
    </row>
    <row r="346" spans="11:71" x14ac:dyDescent="0.35">
      <c r="K346" s="118"/>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c r="BL346" s="116"/>
      <c r="BM346" s="116"/>
      <c r="BN346" s="116"/>
      <c r="BO346" s="116"/>
      <c r="BP346" s="116"/>
      <c r="BQ346" s="116"/>
      <c r="BR346" s="116"/>
      <c r="BS346" s="116"/>
    </row>
    <row r="347" spans="11:71" x14ac:dyDescent="0.35">
      <c r="K347" s="118"/>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row>
    <row r="348" spans="11:71" x14ac:dyDescent="0.35">
      <c r="K348" s="118"/>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row>
    <row r="349" spans="11:71" x14ac:dyDescent="0.35">
      <c r="K349" s="118"/>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c r="BL349" s="116"/>
      <c r="BM349" s="116"/>
      <c r="BN349" s="116"/>
      <c r="BO349" s="116"/>
      <c r="BP349" s="116"/>
      <c r="BQ349" s="116"/>
      <c r="BR349" s="116"/>
      <c r="BS349" s="116"/>
    </row>
    <row r="350" spans="11:71" x14ac:dyDescent="0.35">
      <c r="K350" s="118"/>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c r="BL350" s="116"/>
      <c r="BM350" s="116"/>
      <c r="BN350" s="116"/>
      <c r="BO350" s="116"/>
      <c r="BP350" s="116"/>
      <c r="BQ350" s="116"/>
      <c r="BR350" s="116"/>
      <c r="BS350" s="116"/>
    </row>
    <row r="351" spans="11:71" x14ac:dyDescent="0.35">
      <c r="K351" s="118"/>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row>
    <row r="352" spans="11:71" x14ac:dyDescent="0.35">
      <c r="K352" s="118"/>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row>
    <row r="353" spans="11:71" x14ac:dyDescent="0.35">
      <c r="K353" s="118"/>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c r="BL353" s="116"/>
      <c r="BM353" s="116"/>
      <c r="BN353" s="116"/>
      <c r="BO353" s="116"/>
      <c r="BP353" s="116"/>
      <c r="BQ353" s="116"/>
      <c r="BR353" s="116"/>
      <c r="BS353" s="116"/>
    </row>
    <row r="354" spans="11:71" x14ac:dyDescent="0.35">
      <c r="K354" s="118"/>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c r="BL354" s="116"/>
      <c r="BM354" s="116"/>
      <c r="BN354" s="116"/>
      <c r="BO354" s="116"/>
      <c r="BP354" s="116"/>
      <c r="BQ354" s="116"/>
      <c r="BR354" s="116"/>
      <c r="BS354" s="116"/>
    </row>
    <row r="355" spans="11:71" x14ac:dyDescent="0.35">
      <c r="K355" s="118"/>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row>
    <row r="356" spans="11:71" x14ac:dyDescent="0.35">
      <c r="K356" s="118"/>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c r="BL356" s="116"/>
      <c r="BM356" s="116"/>
      <c r="BN356" s="116"/>
      <c r="BO356" s="116"/>
      <c r="BP356" s="116"/>
      <c r="BQ356" s="116"/>
      <c r="BR356" s="116"/>
      <c r="BS356" s="116"/>
    </row>
    <row r="357" spans="11:71" x14ac:dyDescent="0.35">
      <c r="K357" s="118"/>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row>
    <row r="358" spans="11:71" x14ac:dyDescent="0.35">
      <c r="K358" s="118"/>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row>
    <row r="359" spans="11:71" x14ac:dyDescent="0.35">
      <c r="K359" s="118"/>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c r="BL359" s="116"/>
      <c r="BM359" s="116"/>
      <c r="BN359" s="116"/>
      <c r="BO359" s="116"/>
      <c r="BP359" s="116"/>
      <c r="BQ359" s="116"/>
      <c r="BR359" s="116"/>
      <c r="BS359" s="116"/>
    </row>
    <row r="360" spans="11:71" x14ac:dyDescent="0.35">
      <c r="K360" s="118"/>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row>
    <row r="361" spans="11:71" x14ac:dyDescent="0.35">
      <c r="K361" s="118"/>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c r="BL361" s="116"/>
      <c r="BM361" s="116"/>
      <c r="BN361" s="116"/>
      <c r="BO361" s="116"/>
      <c r="BP361" s="116"/>
      <c r="BQ361" s="116"/>
      <c r="BR361" s="116"/>
      <c r="BS361" s="116"/>
    </row>
    <row r="362" spans="11:71" x14ac:dyDescent="0.35">
      <c r="K362" s="118"/>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c r="BL362" s="116"/>
      <c r="BM362" s="116"/>
      <c r="BN362" s="116"/>
      <c r="BO362" s="116"/>
      <c r="BP362" s="116"/>
      <c r="BQ362" s="116"/>
      <c r="BR362" s="116"/>
      <c r="BS362" s="116"/>
    </row>
    <row r="363" spans="11:71" x14ac:dyDescent="0.35">
      <c r="K363" s="118"/>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c r="BL363" s="116"/>
      <c r="BM363" s="116"/>
      <c r="BN363" s="116"/>
      <c r="BO363" s="116"/>
      <c r="BP363" s="116"/>
      <c r="BQ363" s="116"/>
      <c r="BR363" s="116"/>
      <c r="BS363" s="116"/>
    </row>
    <row r="364" spans="11:71" x14ac:dyDescent="0.35">
      <c r="K364" s="118"/>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row>
    <row r="365" spans="11:71" x14ac:dyDescent="0.35">
      <c r="K365" s="118"/>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c r="BL365" s="116"/>
      <c r="BM365" s="116"/>
      <c r="BN365" s="116"/>
      <c r="BO365" s="116"/>
      <c r="BP365" s="116"/>
      <c r="BQ365" s="116"/>
      <c r="BR365" s="116"/>
      <c r="BS365" s="116"/>
    </row>
    <row r="366" spans="11:71" x14ac:dyDescent="0.35">
      <c r="K366" s="118"/>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c r="BP366" s="116"/>
      <c r="BQ366" s="116"/>
      <c r="BR366" s="116"/>
      <c r="BS366" s="116"/>
    </row>
    <row r="367" spans="11:71" x14ac:dyDescent="0.35">
      <c r="K367" s="118"/>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c r="BL367" s="116"/>
      <c r="BM367" s="116"/>
      <c r="BN367" s="116"/>
      <c r="BO367" s="116"/>
      <c r="BP367" s="116"/>
      <c r="BQ367" s="116"/>
      <c r="BR367" s="116"/>
      <c r="BS367" s="116"/>
    </row>
    <row r="368" spans="11:71" x14ac:dyDescent="0.35">
      <c r="K368" s="118"/>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c r="BL368" s="116"/>
      <c r="BM368" s="116"/>
      <c r="BN368" s="116"/>
      <c r="BO368" s="116"/>
      <c r="BP368" s="116"/>
      <c r="BQ368" s="116"/>
      <c r="BR368" s="116"/>
      <c r="BS368" s="116"/>
    </row>
    <row r="369" spans="11:71" x14ac:dyDescent="0.35">
      <c r="K369" s="118"/>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row>
    <row r="370" spans="11:71" x14ac:dyDescent="0.35">
      <c r="K370" s="118"/>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c r="BQ370" s="116"/>
      <c r="BR370" s="116"/>
      <c r="BS370" s="116"/>
    </row>
    <row r="371" spans="11:71" x14ac:dyDescent="0.35">
      <c r="K371" s="118"/>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c r="BL371" s="116"/>
      <c r="BM371" s="116"/>
      <c r="BN371" s="116"/>
      <c r="BO371" s="116"/>
      <c r="BP371" s="116"/>
      <c r="BQ371" s="116"/>
      <c r="BR371" s="116"/>
      <c r="BS371" s="116"/>
    </row>
    <row r="372" spans="11:71" x14ac:dyDescent="0.35">
      <c r="K372" s="118"/>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c r="BL372" s="116"/>
      <c r="BM372" s="116"/>
      <c r="BN372" s="116"/>
      <c r="BO372" s="116"/>
      <c r="BP372" s="116"/>
      <c r="BQ372" s="116"/>
      <c r="BR372" s="116"/>
      <c r="BS372" s="116"/>
    </row>
  </sheetData>
  <mergeCells count="28">
    <mergeCell ref="G82:G83"/>
    <mergeCell ref="B85:B98"/>
    <mergeCell ref="C93:F93"/>
    <mergeCell ref="C41:L41"/>
    <mergeCell ref="C46:L46"/>
    <mergeCell ref="C52:L52"/>
    <mergeCell ref="C73:I73"/>
    <mergeCell ref="C74:C75"/>
    <mergeCell ref="C81:G81"/>
    <mergeCell ref="C37:L37"/>
    <mergeCell ref="I7:I8"/>
    <mergeCell ref="J7:J8"/>
    <mergeCell ref="K7:K8"/>
    <mergeCell ref="L7:L8"/>
    <mergeCell ref="C9:L9"/>
    <mergeCell ref="C10:L10"/>
    <mergeCell ref="C16:L16"/>
    <mergeCell ref="C23:L23"/>
    <mergeCell ref="C24:L24"/>
    <mergeCell ref="C29:L29"/>
    <mergeCell ref="C36:L36"/>
    <mergeCell ref="B2:H2"/>
    <mergeCell ref="B4:H4"/>
    <mergeCell ref="B7:B8"/>
    <mergeCell ref="C7:C8"/>
    <mergeCell ref="D7:E7"/>
    <mergeCell ref="F7:F8"/>
    <mergeCell ref="G7:H7"/>
  </mergeCells>
  <conditionalFormatting sqref="F89">
    <cfRule type="cellIs" dxfId="24" priority="2" operator="lessThan">
      <formula>0.15</formula>
    </cfRule>
  </conditionalFormatting>
  <conditionalFormatting sqref="F92">
    <cfRule type="cellIs" dxfId="23" priority="1" operator="lessThan">
      <formula>0.05</formula>
    </cfRule>
  </conditionalFormatting>
  <dataValidations disablePrompts="1" count="7">
    <dataValidation allowBlank="1" showInputMessage="1" showErrorMessage="1" prompt="Insert name of recipient agency here _x000a_" sqref="D8:E8" xr:uid="{00000000-0002-0000-0000-000000000000}"/>
    <dataValidation allowBlank="1" showInputMessage="1" showErrorMessage="1" prompt="Insert *text* description of Outcome here" sqref="C36:L36 C9 C23" xr:uid="{00000000-0002-0000-0000-000001000000}"/>
    <dataValidation allowBlank="1" showErrorMessage="1" prompt="% Towards Gender Equality and Women's Empowerment Must be Higher than 15%_x000a_" sqref="F91:G91" xr:uid="{00000000-0002-0000-0000-000002000000}"/>
    <dataValidation allowBlank="1" showInputMessage="1" showErrorMessage="1" prompt="Insert *text* description of Activity here" sqref="C53 C30 C11 C17 C42 C25 C38:D38" xr:uid="{00000000-0002-0000-0000-000003000000}"/>
    <dataValidation allowBlank="1" showInputMessage="1" showErrorMessage="1" prompt="Insert *text* description of Output here" sqref="C52:D52 C10 C24:D24 C29:D29 C37:D37 C41:D41 C46:D46 C16" xr:uid="{00000000-0002-0000-0000-000004000000}"/>
    <dataValidation allowBlank="1" showInputMessage="1" showErrorMessage="1" prompt="M&amp;E Budget Cannot be Less than 5%_x000a_" sqref="F92:G92" xr:uid="{00000000-0002-0000-0000-000005000000}"/>
    <dataValidation allowBlank="1" showInputMessage="1" showErrorMessage="1" prompt="% Towards Gender Equality and Women's Empowerment Must be Higher than 15%_x000a_" sqref="F89:G89" xr:uid="{00000000-0002-0000-0000-000006000000}"/>
  </dataValidation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BBB16-FA78-4CA8-8020-5775A5C01710}">
  <dimension ref="A1:H11"/>
  <sheetViews>
    <sheetView workbookViewId="0">
      <selection activeCell="C9" sqref="C9"/>
    </sheetView>
  </sheetViews>
  <sheetFormatPr baseColWidth="10" defaultColWidth="11.453125" defaultRowHeight="14.5" x14ac:dyDescent="0.35"/>
  <cols>
    <col min="1" max="1" width="22.1796875" bestFit="1" customWidth="1"/>
    <col min="7" max="7" width="19.54296875" bestFit="1" customWidth="1"/>
    <col min="8" max="8" width="19" bestFit="1" customWidth="1"/>
  </cols>
  <sheetData>
    <row r="1" spans="1:8" x14ac:dyDescent="0.35">
      <c r="A1" s="361" t="s">
        <v>327</v>
      </c>
      <c r="B1" t="s">
        <v>415</v>
      </c>
      <c r="C1" t="s">
        <v>452</v>
      </c>
      <c r="D1" t="s">
        <v>446</v>
      </c>
    </row>
    <row r="2" spans="1:8" x14ac:dyDescent="0.35">
      <c r="A2" s="362" t="s">
        <v>241</v>
      </c>
      <c r="B2">
        <v>117</v>
      </c>
      <c r="C2" t="s">
        <v>310</v>
      </c>
      <c r="D2">
        <v>117</v>
      </c>
      <c r="G2" s="361" t="s">
        <v>327</v>
      </c>
      <c r="H2" t="s">
        <v>447</v>
      </c>
    </row>
    <row r="3" spans="1:8" x14ac:dyDescent="0.35">
      <c r="A3" s="362" t="s">
        <v>245</v>
      </c>
      <c r="B3">
        <v>958.89</v>
      </c>
      <c r="C3" s="382" t="s">
        <v>49</v>
      </c>
      <c r="D3">
        <v>958.89</v>
      </c>
      <c r="G3" s="362" t="s">
        <v>33</v>
      </c>
      <c r="H3" s="363">
        <v>15441.05000000015</v>
      </c>
    </row>
    <row r="4" spans="1:8" x14ac:dyDescent="0.35">
      <c r="A4" s="362" t="s">
        <v>247</v>
      </c>
      <c r="B4">
        <v>947.31</v>
      </c>
      <c r="C4" s="382" t="s">
        <v>33</v>
      </c>
      <c r="D4">
        <v>947.31</v>
      </c>
      <c r="G4" s="362" t="s">
        <v>43</v>
      </c>
      <c r="H4" s="363">
        <v>12987.510000000002</v>
      </c>
    </row>
    <row r="5" spans="1:8" x14ac:dyDescent="0.35">
      <c r="A5" s="362" t="s">
        <v>416</v>
      </c>
      <c r="B5">
        <v>2393.4700000000003</v>
      </c>
      <c r="C5" s="387" t="s">
        <v>43</v>
      </c>
      <c r="D5">
        <v>2393.4700000000003</v>
      </c>
      <c r="G5" s="362" t="s">
        <v>47</v>
      </c>
      <c r="H5" s="363">
        <v>6890.7600000000275</v>
      </c>
    </row>
    <row r="6" spans="1:8" x14ac:dyDescent="0.35">
      <c r="A6" s="362" t="s">
        <v>266</v>
      </c>
      <c r="B6">
        <v>3000.33</v>
      </c>
      <c r="C6" s="382" t="s">
        <v>33</v>
      </c>
      <c r="D6">
        <v>3000.33</v>
      </c>
      <c r="G6" s="362" t="s">
        <v>49</v>
      </c>
      <c r="H6" s="363">
        <v>958.89</v>
      </c>
    </row>
    <row r="7" spans="1:8" x14ac:dyDescent="0.35">
      <c r="A7" s="362" t="s">
        <v>268</v>
      </c>
      <c r="B7">
        <v>3371.73</v>
      </c>
      <c r="C7" s="382" t="s">
        <v>47</v>
      </c>
      <c r="D7">
        <v>3371.73</v>
      </c>
      <c r="G7" s="385" t="s">
        <v>310</v>
      </c>
      <c r="H7" s="386">
        <v>117</v>
      </c>
    </row>
    <row r="8" spans="1:8" x14ac:dyDescent="0.35">
      <c r="A8" s="362" t="s">
        <v>271</v>
      </c>
      <c r="B8">
        <v>3519.0300000000279</v>
      </c>
      <c r="C8" s="382" t="s">
        <v>47</v>
      </c>
      <c r="D8">
        <v>3519.0300000000279</v>
      </c>
      <c r="G8" s="362" t="s">
        <v>328</v>
      </c>
      <c r="H8" s="363">
        <v>36395.210000000181</v>
      </c>
    </row>
    <row r="9" spans="1:8" x14ac:dyDescent="0.35">
      <c r="A9" s="362" t="s">
        <v>293</v>
      </c>
      <c r="B9">
        <v>11493.410000000151</v>
      </c>
      <c r="C9" s="382" t="s">
        <v>33</v>
      </c>
      <c r="D9">
        <v>11493.410000000151</v>
      </c>
    </row>
    <row r="10" spans="1:8" x14ac:dyDescent="0.35">
      <c r="A10" s="362" t="s">
        <v>297</v>
      </c>
      <c r="B10">
        <v>10594.04</v>
      </c>
      <c r="C10" s="382" t="s">
        <v>43</v>
      </c>
      <c r="D10">
        <v>10594.04</v>
      </c>
    </row>
    <row r="11" spans="1:8" x14ac:dyDescent="0.35">
      <c r="A11" s="362" t="s">
        <v>328</v>
      </c>
      <c r="B11">
        <v>36395.210000000181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90C40-88AD-44B5-9BA2-DF25DF1D27AC}">
  <dimension ref="A1:J11"/>
  <sheetViews>
    <sheetView workbookViewId="0">
      <selection activeCell="J4" sqref="J4"/>
    </sheetView>
  </sheetViews>
  <sheetFormatPr baseColWidth="10" defaultColWidth="11.453125" defaultRowHeight="14.5" x14ac:dyDescent="0.35"/>
  <cols>
    <col min="1" max="1" width="22" bestFit="1" customWidth="1"/>
    <col min="7" max="7" width="19.54296875" bestFit="1" customWidth="1"/>
    <col min="8" max="8" width="19" bestFit="1" customWidth="1"/>
  </cols>
  <sheetData>
    <row r="1" spans="1:10" x14ac:dyDescent="0.35">
      <c r="A1" s="361" t="s">
        <v>327</v>
      </c>
      <c r="B1" t="s">
        <v>415</v>
      </c>
      <c r="C1" t="s">
        <v>452</v>
      </c>
      <c r="D1" t="s">
        <v>446</v>
      </c>
    </row>
    <row r="2" spans="1:10" x14ac:dyDescent="0.35">
      <c r="A2" s="362" t="s">
        <v>247</v>
      </c>
      <c r="B2">
        <v>123306.41999999995</v>
      </c>
      <c r="C2" s="382" t="s">
        <v>33</v>
      </c>
      <c r="D2">
        <v>123306.41999999995</v>
      </c>
      <c r="G2" s="361" t="s">
        <v>327</v>
      </c>
      <c r="H2" t="s">
        <v>447</v>
      </c>
    </row>
    <row r="3" spans="1:10" x14ac:dyDescent="0.35">
      <c r="A3" s="362" t="s">
        <v>249</v>
      </c>
      <c r="B3">
        <v>60375.070000000007</v>
      </c>
      <c r="C3" s="382" t="s">
        <v>15</v>
      </c>
      <c r="D3">
        <v>60375.070000000007</v>
      </c>
      <c r="G3" s="362" t="s">
        <v>15</v>
      </c>
      <c r="H3" s="363">
        <v>103814.02</v>
      </c>
      <c r="I3">
        <v>603.63</v>
      </c>
      <c r="J3">
        <f>+GETPIVOTDATA("MONTANT",$G$2,"PROD","Produit 1.1")-I3</f>
        <v>103210.39</v>
      </c>
    </row>
    <row r="4" spans="1:10" x14ac:dyDescent="0.35">
      <c r="A4" s="362" t="s">
        <v>253</v>
      </c>
      <c r="B4">
        <v>9421.49</v>
      </c>
      <c r="C4" s="382" t="s">
        <v>15</v>
      </c>
      <c r="D4">
        <v>9421.49</v>
      </c>
      <c r="G4" s="362" t="s">
        <v>33</v>
      </c>
      <c r="H4" s="363">
        <v>123306.41999999995</v>
      </c>
    </row>
    <row r="5" spans="1:10" x14ac:dyDescent="0.35">
      <c r="A5" s="362" t="s">
        <v>255</v>
      </c>
      <c r="B5">
        <v>29114.199999999997</v>
      </c>
      <c r="C5" s="382" t="s">
        <v>15</v>
      </c>
      <c r="D5">
        <v>29114.199999999997</v>
      </c>
      <c r="G5" s="362" t="s">
        <v>43</v>
      </c>
      <c r="H5" s="363">
        <v>40874.46</v>
      </c>
    </row>
    <row r="6" spans="1:10" x14ac:dyDescent="0.35">
      <c r="A6" s="362" t="s">
        <v>257</v>
      </c>
      <c r="B6">
        <v>4903.26</v>
      </c>
      <c r="C6" s="382" t="s">
        <v>15</v>
      </c>
      <c r="D6">
        <v>4903.26</v>
      </c>
      <c r="G6" s="362" t="s">
        <v>45</v>
      </c>
      <c r="H6" s="363">
        <v>13035.280000000039</v>
      </c>
    </row>
    <row r="7" spans="1:10" x14ac:dyDescent="0.35">
      <c r="A7" s="362" t="s">
        <v>276</v>
      </c>
      <c r="B7">
        <v>5767.75</v>
      </c>
      <c r="C7" s="382" t="s">
        <v>45</v>
      </c>
      <c r="D7">
        <v>5767.75</v>
      </c>
      <c r="G7" s="362" t="s">
        <v>328</v>
      </c>
      <c r="H7" s="363">
        <v>281030.18</v>
      </c>
    </row>
    <row r="8" spans="1:10" x14ac:dyDescent="0.35">
      <c r="A8" s="362" t="s">
        <v>278</v>
      </c>
      <c r="B8">
        <v>40874.46</v>
      </c>
      <c r="C8" s="382" t="s">
        <v>43</v>
      </c>
      <c r="D8">
        <v>40874.46</v>
      </c>
    </row>
    <row r="9" spans="1:10" x14ac:dyDescent="0.35">
      <c r="A9" s="362" t="s">
        <v>280</v>
      </c>
      <c r="B9">
        <v>7267.5300000000389</v>
      </c>
      <c r="C9" s="382" t="s">
        <v>45</v>
      </c>
      <c r="D9">
        <v>7267.5300000000389</v>
      </c>
    </row>
    <row r="10" spans="1:10" x14ac:dyDescent="0.35">
      <c r="A10" s="362" t="s">
        <v>417</v>
      </c>
    </row>
    <row r="11" spans="1:10" x14ac:dyDescent="0.35">
      <c r="A11" s="362" t="s">
        <v>328</v>
      </c>
      <c r="B11">
        <v>281030.18</v>
      </c>
    </row>
  </sheetData>
  <phoneticPr fontId="3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4B06D-BEFB-47DE-BAAC-1DCD4333A606}">
  <dimension ref="A3:J27"/>
  <sheetViews>
    <sheetView topLeftCell="A4" workbookViewId="0">
      <selection activeCell="E16" sqref="E16"/>
    </sheetView>
  </sheetViews>
  <sheetFormatPr baseColWidth="10" defaultColWidth="10.81640625" defaultRowHeight="12.5" x14ac:dyDescent="0.35"/>
  <cols>
    <col min="1" max="1" width="22.54296875" style="382" bestFit="1" customWidth="1"/>
    <col min="2" max="2" width="28.54296875" style="382" bestFit="1" customWidth="1"/>
    <col min="3" max="7" width="10.81640625" style="382"/>
    <col min="8" max="8" width="19.54296875" style="382" bestFit="1" customWidth="1"/>
    <col min="9" max="9" width="19" style="382" bestFit="1" customWidth="1"/>
    <col min="10" max="16384" width="10.81640625" style="382"/>
  </cols>
  <sheetData>
    <row r="3" spans="1:10" x14ac:dyDescent="0.35">
      <c r="A3" s="382" t="s">
        <v>327</v>
      </c>
      <c r="B3" s="382" t="s">
        <v>415</v>
      </c>
      <c r="E3" s="382" t="s">
        <v>445</v>
      </c>
      <c r="F3" s="382" t="s">
        <v>446</v>
      </c>
    </row>
    <row r="4" spans="1:10" ht="14.5" x14ac:dyDescent="0.35">
      <c r="A4" s="383" t="s">
        <v>230</v>
      </c>
      <c r="B4" s="382">
        <v>15603.060000000001</v>
      </c>
      <c r="C4" s="382" t="s">
        <v>418</v>
      </c>
      <c r="E4" s="382" t="s">
        <v>418</v>
      </c>
      <c r="F4" s="382">
        <v>15603.060000000001</v>
      </c>
      <c r="H4" s="361" t="s">
        <v>327</v>
      </c>
      <c r="I4" t="s">
        <v>447</v>
      </c>
      <c r="J4"/>
    </row>
    <row r="5" spans="1:10" ht="14.5" x14ac:dyDescent="0.35">
      <c r="A5" s="383" t="s">
        <v>232</v>
      </c>
      <c r="B5" s="382">
        <v>3385.73</v>
      </c>
      <c r="C5" s="382" t="s">
        <v>418</v>
      </c>
      <c r="E5" s="382" t="s">
        <v>418</v>
      </c>
      <c r="F5" s="382">
        <v>3385.73</v>
      </c>
      <c r="H5" s="385" t="s">
        <v>418</v>
      </c>
      <c r="I5" s="386">
        <v>43587.459999999992</v>
      </c>
      <c r="J5"/>
    </row>
    <row r="6" spans="1:10" ht="14.5" x14ac:dyDescent="0.35">
      <c r="A6" s="383" t="s">
        <v>234</v>
      </c>
      <c r="B6" s="382">
        <v>7832.4199999999983</v>
      </c>
      <c r="C6" s="382" t="s">
        <v>418</v>
      </c>
      <c r="E6" s="382" t="s">
        <v>418</v>
      </c>
      <c r="F6" s="382">
        <v>7832.4199999999983</v>
      </c>
      <c r="H6" s="362" t="s">
        <v>15</v>
      </c>
      <c r="I6" s="363">
        <v>1753.9199999999998</v>
      </c>
      <c r="J6"/>
    </row>
    <row r="7" spans="1:10" ht="14.5" x14ac:dyDescent="0.35">
      <c r="A7" s="383" t="s">
        <v>236</v>
      </c>
      <c r="B7" s="382">
        <v>1807.9900000000002</v>
      </c>
      <c r="C7" s="382" t="s">
        <v>418</v>
      </c>
      <c r="E7" s="382" t="s">
        <v>418</v>
      </c>
      <c r="F7" s="382">
        <v>1807.9900000000002</v>
      </c>
      <c r="H7" s="362" t="s">
        <v>33</v>
      </c>
      <c r="I7" s="363">
        <v>540.53</v>
      </c>
      <c r="J7"/>
    </row>
    <row r="8" spans="1:10" ht="14.5" x14ac:dyDescent="0.35">
      <c r="A8" s="383" t="s">
        <v>238</v>
      </c>
      <c r="B8" s="382">
        <v>6363.6699999999855</v>
      </c>
      <c r="C8" s="382" t="s">
        <v>418</v>
      </c>
      <c r="E8" s="382" t="s">
        <v>418</v>
      </c>
      <c r="F8" s="382">
        <v>6363.6699999999855</v>
      </c>
      <c r="H8" s="362" t="s">
        <v>43</v>
      </c>
      <c r="I8" s="363">
        <v>2655.23</v>
      </c>
      <c r="J8"/>
    </row>
    <row r="9" spans="1:10" ht="14.5" x14ac:dyDescent="0.35">
      <c r="A9" s="383" t="s">
        <v>243</v>
      </c>
      <c r="B9" s="382">
        <v>8594.59</v>
      </c>
      <c r="C9" s="382" t="s">
        <v>418</v>
      </c>
      <c r="E9" s="382" t="s">
        <v>418</v>
      </c>
      <c r="F9" s="382">
        <v>8594.59</v>
      </c>
      <c r="H9" s="362" t="s">
        <v>45</v>
      </c>
      <c r="I9" s="363">
        <v>2746.0699999999997</v>
      </c>
      <c r="J9"/>
    </row>
    <row r="10" spans="1:10" ht="14.5" x14ac:dyDescent="0.35">
      <c r="A10" s="383" t="s">
        <v>245</v>
      </c>
      <c r="B10" s="382">
        <v>104.08</v>
      </c>
      <c r="C10" s="382" t="s">
        <v>49</v>
      </c>
      <c r="E10" s="382" t="s">
        <v>49</v>
      </c>
      <c r="F10" s="382">
        <v>104.08</v>
      </c>
      <c r="H10" s="362" t="s">
        <v>47</v>
      </c>
      <c r="I10" s="363">
        <v>2997.51</v>
      </c>
      <c r="J10"/>
    </row>
    <row r="11" spans="1:10" ht="14.5" x14ac:dyDescent="0.35">
      <c r="A11" s="383" t="s">
        <v>247</v>
      </c>
      <c r="B11" s="382">
        <v>53.01</v>
      </c>
      <c r="C11" s="382" t="s">
        <v>33</v>
      </c>
      <c r="E11" s="382" t="s">
        <v>33</v>
      </c>
      <c r="F11" s="382">
        <v>53.01</v>
      </c>
      <c r="H11" s="362" t="s">
        <v>49</v>
      </c>
      <c r="I11" s="363">
        <v>140.71</v>
      </c>
      <c r="J11"/>
    </row>
    <row r="12" spans="1:10" ht="14.5" x14ac:dyDescent="0.35">
      <c r="A12" s="383" t="s">
        <v>251</v>
      </c>
      <c r="B12" s="382">
        <v>1437.84</v>
      </c>
      <c r="C12" s="382" t="s">
        <v>15</v>
      </c>
      <c r="E12" s="382" t="s">
        <v>15</v>
      </c>
      <c r="F12" s="382">
        <v>1437.84</v>
      </c>
      <c r="H12" s="385" t="s">
        <v>419</v>
      </c>
      <c r="I12" s="386">
        <v>385.21999999999997</v>
      </c>
      <c r="J12"/>
    </row>
    <row r="13" spans="1:10" ht="14.5" x14ac:dyDescent="0.35">
      <c r="A13" s="383" t="s">
        <v>253</v>
      </c>
      <c r="B13" s="382">
        <v>316.08</v>
      </c>
      <c r="C13" s="382" t="s">
        <v>15</v>
      </c>
      <c r="E13" s="382" t="s">
        <v>15</v>
      </c>
      <c r="F13" s="382">
        <v>316.08</v>
      </c>
      <c r="H13" s="362" t="s">
        <v>328</v>
      </c>
      <c r="I13" s="363">
        <v>54806.649999999994</v>
      </c>
      <c r="J13"/>
    </row>
    <row r="14" spans="1:10" ht="14.5" x14ac:dyDescent="0.35">
      <c r="A14" s="383" t="s">
        <v>261</v>
      </c>
      <c r="B14" s="382">
        <v>2085.25</v>
      </c>
      <c r="C14" s="382" t="s">
        <v>47</v>
      </c>
      <c r="E14" s="382" t="s">
        <v>47</v>
      </c>
      <c r="F14" s="382">
        <v>2085.25</v>
      </c>
      <c r="H14"/>
      <c r="I14"/>
      <c r="J14"/>
    </row>
    <row r="15" spans="1:10" ht="14.5" x14ac:dyDescent="0.35">
      <c r="A15" s="383" t="s">
        <v>264</v>
      </c>
      <c r="B15" s="382">
        <v>487.52</v>
      </c>
      <c r="C15" s="382" t="s">
        <v>33</v>
      </c>
      <c r="E15" s="382" t="s">
        <v>33</v>
      </c>
      <c r="F15" s="382">
        <v>487.52</v>
      </c>
      <c r="H15"/>
      <c r="I15"/>
      <c r="J15"/>
    </row>
    <row r="16" spans="1:10" ht="14.5" x14ac:dyDescent="0.35">
      <c r="A16" s="383" t="s">
        <v>416</v>
      </c>
      <c r="B16" s="382">
        <v>693.22</v>
      </c>
      <c r="C16" s="382" t="s">
        <v>43</v>
      </c>
      <c r="E16" s="382" t="s">
        <v>43</v>
      </c>
      <c r="F16" s="382">
        <v>693.22</v>
      </c>
      <c r="H16"/>
      <c r="I16"/>
      <c r="J16"/>
    </row>
    <row r="17" spans="1:10" ht="14.5" x14ac:dyDescent="0.35">
      <c r="A17" s="383" t="s">
        <v>268</v>
      </c>
      <c r="B17" s="382">
        <v>912.26</v>
      </c>
      <c r="C17" s="382" t="s">
        <v>47</v>
      </c>
      <c r="E17" s="382" t="s">
        <v>47</v>
      </c>
      <c r="F17" s="382">
        <v>912.26</v>
      </c>
      <c r="H17"/>
      <c r="I17"/>
      <c r="J17"/>
    </row>
    <row r="18" spans="1:10" ht="14.5" x14ac:dyDescent="0.35">
      <c r="A18" s="383" t="s">
        <v>274</v>
      </c>
      <c r="B18" s="382">
        <v>36.630000000000003</v>
      </c>
      <c r="C18" s="382" t="s">
        <v>49</v>
      </c>
      <c r="E18" s="382" t="s">
        <v>49</v>
      </c>
      <c r="F18" s="382">
        <v>36.630000000000003</v>
      </c>
      <c r="H18"/>
      <c r="I18"/>
      <c r="J18"/>
    </row>
    <row r="19" spans="1:10" ht="14.5" x14ac:dyDescent="0.35">
      <c r="A19" s="383" t="s">
        <v>278</v>
      </c>
      <c r="B19" s="382">
        <v>1183.29</v>
      </c>
      <c r="C19" s="382" t="s">
        <v>45</v>
      </c>
      <c r="E19" s="382" t="s">
        <v>45</v>
      </c>
      <c r="F19" s="382">
        <v>1183.29</v>
      </c>
      <c r="H19"/>
      <c r="I19"/>
      <c r="J19"/>
    </row>
    <row r="20" spans="1:10" ht="14.5" x14ac:dyDescent="0.35">
      <c r="A20" s="383" t="s">
        <v>280</v>
      </c>
      <c r="B20" s="382">
        <v>52.07</v>
      </c>
      <c r="C20" s="382" t="s">
        <v>45</v>
      </c>
      <c r="E20" s="382" t="s">
        <v>45</v>
      </c>
      <c r="F20" s="382">
        <v>52.07</v>
      </c>
      <c r="H20"/>
      <c r="I20"/>
      <c r="J20"/>
    </row>
    <row r="21" spans="1:10" ht="14.5" x14ac:dyDescent="0.35">
      <c r="A21" s="383" t="s">
        <v>282</v>
      </c>
      <c r="B21" s="382">
        <v>327.41999999999996</v>
      </c>
      <c r="C21" s="382" t="s">
        <v>45</v>
      </c>
      <c r="E21" s="382" t="s">
        <v>45</v>
      </c>
      <c r="F21" s="382">
        <v>327.41999999999996</v>
      </c>
      <c r="H21"/>
      <c r="I21"/>
      <c r="J21"/>
    </row>
    <row r="22" spans="1:10" x14ac:dyDescent="0.35">
      <c r="A22" s="383" t="s">
        <v>284</v>
      </c>
      <c r="B22" s="382">
        <v>1183.29</v>
      </c>
      <c r="C22" s="382" t="s">
        <v>45</v>
      </c>
      <c r="E22" s="382" t="s">
        <v>45</v>
      </c>
      <c r="F22" s="382">
        <v>1183.29</v>
      </c>
    </row>
    <row r="23" spans="1:10" x14ac:dyDescent="0.35">
      <c r="A23" s="383" t="s">
        <v>293</v>
      </c>
      <c r="B23" s="382">
        <v>385.21999999999997</v>
      </c>
      <c r="C23" s="382" t="s">
        <v>419</v>
      </c>
      <c r="E23" s="382" t="s">
        <v>419</v>
      </c>
      <c r="F23" s="382">
        <v>385.21999999999997</v>
      </c>
    </row>
    <row r="24" spans="1:10" x14ac:dyDescent="0.35">
      <c r="A24" s="383" t="s">
        <v>295</v>
      </c>
      <c r="B24" s="382">
        <v>1951.4099999999999</v>
      </c>
      <c r="C24" s="382" t="s">
        <v>43</v>
      </c>
      <c r="E24" s="382" t="s">
        <v>43</v>
      </c>
      <c r="F24" s="382">
        <v>1951.4099999999999</v>
      </c>
    </row>
    <row r="25" spans="1:10" x14ac:dyDescent="0.35">
      <c r="A25" s="383" t="s">
        <v>300</v>
      </c>
      <c r="B25" s="382">
        <v>10.6</v>
      </c>
      <c r="C25" s="382" t="s">
        <v>43</v>
      </c>
      <c r="E25" s="382" t="s">
        <v>43</v>
      </c>
      <c r="F25" s="382">
        <v>10.6</v>
      </c>
    </row>
    <row r="26" spans="1:10" x14ac:dyDescent="0.35">
      <c r="A26" s="383" t="s">
        <v>417</v>
      </c>
    </row>
    <row r="27" spans="1:10" x14ac:dyDescent="0.35">
      <c r="A27" s="383" t="s">
        <v>328</v>
      </c>
      <c r="B27" s="382">
        <v>54806.649999999987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228"/>
  <sheetViews>
    <sheetView tabSelected="1" topLeftCell="A205" zoomScale="78" zoomScaleNormal="78" workbookViewId="0">
      <selection activeCell="R11" sqref="R11:T11"/>
    </sheetView>
  </sheetViews>
  <sheetFormatPr baseColWidth="10" defaultColWidth="9.1796875" defaultRowHeight="15.5" outlineLevelCol="1" x14ac:dyDescent="0.35"/>
  <cols>
    <col min="1" max="1" width="3.453125" customWidth="1"/>
    <col min="2" max="2" width="3.81640625" customWidth="1"/>
    <col min="3" max="3" width="69.453125" customWidth="1"/>
    <col min="4" max="4" width="34.26953125" style="115" hidden="1" customWidth="1"/>
    <col min="5" max="5" width="28.7265625" hidden="1" customWidth="1"/>
    <col min="6" max="6" width="28.7265625" hidden="1" customWidth="1" outlineLevel="1"/>
    <col min="7" max="7" width="27.1796875" hidden="1" customWidth="1" collapsed="1"/>
    <col min="8" max="8" width="20.453125" style="2" hidden="1" customWidth="1"/>
    <col min="9" max="9" width="18.7265625" style="3" hidden="1" customWidth="1"/>
    <col min="10" max="10" width="21.1796875" style="4" customWidth="1"/>
    <col min="11" max="11" width="20.453125" hidden="1" customWidth="1"/>
    <col min="12" max="12" width="19.81640625" hidden="1" customWidth="1"/>
    <col min="13" max="13" width="20.81640625" customWidth="1"/>
    <col min="14" max="14" width="6" hidden="1" customWidth="1" outlineLevel="1"/>
    <col min="15" max="15" width="2.81640625" hidden="1" customWidth="1" outlineLevel="1"/>
    <col min="16" max="16" width="11.81640625" hidden="1" customWidth="1" outlineLevel="1"/>
    <col min="17" max="17" width="23.453125" customWidth="1" collapsed="1"/>
    <col min="18" max="20" width="23.453125" customWidth="1"/>
    <col min="21" max="21" width="17.1796875" customWidth="1"/>
    <col min="22" max="22" width="13.54296875" bestFit="1" customWidth="1"/>
  </cols>
  <sheetData>
    <row r="1" spans="2:21" ht="46.5" customHeight="1" x14ac:dyDescent="1">
      <c r="B1" s="1"/>
      <c r="C1" s="441" t="s">
        <v>175</v>
      </c>
      <c r="D1" s="441"/>
      <c r="E1" s="441"/>
      <c r="F1" s="441"/>
      <c r="G1" s="441"/>
      <c r="H1" s="441"/>
      <c r="I1" s="441"/>
      <c r="J1" s="441"/>
      <c r="K1" s="441"/>
      <c r="L1" s="441"/>
      <c r="M1" s="441"/>
      <c r="N1" s="441"/>
      <c r="O1" s="441"/>
      <c r="P1" s="441"/>
      <c r="Q1" s="441"/>
      <c r="R1" s="441"/>
      <c r="S1" s="441"/>
      <c r="T1" s="5"/>
    </row>
    <row r="2" spans="2:21" x14ac:dyDescent="0.35">
      <c r="B2" s="1"/>
      <c r="C2" s="6"/>
      <c r="D2" s="7"/>
      <c r="E2" s="7"/>
      <c r="F2" s="7"/>
      <c r="G2" s="7"/>
      <c r="H2" s="8"/>
      <c r="I2" s="9"/>
      <c r="J2" s="10"/>
      <c r="K2" s="7"/>
      <c r="L2" s="7"/>
      <c r="M2" s="7"/>
      <c r="N2" s="7"/>
      <c r="O2" s="7"/>
      <c r="P2" s="7"/>
      <c r="Q2" s="7"/>
      <c r="R2" s="7"/>
      <c r="S2" s="7"/>
      <c r="T2" s="7"/>
    </row>
    <row r="3" spans="2:21" ht="16" thickBot="1" x14ac:dyDescent="0.4">
      <c r="B3" s="1"/>
      <c r="C3" s="6"/>
      <c r="D3" s="11"/>
      <c r="E3" s="7"/>
      <c r="F3" s="7"/>
      <c r="G3" s="7"/>
      <c r="H3" s="12"/>
      <c r="I3" s="13"/>
      <c r="J3" s="14"/>
      <c r="K3" s="7"/>
      <c r="L3" s="7"/>
      <c r="M3" s="7"/>
      <c r="N3" s="7"/>
      <c r="O3" s="7"/>
      <c r="P3" s="7"/>
      <c r="Q3" s="7"/>
      <c r="R3" s="7"/>
      <c r="S3" s="7"/>
      <c r="T3" s="7"/>
    </row>
    <row r="4" spans="2:21" ht="36" x14ac:dyDescent="0.8">
      <c r="B4" s="1"/>
      <c r="C4" s="442" t="s">
        <v>0</v>
      </c>
      <c r="D4" s="443"/>
      <c r="E4" s="443"/>
      <c r="F4" s="443"/>
      <c r="G4" s="443"/>
      <c r="H4" s="443"/>
      <c r="I4" s="443"/>
      <c r="J4" s="443"/>
      <c r="K4" s="443"/>
      <c r="L4" s="443"/>
      <c r="M4" s="443"/>
      <c r="N4" s="443"/>
      <c r="O4" s="443"/>
      <c r="P4" s="443"/>
      <c r="Q4" s="443"/>
      <c r="R4" s="443"/>
      <c r="S4" s="444"/>
      <c r="T4" s="15"/>
    </row>
    <row r="5" spans="2:21" ht="21" customHeight="1" x14ac:dyDescent="0.35">
      <c r="B5" s="1"/>
      <c r="C5" s="445" t="s">
        <v>1</v>
      </c>
      <c r="D5" s="446"/>
      <c r="E5" s="446"/>
      <c r="F5" s="446"/>
      <c r="G5" s="446"/>
      <c r="H5" s="446"/>
      <c r="I5" s="446"/>
      <c r="J5" s="446"/>
      <c r="K5" s="446"/>
      <c r="L5" s="446"/>
      <c r="M5" s="446"/>
      <c r="N5" s="446"/>
      <c r="O5" s="446"/>
      <c r="P5" s="446"/>
      <c r="Q5" s="446"/>
      <c r="R5" s="446"/>
      <c r="S5" s="447"/>
      <c r="T5" s="16"/>
    </row>
    <row r="6" spans="2:21" ht="21" x14ac:dyDescent="0.35">
      <c r="B6" s="1"/>
      <c r="C6" s="445"/>
      <c r="D6" s="446"/>
      <c r="E6" s="446"/>
      <c r="F6" s="446"/>
      <c r="G6" s="446"/>
      <c r="H6" s="446"/>
      <c r="I6" s="446"/>
      <c r="J6" s="446"/>
      <c r="K6" s="446"/>
      <c r="L6" s="446"/>
      <c r="M6" s="446"/>
      <c r="N6" s="446"/>
      <c r="O6" s="446"/>
      <c r="P6" s="446"/>
      <c r="Q6" s="446"/>
      <c r="R6" s="446"/>
      <c r="S6" s="447"/>
      <c r="T6" s="16"/>
    </row>
    <row r="7" spans="2:21" ht="21.5" thickBot="1" x14ac:dyDescent="0.4">
      <c r="B7" s="1"/>
      <c r="C7" s="448"/>
      <c r="D7" s="449"/>
      <c r="E7" s="449"/>
      <c r="F7" s="449"/>
      <c r="G7" s="449"/>
      <c r="H7" s="449"/>
      <c r="I7" s="449"/>
      <c r="J7" s="449"/>
      <c r="K7" s="449"/>
      <c r="L7" s="449"/>
      <c r="M7" s="449"/>
      <c r="N7" s="449"/>
      <c r="O7" s="449"/>
      <c r="P7" s="449"/>
      <c r="Q7" s="449"/>
      <c r="R7" s="449"/>
      <c r="S7" s="450"/>
      <c r="T7" s="16"/>
    </row>
    <row r="8" spans="2:21" ht="16" thickBot="1" x14ac:dyDescent="0.4">
      <c r="B8" s="1"/>
      <c r="C8" s="17"/>
      <c r="D8" s="17"/>
      <c r="E8" s="17"/>
      <c r="F8" s="17"/>
      <c r="G8" s="1"/>
      <c r="H8" s="18"/>
      <c r="I8" s="19"/>
      <c r="J8" s="18"/>
      <c r="K8" s="20"/>
      <c r="L8" s="20"/>
      <c r="M8" s="20"/>
      <c r="N8" s="20"/>
      <c r="O8" s="20"/>
      <c r="P8" s="20"/>
      <c r="Q8" s="1"/>
      <c r="R8" s="1"/>
      <c r="S8" s="1"/>
      <c r="T8" s="1"/>
    </row>
    <row r="9" spans="2:21" ht="27" customHeight="1" thickBot="1" x14ac:dyDescent="0.65">
      <c r="B9" s="1"/>
      <c r="C9" s="451" t="s">
        <v>2</v>
      </c>
      <c r="D9" s="452"/>
      <c r="E9" s="452"/>
      <c r="F9" s="452"/>
      <c r="G9" s="452"/>
      <c r="H9" s="452"/>
      <c r="I9" s="452"/>
      <c r="J9" s="452"/>
      <c r="K9" s="452"/>
      <c r="L9" s="452"/>
      <c r="M9" s="452"/>
      <c r="N9" s="452"/>
      <c r="O9" s="452"/>
      <c r="P9" s="452"/>
      <c r="Q9" s="452"/>
      <c r="R9" s="452"/>
      <c r="S9" s="453"/>
      <c r="T9" s="1"/>
    </row>
    <row r="10" spans="2:21" ht="26.5" thickBot="1" x14ac:dyDescent="0.65">
      <c r="B10" s="1"/>
      <c r="C10" s="21"/>
      <c r="D10" s="21"/>
      <c r="E10" s="21"/>
      <c r="F10" s="21"/>
      <c r="G10" s="1"/>
      <c r="H10" s="22"/>
      <c r="I10" s="23"/>
      <c r="J10" s="24"/>
      <c r="K10" s="1"/>
      <c r="L10" s="1"/>
      <c r="M10" s="1"/>
      <c r="N10" s="1"/>
      <c r="O10" s="1"/>
      <c r="P10" s="1"/>
      <c r="Q10" s="1"/>
      <c r="R10" s="1"/>
      <c r="S10" s="1"/>
      <c r="T10" s="1"/>
    </row>
    <row r="11" spans="2:21" ht="16.5" customHeight="1" x14ac:dyDescent="0.35">
      <c r="B11" s="1"/>
      <c r="C11" s="17"/>
      <c r="D11" s="460" t="s">
        <v>3</v>
      </c>
      <c r="E11" s="461"/>
      <c r="F11" s="461"/>
      <c r="G11" s="462"/>
      <c r="H11" s="454" t="s">
        <v>4</v>
      </c>
      <c r="I11" s="455"/>
      <c r="J11" s="455"/>
      <c r="K11" s="455"/>
      <c r="L11" s="455"/>
      <c r="M11" s="455"/>
      <c r="N11" s="455"/>
      <c r="O11" s="455"/>
      <c r="P11" s="455"/>
      <c r="Q11" s="456"/>
      <c r="R11" s="429" t="s">
        <v>453</v>
      </c>
      <c r="S11" s="430"/>
      <c r="T11" s="431"/>
      <c r="U11" s="25"/>
    </row>
    <row r="12" spans="2:21" ht="16" thickBot="1" x14ac:dyDescent="0.4">
      <c r="B12" s="1"/>
      <c r="C12" s="17"/>
      <c r="D12" s="26" t="str">
        <f>'[2]1) Tableau budgétaire 1'!D13</f>
        <v>OIM</v>
      </c>
      <c r="E12" s="27" t="s">
        <v>9</v>
      </c>
      <c r="F12" s="27"/>
      <c r="G12" s="199"/>
      <c r="H12" s="470" t="s">
        <v>10</v>
      </c>
      <c r="I12" s="471"/>
      <c r="J12" s="471"/>
      <c r="K12" s="499" t="s">
        <v>9</v>
      </c>
      <c r="L12" s="499"/>
      <c r="M12" s="499"/>
      <c r="N12" s="244"/>
      <c r="O12" s="244"/>
      <c r="P12" s="244"/>
      <c r="Q12" s="467" t="s">
        <v>171</v>
      </c>
      <c r="R12" s="432" t="s">
        <v>10</v>
      </c>
      <c r="S12" s="435" t="s">
        <v>9</v>
      </c>
      <c r="T12" s="438" t="s">
        <v>173</v>
      </c>
      <c r="U12" s="494"/>
    </row>
    <row r="13" spans="2:21" ht="18.75" customHeight="1" x14ac:dyDescent="0.35">
      <c r="B13" s="457" t="s">
        <v>11</v>
      </c>
      <c r="C13" s="458"/>
      <c r="D13" s="459"/>
      <c r="E13" s="459"/>
      <c r="F13" s="459"/>
      <c r="G13" s="459"/>
      <c r="H13" s="470"/>
      <c r="I13" s="471"/>
      <c r="J13" s="471"/>
      <c r="K13" s="499"/>
      <c r="L13" s="499"/>
      <c r="M13" s="499"/>
      <c r="N13" s="245" t="s">
        <v>12</v>
      </c>
      <c r="O13" s="245" t="s">
        <v>13</v>
      </c>
      <c r="P13" s="245" t="s">
        <v>14</v>
      </c>
      <c r="Q13" s="467"/>
      <c r="R13" s="433"/>
      <c r="S13" s="436"/>
      <c r="T13" s="439"/>
      <c r="U13" s="494"/>
    </row>
    <row r="14" spans="2:21" ht="18.75" customHeight="1" thickBot="1" x14ac:dyDescent="0.4">
      <c r="B14" s="1"/>
      <c r="C14" s="457" t="s">
        <v>15</v>
      </c>
      <c r="D14" s="475"/>
      <c r="E14" s="475"/>
      <c r="F14" s="475"/>
      <c r="G14" s="475"/>
      <c r="H14" s="470"/>
      <c r="I14" s="471"/>
      <c r="J14" s="471"/>
      <c r="K14" s="499"/>
      <c r="L14" s="499"/>
      <c r="M14" s="499"/>
      <c r="N14" s="246"/>
      <c r="O14" s="246"/>
      <c r="P14" s="246"/>
      <c r="Q14" s="467"/>
      <c r="R14" s="434"/>
      <c r="S14" s="437"/>
      <c r="T14" s="440"/>
      <c r="U14" s="494"/>
    </row>
    <row r="15" spans="2:21" ht="18.75" customHeight="1" thickBot="1" x14ac:dyDescent="0.4">
      <c r="B15" s="1"/>
      <c r="C15" s="30" t="s">
        <v>16</v>
      </c>
      <c r="D15" s="31">
        <f>'[2]1) Tableau budgétaire 1'!D24</f>
        <v>105000</v>
      </c>
      <c r="E15" s="32">
        <f>E23</f>
        <v>105000</v>
      </c>
      <c r="F15" s="32">
        <f>'[3]1) Tableau budgétaire 1'!E23</f>
        <v>0</v>
      </c>
      <c r="G15" s="33">
        <f t="shared" ref="G15:G23" si="0">SUM(D15:F15)</f>
        <v>210000</v>
      </c>
      <c r="H15" s="94">
        <f>+H23</f>
        <v>5103</v>
      </c>
      <c r="I15" s="95">
        <f>+I23</f>
        <v>0</v>
      </c>
      <c r="J15" s="96">
        <f>+D15+H15-I15</f>
        <v>110103</v>
      </c>
      <c r="K15" s="235">
        <f>+K23</f>
        <v>56500</v>
      </c>
      <c r="L15" s="235">
        <f>+L23</f>
        <v>7500</v>
      </c>
      <c r="M15" s="235">
        <f>+M23</f>
        <v>154000</v>
      </c>
      <c r="N15" s="235"/>
      <c r="O15" s="235"/>
      <c r="P15" s="235"/>
      <c r="Q15" s="247">
        <f>J15+M15</f>
        <v>264103</v>
      </c>
      <c r="R15" s="249"/>
      <c r="S15" s="250"/>
      <c r="T15" s="251"/>
      <c r="U15" s="36"/>
    </row>
    <row r="16" spans="2:21" ht="18.75" customHeight="1" x14ac:dyDescent="0.35">
      <c r="B16" s="1"/>
      <c r="C16" s="37" t="s">
        <v>17</v>
      </c>
      <c r="D16" s="38"/>
      <c r="E16" s="39"/>
      <c r="F16" s="39"/>
      <c r="G16" s="40"/>
      <c r="H16" s="236"/>
      <c r="I16" s="237"/>
      <c r="J16" s="96"/>
      <c r="K16" s="238"/>
      <c r="L16" s="238"/>
      <c r="M16" s="96"/>
      <c r="N16" s="206"/>
      <c r="O16" s="206"/>
      <c r="P16" s="206"/>
      <c r="Q16" s="247">
        <f t="shared" ref="Q16:Q22" si="1">SUM(M16+J16)</f>
        <v>0</v>
      </c>
      <c r="R16" s="249"/>
      <c r="S16" s="250"/>
      <c r="T16" s="251">
        <f t="shared" ref="T16:T22" si="2">SUM(R16:S16)</f>
        <v>0</v>
      </c>
      <c r="U16" s="36"/>
    </row>
    <row r="17" spans="2:21" ht="18.75" customHeight="1" x14ac:dyDescent="0.35">
      <c r="B17" s="1"/>
      <c r="C17" s="44" t="s">
        <v>18</v>
      </c>
      <c r="D17" s="38">
        <v>0</v>
      </c>
      <c r="E17" s="39">
        <v>0</v>
      </c>
      <c r="F17" s="39"/>
      <c r="G17" s="40">
        <f t="shared" si="0"/>
        <v>0</v>
      </c>
      <c r="H17" s="236"/>
      <c r="I17" s="237"/>
      <c r="J17" s="96">
        <f t="shared" ref="J17:J20" si="3">+D17+H17-I17</f>
        <v>0</v>
      </c>
      <c r="K17" s="238">
        <v>0</v>
      </c>
      <c r="L17" s="238">
        <v>0</v>
      </c>
      <c r="M17" s="235">
        <f t="shared" ref="M17:M22" si="4">E17+K17-L17</f>
        <v>0</v>
      </c>
      <c r="N17" s="206"/>
      <c r="O17" s="206"/>
      <c r="P17" s="206"/>
      <c r="Q17" s="247">
        <f t="shared" si="1"/>
        <v>0</v>
      </c>
      <c r="R17" s="249"/>
      <c r="S17" s="250"/>
      <c r="T17" s="251">
        <f t="shared" si="2"/>
        <v>0</v>
      </c>
      <c r="U17" s="36"/>
    </row>
    <row r="18" spans="2:21" ht="45" customHeight="1" x14ac:dyDescent="0.35">
      <c r="B18" s="1"/>
      <c r="C18" s="44" t="s">
        <v>19</v>
      </c>
      <c r="D18" s="38">
        <v>0</v>
      </c>
      <c r="E18" s="43">
        <v>0</v>
      </c>
      <c r="F18" s="43"/>
      <c r="G18" s="40">
        <f t="shared" si="0"/>
        <v>0</v>
      </c>
      <c r="H18" s="236"/>
      <c r="I18" s="237"/>
      <c r="J18" s="96">
        <f t="shared" si="3"/>
        <v>0</v>
      </c>
      <c r="K18" s="238">
        <v>0</v>
      </c>
      <c r="L18" s="238">
        <v>0</v>
      </c>
      <c r="M18" s="235">
        <f t="shared" si="4"/>
        <v>0</v>
      </c>
      <c r="N18" s="238"/>
      <c r="O18" s="238"/>
      <c r="P18" s="238"/>
      <c r="Q18" s="247">
        <f t="shared" si="1"/>
        <v>0</v>
      </c>
      <c r="R18" s="249"/>
      <c r="S18" s="250"/>
      <c r="T18" s="251">
        <f t="shared" si="2"/>
        <v>0</v>
      </c>
      <c r="U18" s="36"/>
    </row>
    <row r="19" spans="2:21" ht="18.75" customHeight="1" x14ac:dyDescent="0.35">
      <c r="B19" s="1"/>
      <c r="C19" s="45" t="s">
        <v>20</v>
      </c>
      <c r="D19" s="38">
        <v>0</v>
      </c>
      <c r="E19" s="43">
        <v>0</v>
      </c>
      <c r="F19" s="43"/>
      <c r="G19" s="40">
        <f t="shared" si="0"/>
        <v>0</v>
      </c>
      <c r="H19" s="236">
        <v>0</v>
      </c>
      <c r="I19" s="237"/>
      <c r="J19" s="96">
        <f t="shared" si="3"/>
        <v>0</v>
      </c>
      <c r="K19" s="238">
        <v>0</v>
      </c>
      <c r="L19" s="238">
        <v>0</v>
      </c>
      <c r="M19" s="235">
        <f t="shared" si="4"/>
        <v>0</v>
      </c>
      <c r="N19" s="238"/>
      <c r="O19" s="238"/>
      <c r="P19" s="238"/>
      <c r="Q19" s="247">
        <f t="shared" si="1"/>
        <v>0</v>
      </c>
      <c r="R19" s="249"/>
      <c r="S19" s="250"/>
      <c r="T19" s="251">
        <f t="shared" si="2"/>
        <v>0</v>
      </c>
      <c r="U19" s="36"/>
    </row>
    <row r="20" spans="2:21" ht="27.75" customHeight="1" x14ac:dyDescent="0.35">
      <c r="B20" s="1"/>
      <c r="C20" s="44" t="s">
        <v>21</v>
      </c>
      <c r="D20" s="38">
        <v>0</v>
      </c>
      <c r="E20" s="43">
        <v>0</v>
      </c>
      <c r="F20" s="43"/>
      <c r="G20" s="40">
        <f t="shared" si="0"/>
        <v>0</v>
      </c>
      <c r="H20" s="236"/>
      <c r="I20" s="237"/>
      <c r="J20" s="96">
        <f t="shared" si="3"/>
        <v>0</v>
      </c>
      <c r="K20" s="239">
        <v>5000</v>
      </c>
      <c r="L20" s="239">
        <v>2500</v>
      </c>
      <c r="M20" s="235">
        <f t="shared" si="4"/>
        <v>2500</v>
      </c>
      <c r="N20" s="238"/>
      <c r="O20" s="238"/>
      <c r="P20" s="238"/>
      <c r="Q20" s="247">
        <f t="shared" si="1"/>
        <v>2500</v>
      </c>
      <c r="R20" s="249"/>
      <c r="S20" s="344">
        <v>1960.7</v>
      </c>
      <c r="T20" s="251">
        <f t="shared" si="2"/>
        <v>1960.7</v>
      </c>
      <c r="U20" s="36"/>
    </row>
    <row r="21" spans="2:21" ht="27.75" customHeight="1" x14ac:dyDescent="0.35">
      <c r="B21" s="1"/>
      <c r="C21" s="44" t="s">
        <v>22</v>
      </c>
      <c r="D21" s="38">
        <v>105000</v>
      </c>
      <c r="E21" s="43">
        <v>105000</v>
      </c>
      <c r="F21" s="43"/>
      <c r="G21" s="40">
        <f t="shared" si="0"/>
        <v>210000</v>
      </c>
      <c r="H21" s="236">
        <v>3103</v>
      </c>
      <c r="I21" s="237"/>
      <c r="J21" s="96">
        <f>(D21+H21)</f>
        <v>108103</v>
      </c>
      <c r="K21" s="239">
        <v>51500</v>
      </c>
      <c r="L21" s="239">
        <v>5000</v>
      </c>
      <c r="M21" s="235">
        <f t="shared" si="4"/>
        <v>151500</v>
      </c>
      <c r="N21" s="238"/>
      <c r="O21" s="238"/>
      <c r="P21" s="238"/>
      <c r="Q21" s="247">
        <f t="shared" si="1"/>
        <v>259603</v>
      </c>
      <c r="R21" s="249">
        <f>MPTF6!J3</f>
        <v>103210.39</v>
      </c>
      <c r="S21" s="344">
        <v>80966.22</v>
      </c>
      <c r="T21" s="251">
        <f t="shared" si="2"/>
        <v>184176.61</v>
      </c>
      <c r="U21" s="36"/>
    </row>
    <row r="22" spans="2:21" ht="18.75" customHeight="1" x14ac:dyDescent="0.35">
      <c r="B22" s="1"/>
      <c r="C22" s="44" t="s">
        <v>23</v>
      </c>
      <c r="D22" s="38"/>
      <c r="E22" s="43"/>
      <c r="F22" s="43"/>
      <c r="G22" s="40">
        <f t="shared" si="0"/>
        <v>0</v>
      </c>
      <c r="H22" s="236">
        <f>SUM(J22-D22)</f>
        <v>2000</v>
      </c>
      <c r="I22" s="237"/>
      <c r="J22" s="96">
        <v>2000</v>
      </c>
      <c r="K22" s="238">
        <v>0</v>
      </c>
      <c r="L22" s="238">
        <v>0</v>
      </c>
      <c r="M22" s="96">
        <f t="shared" si="4"/>
        <v>0</v>
      </c>
      <c r="N22" s="238"/>
      <c r="O22" s="238"/>
      <c r="P22" s="238"/>
      <c r="Q22" s="247">
        <f t="shared" si="1"/>
        <v>2000</v>
      </c>
      <c r="R22" s="249">
        <f>+GETPIVOTDATA("MONTANT",MPTF7!$H$4,"PRODUIT","Produit 1.1")</f>
        <v>1753.9199999999998</v>
      </c>
      <c r="S22" s="250"/>
      <c r="T22" s="251">
        <f t="shared" si="2"/>
        <v>1753.9199999999998</v>
      </c>
      <c r="U22" s="36"/>
    </row>
    <row r="23" spans="2:21" ht="18.75" customHeight="1" thickBot="1" x14ac:dyDescent="0.4">
      <c r="B23" s="1"/>
      <c r="C23" s="47" t="s">
        <v>24</v>
      </c>
      <c r="D23" s="48">
        <f>SUM(D16:D22)</f>
        <v>105000</v>
      </c>
      <c r="E23" s="49">
        <f>SUM(E16:E22)</f>
        <v>105000</v>
      </c>
      <c r="F23" s="49">
        <f>SUM(F16:F22)</f>
        <v>0</v>
      </c>
      <c r="G23" s="50">
        <f t="shared" si="0"/>
        <v>210000</v>
      </c>
      <c r="H23" s="240">
        <f>SUM(H16:H22)</f>
        <v>5103</v>
      </c>
      <c r="I23" s="241">
        <f>SUM(I16:I22)</f>
        <v>0</v>
      </c>
      <c r="J23" s="196">
        <f>D23+H23-I23</f>
        <v>110103</v>
      </c>
      <c r="K23" s="243">
        <f>SUM(K16:K22)</f>
        <v>56500</v>
      </c>
      <c r="L23" s="243">
        <f>SUM(L16:L22)</f>
        <v>7500</v>
      </c>
      <c r="M23" s="243">
        <f>+E23+K23-L23</f>
        <v>154000</v>
      </c>
      <c r="N23" s="243">
        <f>SUM(N16:N22)</f>
        <v>0</v>
      </c>
      <c r="O23" s="243"/>
      <c r="P23" s="243"/>
      <c r="Q23" s="242">
        <f>J23+M23</f>
        <v>264103</v>
      </c>
      <c r="R23" s="233">
        <f>SUM(R16:R22)</f>
        <v>104964.31</v>
      </c>
      <c r="S23" s="248">
        <f>SUM(S16:S22)</f>
        <v>82926.92</v>
      </c>
      <c r="T23" s="234">
        <f>SUM(T16:T22)</f>
        <v>187891.23</v>
      </c>
      <c r="U23" s="36"/>
    </row>
    <row r="24" spans="2:21" ht="18.75" customHeight="1" thickBot="1" x14ac:dyDescent="0.4">
      <c r="B24" s="53"/>
      <c r="C24" s="485"/>
      <c r="D24" s="486"/>
      <c r="E24" s="486"/>
      <c r="F24" s="486"/>
      <c r="G24" s="486"/>
      <c r="H24" s="486"/>
      <c r="I24" s="486"/>
      <c r="J24" s="486"/>
      <c r="K24" s="486"/>
      <c r="L24" s="486"/>
      <c r="M24" s="486"/>
      <c r="N24" s="486"/>
      <c r="O24" s="486"/>
      <c r="P24" s="486"/>
      <c r="Q24" s="486"/>
      <c r="R24" s="486"/>
      <c r="S24" s="486"/>
      <c r="T24" s="486"/>
      <c r="U24" s="487"/>
    </row>
    <row r="25" spans="2:21" ht="18.75" customHeight="1" thickBot="1" x14ac:dyDescent="0.4">
      <c r="B25" s="1"/>
      <c r="C25" s="488" t="s">
        <v>25</v>
      </c>
      <c r="D25" s="489"/>
      <c r="E25" s="489"/>
      <c r="F25" s="489"/>
      <c r="G25" s="489"/>
      <c r="H25" s="489"/>
      <c r="I25" s="489"/>
      <c r="J25" s="489"/>
      <c r="K25" s="489"/>
      <c r="L25" s="489"/>
      <c r="M25" s="489"/>
      <c r="N25" s="489"/>
      <c r="O25" s="489"/>
      <c r="P25" s="489"/>
      <c r="Q25" s="489"/>
      <c r="R25" s="281"/>
      <c r="S25" s="281"/>
      <c r="T25" s="281"/>
      <c r="U25" s="282"/>
    </row>
    <row r="26" spans="2:21" ht="18.75" customHeight="1" thickBot="1" x14ac:dyDescent="0.4">
      <c r="B26" s="1"/>
      <c r="C26" s="54" t="s">
        <v>26</v>
      </c>
      <c r="D26" s="31">
        <f>'[2]1) Tableau budgétaire 1'!D34</f>
        <v>34300</v>
      </c>
      <c r="E26" s="32">
        <f>E34</f>
        <v>139000</v>
      </c>
      <c r="F26" s="32">
        <f>'[3]1) Tableau budgétaire 1'!E33</f>
        <v>0</v>
      </c>
      <c r="G26" s="261">
        <f t="shared" ref="G26:G34" si="5">SUM(D26:F26)</f>
        <v>173300</v>
      </c>
      <c r="H26" s="262">
        <f>+H34</f>
        <v>0</v>
      </c>
      <c r="I26" s="263">
        <f>+I34</f>
        <v>34300</v>
      </c>
      <c r="J26" s="264">
        <f>+D26+H26-I26</f>
        <v>0</v>
      </c>
      <c r="K26" s="255">
        <f>+K34</f>
        <v>47250</v>
      </c>
      <c r="L26" s="255">
        <f>+L34</f>
        <v>186250</v>
      </c>
      <c r="M26" s="255">
        <f>+M34</f>
        <v>0</v>
      </c>
      <c r="N26" s="255"/>
      <c r="O26" s="255"/>
      <c r="P26" s="255"/>
      <c r="Q26" s="274">
        <f>J26+M26</f>
        <v>0</v>
      </c>
      <c r="R26" s="279"/>
      <c r="S26" s="272"/>
      <c r="T26" s="280"/>
      <c r="U26" s="277"/>
    </row>
    <row r="27" spans="2:21" ht="18.75" customHeight="1" thickBot="1" x14ac:dyDescent="0.4">
      <c r="B27" s="1"/>
      <c r="C27" s="55" t="s">
        <v>17</v>
      </c>
      <c r="D27" s="38">
        <v>0</v>
      </c>
      <c r="E27" s="39">
        <v>0</v>
      </c>
      <c r="F27" s="39"/>
      <c r="G27" s="63">
        <f t="shared" si="5"/>
        <v>0</v>
      </c>
      <c r="H27" s="67"/>
      <c r="I27" s="42"/>
      <c r="J27" s="265">
        <f t="shared" ref="J27:J29" si="6">+D27+H27-I27</f>
        <v>0</v>
      </c>
      <c r="K27" s="238">
        <v>0</v>
      </c>
      <c r="L27" s="238">
        <v>0</v>
      </c>
      <c r="M27" s="235">
        <f t="shared" ref="M27:M33" si="7">E27+K27-L27</f>
        <v>0</v>
      </c>
      <c r="N27" s="206"/>
      <c r="O27" s="206"/>
      <c r="P27" s="206"/>
      <c r="Q27" s="275">
        <f t="shared" ref="Q27:Q33" si="8">SUM(M27+J27)</f>
        <v>0</v>
      </c>
      <c r="R27" s="249"/>
      <c r="S27" s="272"/>
      <c r="T27" s="251"/>
      <c r="U27" s="278"/>
    </row>
    <row r="28" spans="2:21" ht="18.75" customHeight="1" thickBot="1" x14ac:dyDescent="0.4">
      <c r="B28" s="1"/>
      <c r="C28" s="56" t="s">
        <v>18</v>
      </c>
      <c r="D28" s="38">
        <v>0</v>
      </c>
      <c r="E28" s="39">
        <v>0</v>
      </c>
      <c r="F28" s="39"/>
      <c r="G28" s="63">
        <f t="shared" si="5"/>
        <v>0</v>
      </c>
      <c r="H28" s="67"/>
      <c r="I28" s="42"/>
      <c r="J28" s="265">
        <f t="shared" si="6"/>
        <v>0</v>
      </c>
      <c r="K28" s="238">
        <v>0</v>
      </c>
      <c r="L28" s="238">
        <v>0</v>
      </c>
      <c r="M28" s="235">
        <f t="shared" si="7"/>
        <v>0</v>
      </c>
      <c r="N28" s="206"/>
      <c r="O28" s="206"/>
      <c r="P28" s="206"/>
      <c r="Q28" s="275">
        <f t="shared" si="8"/>
        <v>0</v>
      </c>
      <c r="R28" s="249"/>
      <c r="S28" s="272"/>
      <c r="T28" s="251"/>
      <c r="U28" s="278"/>
    </row>
    <row r="29" spans="2:21" ht="39" customHeight="1" thickBot="1" x14ac:dyDescent="0.4">
      <c r="B29" s="1"/>
      <c r="C29" s="56" t="s">
        <v>19</v>
      </c>
      <c r="D29" s="38">
        <v>0</v>
      </c>
      <c r="E29" s="43">
        <v>0</v>
      </c>
      <c r="F29" s="43"/>
      <c r="G29" s="63">
        <f t="shared" si="5"/>
        <v>0</v>
      </c>
      <c r="H29" s="67"/>
      <c r="I29" s="42"/>
      <c r="J29" s="265">
        <f t="shared" si="6"/>
        <v>0</v>
      </c>
      <c r="K29" s="238">
        <v>0</v>
      </c>
      <c r="L29" s="238">
        <v>0</v>
      </c>
      <c r="M29" s="235">
        <f t="shared" si="7"/>
        <v>0</v>
      </c>
      <c r="N29" s="238"/>
      <c r="O29" s="238"/>
      <c r="P29" s="238"/>
      <c r="Q29" s="275">
        <f t="shared" si="8"/>
        <v>0</v>
      </c>
      <c r="R29" s="249"/>
      <c r="S29" s="272"/>
      <c r="T29" s="251"/>
      <c r="U29" s="278"/>
    </row>
    <row r="30" spans="2:21" ht="34.5" customHeight="1" thickBot="1" x14ac:dyDescent="0.4">
      <c r="B30" s="1"/>
      <c r="C30" s="58" t="s">
        <v>20</v>
      </c>
      <c r="D30" s="38">
        <v>0</v>
      </c>
      <c r="E30" s="43">
        <v>47250</v>
      </c>
      <c r="F30" s="43"/>
      <c r="G30" s="63">
        <f t="shared" si="5"/>
        <v>47250</v>
      </c>
      <c r="H30" s="67"/>
      <c r="I30" s="42">
        <f>SUM(J30-D30)</f>
        <v>0</v>
      </c>
      <c r="J30" s="265">
        <v>0</v>
      </c>
      <c r="K30" s="238">
        <v>0</v>
      </c>
      <c r="L30" s="238">
        <v>47250</v>
      </c>
      <c r="M30" s="235">
        <f t="shared" si="7"/>
        <v>0</v>
      </c>
      <c r="N30" s="238"/>
      <c r="O30" s="238"/>
      <c r="P30" s="238"/>
      <c r="Q30" s="275">
        <f t="shared" si="8"/>
        <v>0</v>
      </c>
      <c r="R30" s="249"/>
      <c r="S30" s="272"/>
      <c r="T30" s="251"/>
      <c r="U30" s="278"/>
    </row>
    <row r="31" spans="2:21" ht="34.5" customHeight="1" thickBot="1" x14ac:dyDescent="0.4">
      <c r="B31" s="1"/>
      <c r="C31" s="56" t="s">
        <v>21</v>
      </c>
      <c r="D31" s="38">
        <v>0</v>
      </c>
      <c r="E31" s="43">
        <v>0</v>
      </c>
      <c r="F31" s="43"/>
      <c r="G31" s="63">
        <f t="shared" si="5"/>
        <v>0</v>
      </c>
      <c r="H31" s="67"/>
      <c r="I31" s="42"/>
      <c r="J31" s="265">
        <v>0</v>
      </c>
      <c r="K31" s="239">
        <v>0</v>
      </c>
      <c r="L31" s="239">
        <v>0</v>
      </c>
      <c r="M31" s="235">
        <f t="shared" si="7"/>
        <v>0</v>
      </c>
      <c r="N31" s="238"/>
      <c r="O31" s="238"/>
      <c r="P31" s="238"/>
      <c r="Q31" s="275">
        <f t="shared" si="8"/>
        <v>0</v>
      </c>
      <c r="R31" s="249"/>
      <c r="S31" s="272"/>
      <c r="T31" s="251"/>
      <c r="U31" s="278"/>
    </row>
    <row r="32" spans="2:21" ht="30.75" customHeight="1" thickBot="1" x14ac:dyDescent="0.4">
      <c r="B32" s="1"/>
      <c r="C32" s="56" t="s">
        <v>22</v>
      </c>
      <c r="D32" s="38">
        <v>4000</v>
      </c>
      <c r="E32" s="43">
        <v>91750</v>
      </c>
      <c r="F32" s="43"/>
      <c r="G32" s="63">
        <f t="shared" si="5"/>
        <v>95750</v>
      </c>
      <c r="H32" s="67"/>
      <c r="I32" s="42">
        <v>4000</v>
      </c>
      <c r="J32" s="265">
        <v>0</v>
      </c>
      <c r="K32" s="239">
        <v>47250</v>
      </c>
      <c r="L32" s="239">
        <v>139000</v>
      </c>
      <c r="M32" s="235">
        <f>E32+K32-L32</f>
        <v>0</v>
      </c>
      <c r="N32" s="238"/>
      <c r="O32" s="238"/>
      <c r="P32" s="238"/>
      <c r="Q32" s="275">
        <f t="shared" si="8"/>
        <v>0</v>
      </c>
      <c r="R32" s="249"/>
      <c r="S32" s="272"/>
      <c r="T32" s="251"/>
      <c r="U32" s="278"/>
    </row>
    <row r="33" spans="2:21" ht="30" customHeight="1" x14ac:dyDescent="0.35">
      <c r="B33" s="1"/>
      <c r="C33" s="56" t="s">
        <v>23</v>
      </c>
      <c r="D33" s="38">
        <v>30300</v>
      </c>
      <c r="E33" s="43">
        <v>0</v>
      </c>
      <c r="F33" s="43"/>
      <c r="G33" s="63">
        <f t="shared" si="5"/>
        <v>30300</v>
      </c>
      <c r="H33" s="67"/>
      <c r="I33" s="42">
        <v>30300</v>
      </c>
      <c r="J33" s="265">
        <v>0</v>
      </c>
      <c r="K33" s="238">
        <v>0</v>
      </c>
      <c r="L33" s="238">
        <v>0</v>
      </c>
      <c r="M33" s="235">
        <f t="shared" si="7"/>
        <v>0</v>
      </c>
      <c r="N33" s="238"/>
      <c r="O33" s="238"/>
      <c r="P33" s="238"/>
      <c r="Q33" s="275">
        <f t="shared" si="8"/>
        <v>0</v>
      </c>
      <c r="R33" s="249"/>
      <c r="S33" s="272"/>
      <c r="T33" s="251"/>
      <c r="U33" s="278"/>
    </row>
    <row r="34" spans="2:21" ht="18.75" customHeight="1" thickBot="1" x14ac:dyDescent="0.4">
      <c r="B34" s="1"/>
      <c r="C34" s="59" t="s">
        <v>24</v>
      </c>
      <c r="D34" s="267">
        <f>SUM(D27:D33)</f>
        <v>34300</v>
      </c>
      <c r="E34" s="81">
        <f>SUM(E27:E33)</f>
        <v>139000</v>
      </c>
      <c r="F34" s="81">
        <f>SUM(F27:F33)</f>
        <v>0</v>
      </c>
      <c r="G34" s="81">
        <f t="shared" si="5"/>
        <v>173300</v>
      </c>
      <c r="H34" s="268">
        <f>SUM(H27:H33)</f>
        <v>0</v>
      </c>
      <c r="I34" s="269">
        <f>SUM(I27:I33)</f>
        <v>34300</v>
      </c>
      <c r="J34" s="270">
        <f>D34+H34-I34</f>
        <v>0</v>
      </c>
      <c r="K34" s="271">
        <f>SUM(K27:K33)</f>
        <v>47250</v>
      </c>
      <c r="L34" s="271">
        <f>SUM(L27:L33)</f>
        <v>186250</v>
      </c>
      <c r="M34" s="271">
        <f>+E34+K34-L34</f>
        <v>0</v>
      </c>
      <c r="N34" s="271">
        <f>SUM(N27:N33)</f>
        <v>0</v>
      </c>
      <c r="O34" s="271"/>
      <c r="P34" s="271"/>
      <c r="Q34" s="276">
        <f>SUM(Q27:Q33)</f>
        <v>0</v>
      </c>
      <c r="R34" s="233"/>
      <c r="S34" s="248">
        <f>SUM(S26:S33)</f>
        <v>0</v>
      </c>
      <c r="T34" s="234"/>
      <c r="U34" s="278"/>
    </row>
    <row r="35" spans="2:21" ht="18.649999999999999" customHeight="1" thickBot="1" x14ac:dyDescent="0.4">
      <c r="B35" s="53"/>
      <c r="C35" s="60"/>
      <c r="D35" s="490"/>
      <c r="E35" s="491"/>
      <c r="F35" s="491"/>
      <c r="G35" s="491"/>
      <c r="H35" s="491"/>
      <c r="I35" s="491"/>
      <c r="J35" s="491"/>
      <c r="K35" s="491"/>
      <c r="L35" s="491"/>
      <c r="M35" s="491"/>
      <c r="N35" s="491"/>
      <c r="O35" s="491"/>
      <c r="P35" s="491"/>
      <c r="Q35" s="491"/>
      <c r="R35" s="492"/>
      <c r="S35" s="492"/>
      <c r="T35" s="492"/>
      <c r="U35" s="493"/>
    </row>
    <row r="36" spans="2:21" ht="18.649999999999999" customHeight="1" thickBot="1" x14ac:dyDescent="0.4">
      <c r="B36" s="1"/>
      <c r="C36" s="495" t="s">
        <v>27</v>
      </c>
      <c r="D36" s="496"/>
      <c r="E36" s="496"/>
      <c r="F36" s="496"/>
      <c r="G36" s="496"/>
      <c r="H36" s="496"/>
      <c r="I36" s="496"/>
      <c r="J36" s="497"/>
      <c r="K36" s="497"/>
      <c r="L36" s="497"/>
      <c r="M36" s="497"/>
      <c r="N36" s="497"/>
      <c r="O36" s="497"/>
      <c r="P36" s="497"/>
      <c r="Q36" s="497"/>
      <c r="R36" s="283"/>
      <c r="S36" s="283"/>
      <c r="T36" s="283"/>
      <c r="U36" s="260"/>
    </row>
    <row r="37" spans="2:21" ht="18.75" customHeight="1" x14ac:dyDescent="0.35">
      <c r="B37" s="1"/>
      <c r="C37" s="61" t="s">
        <v>28</v>
      </c>
      <c r="D37" s="62">
        <f>'[2]1) Tableau budgétaire 1'!D44</f>
        <v>0</v>
      </c>
      <c r="E37" s="62">
        <f>'[3]1) Tableau budgétaire 1'!D43</f>
        <v>0</v>
      </c>
      <c r="F37" s="62">
        <f>'[3]1) Tableau budgétaire 1'!E43</f>
        <v>0</v>
      </c>
      <c r="G37" s="63">
        <f t="shared" ref="G37:G45" si="9">SUM(D37:F37)</f>
        <v>0</v>
      </c>
      <c r="H37" s="34">
        <f>+H45</f>
        <v>0</v>
      </c>
      <c r="I37" s="252">
        <f>+I45</f>
        <v>0</v>
      </c>
      <c r="J37" s="258">
        <f>+D37+H37-I37</f>
        <v>0</v>
      </c>
      <c r="K37" s="255">
        <f>+K45</f>
        <v>0</v>
      </c>
      <c r="L37" s="255">
        <f>+L45</f>
        <v>0</v>
      </c>
      <c r="M37" s="255">
        <f>+M45</f>
        <v>0</v>
      </c>
      <c r="N37" s="255"/>
      <c r="O37" s="255"/>
      <c r="P37" s="255"/>
      <c r="Q37" s="256">
        <f>J37+M37</f>
        <v>0</v>
      </c>
      <c r="R37" s="279"/>
      <c r="S37" s="272"/>
      <c r="T37" s="280"/>
      <c r="U37" s="36"/>
    </row>
    <row r="38" spans="2:21" ht="18.75" customHeight="1" x14ac:dyDescent="0.35">
      <c r="B38" s="1"/>
      <c r="C38" s="64" t="s">
        <v>17</v>
      </c>
      <c r="D38" s="43"/>
      <c r="E38" s="39"/>
      <c r="F38" s="39"/>
      <c r="G38" s="63">
        <f t="shared" si="9"/>
        <v>0</v>
      </c>
      <c r="H38" s="41"/>
      <c r="I38" s="253"/>
      <c r="J38" s="94">
        <f t="shared" ref="J38:J44" si="10">+D38+H38-I38</f>
        <v>0</v>
      </c>
      <c r="K38" s="238">
        <v>0</v>
      </c>
      <c r="L38" s="238">
        <v>0</v>
      </c>
      <c r="M38" s="235">
        <f t="shared" ref="M38:M44" si="11">E38+K38-L38</f>
        <v>0</v>
      </c>
      <c r="N38" s="206"/>
      <c r="O38" s="206"/>
      <c r="P38" s="206"/>
      <c r="Q38" s="247">
        <f t="shared" ref="Q38:Q44" si="12">SUM(H38:N38)</f>
        <v>0</v>
      </c>
      <c r="R38" s="249"/>
      <c r="S38" s="250"/>
      <c r="T38" s="251"/>
      <c r="U38" s="36"/>
    </row>
    <row r="39" spans="2:21" ht="18.75" customHeight="1" x14ac:dyDescent="0.35">
      <c r="B39" s="53"/>
      <c r="C39" s="64" t="s">
        <v>18</v>
      </c>
      <c r="D39" s="43"/>
      <c r="E39" s="39"/>
      <c r="F39" s="39"/>
      <c r="G39" s="63">
        <f t="shared" si="9"/>
        <v>0</v>
      </c>
      <c r="H39" s="41"/>
      <c r="I39" s="253"/>
      <c r="J39" s="94">
        <f t="shared" si="10"/>
        <v>0</v>
      </c>
      <c r="K39" s="238">
        <v>0</v>
      </c>
      <c r="L39" s="238">
        <v>0</v>
      </c>
      <c r="M39" s="235">
        <f t="shared" si="11"/>
        <v>0</v>
      </c>
      <c r="N39" s="206"/>
      <c r="O39" s="206"/>
      <c r="P39" s="206"/>
      <c r="Q39" s="247">
        <f t="shared" si="12"/>
        <v>0</v>
      </c>
      <c r="R39" s="249"/>
      <c r="S39" s="250"/>
      <c r="T39" s="251"/>
      <c r="U39" s="36"/>
    </row>
    <row r="40" spans="2:21" x14ac:dyDescent="0.35">
      <c r="B40" s="53"/>
      <c r="C40" s="64" t="s">
        <v>19</v>
      </c>
      <c r="D40" s="43"/>
      <c r="E40" s="43"/>
      <c r="F40" s="43"/>
      <c r="G40" s="63">
        <f t="shared" si="9"/>
        <v>0</v>
      </c>
      <c r="H40" s="41"/>
      <c r="I40" s="253"/>
      <c r="J40" s="259">
        <f t="shared" si="10"/>
        <v>0</v>
      </c>
      <c r="K40" s="238">
        <v>0</v>
      </c>
      <c r="L40" s="238">
        <v>0</v>
      </c>
      <c r="M40" s="235">
        <f t="shared" si="11"/>
        <v>0</v>
      </c>
      <c r="N40" s="238"/>
      <c r="O40" s="238"/>
      <c r="P40" s="238"/>
      <c r="Q40" s="247">
        <f t="shared" si="12"/>
        <v>0</v>
      </c>
      <c r="R40" s="249"/>
      <c r="S40" s="250"/>
      <c r="T40" s="251"/>
      <c r="U40" s="36"/>
    </row>
    <row r="41" spans="2:21" ht="18.75" customHeight="1" x14ac:dyDescent="0.35">
      <c r="B41" s="53"/>
      <c r="C41" s="66" t="s">
        <v>20</v>
      </c>
      <c r="D41" s="43">
        <v>0</v>
      </c>
      <c r="E41" s="43"/>
      <c r="F41" s="43"/>
      <c r="G41" s="63">
        <f t="shared" si="9"/>
        <v>0</v>
      </c>
      <c r="H41" s="41">
        <v>0</v>
      </c>
      <c r="I41" s="253"/>
      <c r="J41" s="259">
        <f t="shared" si="10"/>
        <v>0</v>
      </c>
      <c r="K41" s="238">
        <v>0</v>
      </c>
      <c r="L41" s="238">
        <v>0</v>
      </c>
      <c r="M41" s="235">
        <f t="shared" si="11"/>
        <v>0</v>
      </c>
      <c r="N41" s="238"/>
      <c r="O41" s="238"/>
      <c r="P41" s="238"/>
      <c r="Q41" s="247">
        <f t="shared" si="12"/>
        <v>0</v>
      </c>
      <c r="R41" s="249"/>
      <c r="S41" s="250"/>
      <c r="T41" s="251"/>
      <c r="U41" s="36"/>
    </row>
    <row r="42" spans="2:21" ht="18.75" customHeight="1" x14ac:dyDescent="0.35">
      <c r="B42" s="1"/>
      <c r="C42" s="64" t="s">
        <v>21</v>
      </c>
      <c r="D42" s="43">
        <v>0</v>
      </c>
      <c r="E42" s="43"/>
      <c r="F42" s="43"/>
      <c r="G42" s="63">
        <f t="shared" si="9"/>
        <v>0</v>
      </c>
      <c r="H42" s="41"/>
      <c r="I42" s="253"/>
      <c r="J42" s="259">
        <f t="shared" si="10"/>
        <v>0</v>
      </c>
      <c r="K42" s="239">
        <v>0</v>
      </c>
      <c r="L42" s="239">
        <v>0</v>
      </c>
      <c r="M42" s="235">
        <f t="shared" si="11"/>
        <v>0</v>
      </c>
      <c r="N42" s="238"/>
      <c r="O42" s="238"/>
      <c r="P42" s="238"/>
      <c r="Q42" s="247">
        <f t="shared" si="12"/>
        <v>0</v>
      </c>
      <c r="R42" s="249"/>
      <c r="S42" s="250"/>
      <c r="T42" s="251"/>
      <c r="U42" s="36"/>
    </row>
    <row r="43" spans="2:21" ht="18.75" customHeight="1" x14ac:dyDescent="0.35">
      <c r="B43" s="1"/>
      <c r="C43" s="64" t="s">
        <v>22</v>
      </c>
      <c r="D43" s="43"/>
      <c r="E43" s="43"/>
      <c r="F43" s="43"/>
      <c r="G43" s="63">
        <f t="shared" si="9"/>
        <v>0</v>
      </c>
      <c r="H43" s="41"/>
      <c r="I43" s="253"/>
      <c r="J43" s="259">
        <f t="shared" si="10"/>
        <v>0</v>
      </c>
      <c r="K43" s="239">
        <v>0</v>
      </c>
      <c r="L43" s="239">
        <v>0</v>
      </c>
      <c r="M43" s="235">
        <f t="shared" si="11"/>
        <v>0</v>
      </c>
      <c r="N43" s="238"/>
      <c r="O43" s="238"/>
      <c r="P43" s="238"/>
      <c r="Q43" s="247">
        <f t="shared" si="12"/>
        <v>0</v>
      </c>
      <c r="R43" s="249"/>
      <c r="S43" s="250"/>
      <c r="T43" s="251"/>
      <c r="U43" s="36"/>
    </row>
    <row r="44" spans="2:21" ht="18.75" customHeight="1" x14ac:dyDescent="0.35">
      <c r="B44" s="1"/>
      <c r="C44" s="64" t="s">
        <v>23</v>
      </c>
      <c r="D44" s="43"/>
      <c r="E44" s="43"/>
      <c r="F44" s="43"/>
      <c r="G44" s="63">
        <f t="shared" si="9"/>
        <v>0</v>
      </c>
      <c r="H44" s="41"/>
      <c r="I44" s="253"/>
      <c r="J44" s="259">
        <f t="shared" si="10"/>
        <v>0</v>
      </c>
      <c r="K44" s="238">
        <v>0</v>
      </c>
      <c r="L44" s="238">
        <v>0</v>
      </c>
      <c r="M44" s="235">
        <f t="shared" si="11"/>
        <v>0</v>
      </c>
      <c r="N44" s="238"/>
      <c r="O44" s="238"/>
      <c r="P44" s="238"/>
      <c r="Q44" s="247">
        <f t="shared" si="12"/>
        <v>0</v>
      </c>
      <c r="R44" s="249"/>
      <c r="S44" s="250"/>
      <c r="T44" s="251"/>
      <c r="U44" s="36"/>
    </row>
    <row r="45" spans="2:21" ht="18.75" customHeight="1" thickBot="1" x14ac:dyDescent="0.4">
      <c r="B45" s="1"/>
      <c r="C45" s="68" t="s">
        <v>24</v>
      </c>
      <c r="D45" s="49">
        <f>SUM(D38:D44)</f>
        <v>0</v>
      </c>
      <c r="E45" s="49">
        <f>SUM(E38:E44)</f>
        <v>0</v>
      </c>
      <c r="F45" s="49">
        <f>SUM(F38:F44)</f>
        <v>0</v>
      </c>
      <c r="G45" s="69">
        <f t="shared" si="9"/>
        <v>0</v>
      </c>
      <c r="H45" s="51">
        <f>SUM(H38:H44)</f>
        <v>0</v>
      </c>
      <c r="I45" s="254">
        <f>SUM(I38:I44)</f>
        <v>0</v>
      </c>
      <c r="J45" s="240">
        <f>D45+H45-I45</f>
        <v>0</v>
      </c>
      <c r="K45" s="243">
        <f>SUM(K38:K44)</f>
        <v>0</v>
      </c>
      <c r="L45" s="243">
        <f>SUM(L38:L44)</f>
        <v>0</v>
      </c>
      <c r="M45" s="243">
        <f>+E45+K45-L45</f>
        <v>0</v>
      </c>
      <c r="N45" s="243">
        <f>SUM(N38:N44)</f>
        <v>0</v>
      </c>
      <c r="O45" s="243"/>
      <c r="P45" s="243"/>
      <c r="Q45" s="242">
        <f>J45+M45</f>
        <v>0</v>
      </c>
      <c r="R45" s="233"/>
      <c r="S45" s="248"/>
      <c r="T45" s="234"/>
      <c r="U45" s="36"/>
    </row>
    <row r="46" spans="2:21" ht="18.75" customHeight="1" x14ac:dyDescent="0.35">
      <c r="B46" s="1"/>
      <c r="C46" s="498"/>
      <c r="D46" s="480"/>
      <c r="E46" s="480"/>
      <c r="F46" s="480"/>
      <c r="G46" s="480"/>
      <c r="H46" s="480"/>
      <c r="I46" s="480"/>
      <c r="J46" s="480"/>
      <c r="K46" s="480"/>
      <c r="L46" s="480"/>
      <c r="M46" s="480"/>
      <c r="N46" s="480"/>
      <c r="O46" s="480"/>
      <c r="P46" s="480"/>
      <c r="Q46" s="480"/>
      <c r="R46" s="480"/>
      <c r="S46" s="480"/>
      <c r="T46" s="480"/>
      <c r="U46" s="481"/>
    </row>
    <row r="47" spans="2:21" ht="18.75" customHeight="1" thickBot="1" x14ac:dyDescent="0.4">
      <c r="B47" s="53"/>
      <c r="C47" s="457" t="s">
        <v>29</v>
      </c>
      <c r="D47" s="458"/>
      <c r="E47" s="458"/>
      <c r="F47" s="458"/>
      <c r="G47" s="458"/>
      <c r="H47" s="458"/>
      <c r="I47" s="458"/>
      <c r="J47" s="475"/>
      <c r="K47" s="475"/>
      <c r="L47" s="475"/>
      <c r="M47" s="475"/>
      <c r="N47" s="475"/>
      <c r="O47" s="475"/>
      <c r="P47" s="475"/>
      <c r="Q47" s="475"/>
      <c r="R47" s="198"/>
      <c r="S47" s="198"/>
      <c r="T47" s="198"/>
      <c r="U47" s="36"/>
    </row>
    <row r="48" spans="2:21" ht="18.75" customHeight="1" thickBot="1" x14ac:dyDescent="0.4">
      <c r="B48" s="1"/>
      <c r="C48" s="30" t="s">
        <v>30</v>
      </c>
      <c r="D48" s="70">
        <f>'[2]1) Tableau budgétaire 1'!D54</f>
        <v>0</v>
      </c>
      <c r="E48" s="62">
        <f>'[3]1) Tableau budgétaire 1'!D53</f>
        <v>0</v>
      </c>
      <c r="F48" s="62">
        <f>'[3]1) Tableau budgétaire 1'!E53</f>
        <v>0</v>
      </c>
      <c r="G48" s="40">
        <f t="shared" ref="G48:G56" si="13">SUM(D48:F48)</f>
        <v>0</v>
      </c>
      <c r="H48" s="34">
        <f>+H56</f>
        <v>0</v>
      </c>
      <c r="I48" s="252">
        <f>+I56</f>
        <v>0</v>
      </c>
      <c r="J48" s="258">
        <f>+D48+H48-I48</f>
        <v>0</v>
      </c>
      <c r="K48" s="255">
        <f>+K56</f>
        <v>0</v>
      </c>
      <c r="L48" s="255">
        <f>+L56</f>
        <v>0</v>
      </c>
      <c r="M48" s="255">
        <f>+M56</f>
        <v>0</v>
      </c>
      <c r="N48" s="255"/>
      <c r="O48" s="255"/>
      <c r="P48" s="255"/>
      <c r="Q48" s="256">
        <f>J48+M48</f>
        <v>0</v>
      </c>
      <c r="R48" s="279"/>
      <c r="S48" s="272"/>
      <c r="T48" s="280"/>
      <c r="U48" s="278"/>
    </row>
    <row r="49" spans="2:21" ht="18.75" customHeight="1" x14ac:dyDescent="0.35">
      <c r="B49" s="1"/>
      <c r="C49" s="37" t="s">
        <v>17</v>
      </c>
      <c r="D49" s="71"/>
      <c r="E49" s="39"/>
      <c r="F49" s="39"/>
      <c r="G49" s="40">
        <f t="shared" si="13"/>
        <v>0</v>
      </c>
      <c r="H49" s="41"/>
      <c r="I49" s="253"/>
      <c r="J49" s="94">
        <f t="shared" ref="J49:J55" si="14">+D49+H49-I49</f>
        <v>0</v>
      </c>
      <c r="K49" s="238">
        <v>0</v>
      </c>
      <c r="L49" s="238">
        <v>0</v>
      </c>
      <c r="M49" s="235">
        <f t="shared" ref="M49:M55" si="15">E49+K49-L49</f>
        <v>0</v>
      </c>
      <c r="N49" s="206"/>
      <c r="O49" s="206"/>
      <c r="P49" s="206"/>
      <c r="Q49" s="247">
        <f t="shared" ref="Q49:Q55" si="16">SUM(H49:N49)</f>
        <v>0</v>
      </c>
      <c r="R49" s="249"/>
      <c r="S49" s="250"/>
      <c r="T49" s="251"/>
      <c r="U49" s="278"/>
    </row>
    <row r="50" spans="2:21" ht="18.75" customHeight="1" x14ac:dyDescent="0.35">
      <c r="B50" s="1"/>
      <c r="C50" s="44" t="s">
        <v>18</v>
      </c>
      <c r="D50" s="43"/>
      <c r="E50" s="39"/>
      <c r="F50" s="39"/>
      <c r="G50" s="40">
        <f t="shared" si="13"/>
        <v>0</v>
      </c>
      <c r="H50" s="41"/>
      <c r="I50" s="253"/>
      <c r="J50" s="94">
        <f t="shared" si="14"/>
        <v>0</v>
      </c>
      <c r="K50" s="238">
        <v>0</v>
      </c>
      <c r="L50" s="238">
        <v>0</v>
      </c>
      <c r="M50" s="235">
        <f t="shared" si="15"/>
        <v>0</v>
      </c>
      <c r="N50" s="206"/>
      <c r="O50" s="206"/>
      <c r="P50" s="206"/>
      <c r="Q50" s="247">
        <f t="shared" si="16"/>
        <v>0</v>
      </c>
      <c r="R50" s="249"/>
      <c r="S50" s="250"/>
      <c r="T50" s="251"/>
      <c r="U50" s="278"/>
    </row>
    <row r="51" spans="2:21" ht="33" customHeight="1" x14ac:dyDescent="0.35">
      <c r="B51" s="1"/>
      <c r="C51" s="44" t="s">
        <v>19</v>
      </c>
      <c r="D51" s="43"/>
      <c r="E51" s="43"/>
      <c r="F51" s="43"/>
      <c r="G51" s="40">
        <f t="shared" si="13"/>
        <v>0</v>
      </c>
      <c r="H51" s="41"/>
      <c r="I51" s="253"/>
      <c r="J51" s="94">
        <f t="shared" si="14"/>
        <v>0</v>
      </c>
      <c r="K51" s="238">
        <v>0</v>
      </c>
      <c r="L51" s="238">
        <v>0</v>
      </c>
      <c r="M51" s="235">
        <f t="shared" si="15"/>
        <v>0</v>
      </c>
      <c r="N51" s="238"/>
      <c r="O51" s="238"/>
      <c r="P51" s="238"/>
      <c r="Q51" s="247">
        <f t="shared" si="16"/>
        <v>0</v>
      </c>
      <c r="R51" s="249"/>
      <c r="S51" s="250"/>
      <c r="T51" s="251"/>
      <c r="U51" s="278"/>
    </row>
    <row r="52" spans="2:21" ht="18.75" customHeight="1" x14ac:dyDescent="0.35">
      <c r="B52" s="53"/>
      <c r="C52" s="45" t="s">
        <v>20</v>
      </c>
      <c r="D52" s="43"/>
      <c r="E52" s="43"/>
      <c r="F52" s="43"/>
      <c r="G52" s="40">
        <f t="shared" si="13"/>
        <v>0</v>
      </c>
      <c r="H52" s="41">
        <v>0</v>
      </c>
      <c r="I52" s="253"/>
      <c r="J52" s="94">
        <f t="shared" si="14"/>
        <v>0</v>
      </c>
      <c r="K52" s="238">
        <v>0</v>
      </c>
      <c r="L52" s="238">
        <v>0</v>
      </c>
      <c r="M52" s="235">
        <f t="shared" si="15"/>
        <v>0</v>
      </c>
      <c r="N52" s="238"/>
      <c r="O52" s="238"/>
      <c r="P52" s="238"/>
      <c r="Q52" s="247">
        <f t="shared" si="16"/>
        <v>0</v>
      </c>
      <c r="R52" s="249"/>
      <c r="S52" s="250"/>
      <c r="T52" s="251"/>
      <c r="U52" s="278"/>
    </row>
    <row r="53" spans="2:21" ht="18.75" customHeight="1" x14ac:dyDescent="0.35">
      <c r="B53" s="1"/>
      <c r="C53" s="44" t="s">
        <v>21</v>
      </c>
      <c r="D53" s="43"/>
      <c r="E53" s="43"/>
      <c r="F53" s="43"/>
      <c r="G53" s="40">
        <f t="shared" si="13"/>
        <v>0</v>
      </c>
      <c r="H53" s="41"/>
      <c r="I53" s="253"/>
      <c r="J53" s="94">
        <f t="shared" si="14"/>
        <v>0</v>
      </c>
      <c r="K53" s="239">
        <v>0</v>
      </c>
      <c r="L53" s="239">
        <v>0</v>
      </c>
      <c r="M53" s="235">
        <f t="shared" si="15"/>
        <v>0</v>
      </c>
      <c r="N53" s="238"/>
      <c r="O53" s="238"/>
      <c r="P53" s="238"/>
      <c r="Q53" s="247">
        <f t="shared" si="16"/>
        <v>0</v>
      </c>
      <c r="R53" s="249"/>
      <c r="S53" s="250"/>
      <c r="T53" s="251"/>
      <c r="U53" s="278"/>
    </row>
    <row r="54" spans="2:21" ht="18.75" customHeight="1" x14ac:dyDescent="0.35">
      <c r="B54" s="1"/>
      <c r="C54" s="44" t="s">
        <v>22</v>
      </c>
      <c r="D54" s="43"/>
      <c r="E54" s="43"/>
      <c r="F54" s="43"/>
      <c r="G54" s="40">
        <f t="shared" si="13"/>
        <v>0</v>
      </c>
      <c r="H54" s="41"/>
      <c r="I54" s="253"/>
      <c r="J54" s="94">
        <f t="shared" si="14"/>
        <v>0</v>
      </c>
      <c r="K54" s="239">
        <v>0</v>
      </c>
      <c r="L54" s="239">
        <v>0</v>
      </c>
      <c r="M54" s="235">
        <f t="shared" si="15"/>
        <v>0</v>
      </c>
      <c r="N54" s="238"/>
      <c r="O54" s="238"/>
      <c r="P54" s="238"/>
      <c r="Q54" s="247">
        <f t="shared" si="16"/>
        <v>0</v>
      </c>
      <c r="R54" s="249"/>
      <c r="S54" s="250"/>
      <c r="T54" s="251"/>
      <c r="U54" s="278"/>
    </row>
    <row r="55" spans="2:21" ht="18.75" customHeight="1" x14ac:dyDescent="0.35">
      <c r="B55" s="1"/>
      <c r="C55" s="44" t="s">
        <v>23</v>
      </c>
      <c r="D55" s="43"/>
      <c r="E55" s="43"/>
      <c r="F55" s="43"/>
      <c r="G55" s="40">
        <f t="shared" si="13"/>
        <v>0</v>
      </c>
      <c r="H55" s="41"/>
      <c r="I55" s="253"/>
      <c r="J55" s="94">
        <f t="shared" si="14"/>
        <v>0</v>
      </c>
      <c r="K55" s="238">
        <v>0</v>
      </c>
      <c r="L55" s="238">
        <v>0</v>
      </c>
      <c r="M55" s="235">
        <f t="shared" si="15"/>
        <v>0</v>
      </c>
      <c r="N55" s="238"/>
      <c r="O55" s="238"/>
      <c r="P55" s="238"/>
      <c r="Q55" s="247">
        <f t="shared" si="16"/>
        <v>0</v>
      </c>
      <c r="R55" s="249"/>
      <c r="S55" s="250"/>
      <c r="T55" s="251"/>
      <c r="U55" s="278"/>
    </row>
    <row r="56" spans="2:21" ht="18.75" customHeight="1" thickBot="1" x14ac:dyDescent="0.4">
      <c r="B56" s="1"/>
      <c r="C56" s="72" t="s">
        <v>24</v>
      </c>
      <c r="D56" s="73">
        <f>SUM(D49:D55)</f>
        <v>0</v>
      </c>
      <c r="E56" s="73">
        <f>SUM(E49:E55)</f>
        <v>0</v>
      </c>
      <c r="F56" s="73">
        <f>SUM(F49:F55)</f>
        <v>0</v>
      </c>
      <c r="G56" s="74">
        <f t="shared" si="13"/>
        <v>0</v>
      </c>
      <c r="H56" s="75">
        <f>SUM(H49:H55)</f>
        <v>0</v>
      </c>
      <c r="I56" s="284">
        <f>SUM(I49:I55)</f>
        <v>0</v>
      </c>
      <c r="J56" s="289">
        <f>D56+H56-I56</f>
        <v>0</v>
      </c>
      <c r="K56" s="271">
        <f>SUM(K49:K55)</f>
        <v>0</v>
      </c>
      <c r="L56" s="271">
        <f>SUM(L49:L55)</f>
        <v>0</v>
      </c>
      <c r="M56" s="271">
        <f>+E56+K56-L56</f>
        <v>0</v>
      </c>
      <c r="N56" s="271">
        <f>SUM(N49:N55)</f>
        <v>0</v>
      </c>
      <c r="O56" s="271"/>
      <c r="P56" s="271"/>
      <c r="Q56" s="288">
        <f>J56+M56</f>
        <v>0</v>
      </c>
      <c r="R56" s="294"/>
      <c r="S56" s="273">
        <f>SUM(S49:S55)</f>
        <v>0</v>
      </c>
      <c r="T56" s="295"/>
      <c r="U56" s="292"/>
    </row>
    <row r="57" spans="2:21" ht="18.75" customHeight="1" thickBot="1" x14ac:dyDescent="0.4">
      <c r="B57" s="53"/>
      <c r="C57" s="78" t="s">
        <v>31</v>
      </c>
      <c r="D57" s="79">
        <f>SUM(D56+D45+D34+D23)</f>
        <v>139300</v>
      </c>
      <c r="E57" s="79">
        <f>SUM(E56+E45+E34+E23)</f>
        <v>244000</v>
      </c>
      <c r="F57" s="79"/>
      <c r="G57" s="79">
        <f t="shared" ref="G57:M57" si="17">SUM(G56+G45+G34+G23)</f>
        <v>383300</v>
      </c>
      <c r="H57" s="79">
        <f t="shared" si="17"/>
        <v>5103</v>
      </c>
      <c r="I57" s="285">
        <f t="shared" si="17"/>
        <v>34300</v>
      </c>
      <c r="J57" s="290">
        <f t="shared" si="17"/>
        <v>110103</v>
      </c>
      <c r="K57" s="217">
        <f t="shared" si="17"/>
        <v>103750</v>
      </c>
      <c r="L57" s="217">
        <f t="shared" si="17"/>
        <v>193750</v>
      </c>
      <c r="M57" s="217">
        <f t="shared" si="17"/>
        <v>154000</v>
      </c>
      <c r="N57" s="217"/>
      <c r="O57" s="217"/>
      <c r="P57" s="217"/>
      <c r="Q57" s="291">
        <f>SUM(Q56+Q45+Q34+Q23)</f>
        <v>264103</v>
      </c>
      <c r="R57" s="296">
        <f t="shared" ref="R57:S57" si="18">SUM(R56+R45+R34+R23)</f>
        <v>104964.31</v>
      </c>
      <c r="S57" s="297">
        <f t="shared" si="18"/>
        <v>82926.92</v>
      </c>
      <c r="T57" s="298">
        <f>SUM(R57:S57)</f>
        <v>187891.22999999998</v>
      </c>
      <c r="U57" s="293">
        <f>(Q57*100/G57)-100</f>
        <v>-31.097573702061055</v>
      </c>
    </row>
    <row r="58" spans="2:21" ht="18.75" customHeight="1" x14ac:dyDescent="0.35">
      <c r="B58" s="457" t="s">
        <v>32</v>
      </c>
      <c r="C58" s="459"/>
      <c r="D58" s="459"/>
      <c r="E58" s="459"/>
      <c r="F58" s="459"/>
      <c r="G58" s="459"/>
      <c r="H58" s="459"/>
      <c r="I58" s="459"/>
      <c r="J58" s="459"/>
      <c r="K58" s="459"/>
      <c r="L58" s="459"/>
      <c r="M58" s="459"/>
      <c r="N58" s="459"/>
      <c r="O58" s="459"/>
      <c r="P58" s="459"/>
      <c r="Q58" s="459"/>
      <c r="R58" s="459"/>
      <c r="S58" s="459"/>
      <c r="T58" s="459"/>
      <c r="U58" s="476"/>
    </row>
    <row r="59" spans="2:21" ht="18.75" customHeight="1" thickBot="1" x14ac:dyDescent="0.4">
      <c r="B59" s="1"/>
      <c r="C59" s="474" t="s">
        <v>33</v>
      </c>
      <c r="D59" s="475"/>
      <c r="E59" s="475"/>
      <c r="F59" s="475"/>
      <c r="G59" s="475"/>
      <c r="H59" s="475"/>
      <c r="I59" s="475"/>
      <c r="J59" s="475"/>
      <c r="K59" s="475"/>
      <c r="L59" s="475"/>
      <c r="M59" s="475"/>
      <c r="N59" s="475"/>
      <c r="O59" s="475"/>
      <c r="P59" s="475"/>
      <c r="Q59" s="475"/>
      <c r="R59" s="29"/>
      <c r="S59" s="29"/>
      <c r="T59" s="29"/>
      <c r="U59" s="36"/>
    </row>
    <row r="60" spans="2:21" ht="18.75" customHeight="1" thickBot="1" x14ac:dyDescent="0.4">
      <c r="B60" s="1"/>
      <c r="C60" s="30" t="s">
        <v>34</v>
      </c>
      <c r="D60" s="70">
        <f>'[2]1) Tableau budgétaire 1'!D66</f>
        <v>156300</v>
      </c>
      <c r="E60" s="62">
        <f>'[3]1) Tableau budgétaire 1'!D65</f>
        <v>0</v>
      </c>
      <c r="F60" s="62">
        <f>'[3]1) Tableau budgétaire 1'!E65</f>
        <v>0</v>
      </c>
      <c r="G60" s="40">
        <f t="shared" ref="G60:G68" si="19">SUM(D60:F60)</f>
        <v>156300</v>
      </c>
      <c r="H60" s="34">
        <f>+H68</f>
        <v>3600</v>
      </c>
      <c r="I60" s="252">
        <f>+I68</f>
        <v>3300</v>
      </c>
      <c r="J60" s="258">
        <f>+D60+H60-I60</f>
        <v>156600</v>
      </c>
      <c r="K60" s="255">
        <f>+K68</f>
        <v>0</v>
      </c>
      <c r="L60" s="255">
        <f>+L68</f>
        <v>0</v>
      </c>
      <c r="M60" s="255">
        <f>+M68</f>
        <v>0</v>
      </c>
      <c r="N60" s="255"/>
      <c r="O60" s="255"/>
      <c r="P60" s="255"/>
      <c r="Q60" s="256">
        <f>J60+M60</f>
        <v>156600</v>
      </c>
      <c r="R60" s="279"/>
      <c r="S60" s="272"/>
      <c r="T60" s="280"/>
      <c r="U60" s="36"/>
    </row>
    <row r="61" spans="2:21" ht="18.75" customHeight="1" x14ac:dyDescent="0.35">
      <c r="B61" s="1"/>
      <c r="C61" s="37" t="s">
        <v>17</v>
      </c>
      <c r="D61" s="71">
        <v>0</v>
      </c>
      <c r="E61" s="39"/>
      <c r="F61" s="39"/>
      <c r="G61" s="40">
        <f t="shared" si="19"/>
        <v>0</v>
      </c>
      <c r="H61" s="41"/>
      <c r="I61" s="253"/>
      <c r="J61" s="94">
        <f t="shared" ref="J61:J63" si="20">+D61+H61-I61</f>
        <v>0</v>
      </c>
      <c r="K61" s="238">
        <v>0</v>
      </c>
      <c r="L61" s="238">
        <v>0</v>
      </c>
      <c r="M61" s="235">
        <f t="shared" ref="M61:M67" si="21">E61+K61-L61</f>
        <v>0</v>
      </c>
      <c r="N61" s="206"/>
      <c r="O61" s="206"/>
      <c r="P61" s="206"/>
      <c r="Q61" s="247">
        <f t="shared" ref="Q61:Q67" si="22">SUM(M61+J61)</f>
        <v>0</v>
      </c>
      <c r="R61" s="249"/>
      <c r="S61" s="250"/>
      <c r="T61" s="251">
        <f>SUM(R61:S61)</f>
        <v>0</v>
      </c>
      <c r="U61" s="36"/>
    </row>
    <row r="62" spans="2:21" ht="18.75" customHeight="1" x14ac:dyDescent="0.35">
      <c r="B62" s="1"/>
      <c r="C62" s="44" t="s">
        <v>18</v>
      </c>
      <c r="D62" s="43">
        <v>0</v>
      </c>
      <c r="E62" s="39"/>
      <c r="F62" s="39"/>
      <c r="G62" s="40">
        <f t="shared" si="19"/>
        <v>0</v>
      </c>
      <c r="H62" s="41"/>
      <c r="I62" s="253"/>
      <c r="J62" s="94">
        <f t="shared" si="20"/>
        <v>0</v>
      </c>
      <c r="K62" s="238">
        <v>0</v>
      </c>
      <c r="L62" s="238">
        <v>0</v>
      </c>
      <c r="M62" s="235">
        <f t="shared" si="21"/>
        <v>0</v>
      </c>
      <c r="N62" s="206"/>
      <c r="O62" s="206"/>
      <c r="P62" s="206"/>
      <c r="Q62" s="247">
        <f t="shared" si="22"/>
        <v>0</v>
      </c>
      <c r="R62" s="249"/>
      <c r="S62" s="250"/>
      <c r="T62" s="251">
        <f>SUM(R62:S62)</f>
        <v>0</v>
      </c>
      <c r="U62" s="36"/>
    </row>
    <row r="63" spans="2:21" ht="37.5" customHeight="1" x14ac:dyDescent="0.35">
      <c r="B63" s="1"/>
      <c r="C63" s="44" t="s">
        <v>19</v>
      </c>
      <c r="D63" s="43">
        <v>0</v>
      </c>
      <c r="E63" s="43"/>
      <c r="F63" s="43"/>
      <c r="G63" s="40">
        <f t="shared" si="19"/>
        <v>0</v>
      </c>
      <c r="H63" s="41"/>
      <c r="I63" s="253"/>
      <c r="J63" s="259">
        <f t="shared" si="20"/>
        <v>0</v>
      </c>
      <c r="K63" s="238">
        <v>0</v>
      </c>
      <c r="L63" s="238">
        <v>0</v>
      </c>
      <c r="M63" s="235">
        <f t="shared" si="21"/>
        <v>0</v>
      </c>
      <c r="N63" s="238"/>
      <c r="O63" s="238"/>
      <c r="P63" s="238"/>
      <c r="Q63" s="247">
        <f t="shared" si="22"/>
        <v>0</v>
      </c>
      <c r="R63" s="249">
        <f>+GETPIVOTDATA("Somme de MONTANT",MPTF3!$E$1,"PRODUIT","Produit 2.1")</f>
        <v>12719.94</v>
      </c>
      <c r="S63" s="250"/>
      <c r="T63" s="251">
        <f>SUM(R63:S63)</f>
        <v>12719.94</v>
      </c>
      <c r="U63" s="36"/>
    </row>
    <row r="64" spans="2:21" ht="18.75" customHeight="1" x14ac:dyDescent="0.35">
      <c r="B64" s="1"/>
      <c r="C64" s="45" t="s">
        <v>20</v>
      </c>
      <c r="D64" s="43">
        <v>0</v>
      </c>
      <c r="E64" s="43"/>
      <c r="F64" s="43"/>
      <c r="G64" s="40">
        <f t="shared" si="19"/>
        <v>0</v>
      </c>
      <c r="H64" s="67">
        <f>SUM(J64-D64)</f>
        <v>550</v>
      </c>
      <c r="I64" s="253"/>
      <c r="J64" s="259">
        <v>550</v>
      </c>
      <c r="K64" s="238">
        <v>0</v>
      </c>
      <c r="L64" s="238">
        <v>0</v>
      </c>
      <c r="M64" s="235">
        <f t="shared" si="21"/>
        <v>0</v>
      </c>
      <c r="N64" s="238"/>
      <c r="O64" s="238"/>
      <c r="P64" s="238"/>
      <c r="Q64" s="247">
        <f t="shared" si="22"/>
        <v>550</v>
      </c>
      <c r="R64" s="249">
        <f>GETPIVOTDATA("montant",MPTF4!$I$3,"produit","Produit 2.1")</f>
        <v>62.480000000000246</v>
      </c>
      <c r="S64" s="250"/>
      <c r="T64" s="251">
        <f t="shared" ref="T64:T67" si="23">SUM(R64:S64)</f>
        <v>62.480000000000246</v>
      </c>
      <c r="U64" s="36"/>
    </row>
    <row r="65" spans="2:21" ht="31.5" customHeight="1" x14ac:dyDescent="0.35">
      <c r="B65" s="1"/>
      <c r="C65" s="44" t="s">
        <v>21</v>
      </c>
      <c r="D65" s="43">
        <v>0</v>
      </c>
      <c r="E65" s="43"/>
      <c r="F65" s="43"/>
      <c r="G65" s="40">
        <f t="shared" si="19"/>
        <v>0</v>
      </c>
      <c r="H65" s="67">
        <f>SUM(J65-D65)</f>
        <v>3050</v>
      </c>
      <c r="I65" s="253"/>
      <c r="J65" s="259">
        <v>3050</v>
      </c>
      <c r="K65" s="239">
        <v>0</v>
      </c>
      <c r="L65" s="239">
        <v>0</v>
      </c>
      <c r="M65" s="235">
        <f t="shared" si="21"/>
        <v>0</v>
      </c>
      <c r="N65" s="238"/>
      <c r="O65" s="238"/>
      <c r="P65" s="238"/>
      <c r="Q65" s="247">
        <f t="shared" si="22"/>
        <v>3050</v>
      </c>
      <c r="R65" s="249">
        <f>+GETPIVOTDATA("MONTANT",MPTF5!$G$2,"PROD","Produit 2.1")</f>
        <v>15441.05000000015</v>
      </c>
      <c r="S65" s="250"/>
      <c r="T65" s="251">
        <f t="shared" si="23"/>
        <v>15441.05000000015</v>
      </c>
      <c r="U65" s="36"/>
    </row>
    <row r="66" spans="2:21" ht="18.75" customHeight="1" x14ac:dyDescent="0.35">
      <c r="B66" s="1"/>
      <c r="C66" s="44" t="s">
        <v>22</v>
      </c>
      <c r="D66" s="43">
        <v>153000</v>
      </c>
      <c r="E66" s="43"/>
      <c r="F66" s="43"/>
      <c r="G66" s="40">
        <f t="shared" si="19"/>
        <v>153000</v>
      </c>
      <c r="H66" s="67">
        <f>SUM(J66-D66)</f>
        <v>0</v>
      </c>
      <c r="I66" s="253">
        <f>SUM(J66-D66)</f>
        <v>0</v>
      </c>
      <c r="J66" s="259">
        <v>153000</v>
      </c>
      <c r="K66" s="239">
        <v>0</v>
      </c>
      <c r="L66" s="239">
        <v>0</v>
      </c>
      <c r="M66" s="235">
        <f t="shared" si="21"/>
        <v>0</v>
      </c>
      <c r="N66" s="238"/>
      <c r="O66" s="238"/>
      <c r="P66" s="238"/>
      <c r="Q66" s="247">
        <f t="shared" si="22"/>
        <v>153000</v>
      </c>
      <c r="R66" s="249">
        <f>+GETPIVOTDATA("MONTANT",MPTF6!$G$2,"PROD","Produit 2.1")</f>
        <v>123306.41999999995</v>
      </c>
      <c r="S66" s="250"/>
      <c r="T66" s="251">
        <f t="shared" si="23"/>
        <v>123306.41999999995</v>
      </c>
      <c r="U66" s="36"/>
    </row>
    <row r="67" spans="2:21" ht="31.5" customHeight="1" x14ac:dyDescent="0.35">
      <c r="B67" s="1"/>
      <c r="C67" s="44" t="s">
        <v>23</v>
      </c>
      <c r="D67" s="43">
        <v>3300</v>
      </c>
      <c r="E67" s="43"/>
      <c r="F67" s="43"/>
      <c r="G67" s="40">
        <f t="shared" si="19"/>
        <v>3300</v>
      </c>
      <c r="H67" s="41"/>
      <c r="I67" s="253">
        <v>3300</v>
      </c>
      <c r="J67" s="94">
        <f t="shared" ref="J67" si="24">+D67+H67-I67</f>
        <v>0</v>
      </c>
      <c r="K67" s="238">
        <v>0</v>
      </c>
      <c r="L67" s="238">
        <v>0</v>
      </c>
      <c r="M67" s="235">
        <f t="shared" si="21"/>
        <v>0</v>
      </c>
      <c r="N67" s="238"/>
      <c r="O67" s="238"/>
      <c r="P67" s="238"/>
      <c r="Q67" s="247">
        <f t="shared" si="22"/>
        <v>0</v>
      </c>
      <c r="R67" s="249">
        <f>+GETPIVOTDATA("MONTANT",MPTF7!$H$4,"PRODUIT","Produit 2.1")</f>
        <v>540.53</v>
      </c>
      <c r="S67" s="250"/>
      <c r="T67" s="251">
        <f t="shared" si="23"/>
        <v>540.53</v>
      </c>
      <c r="U67" s="36"/>
    </row>
    <row r="68" spans="2:21" ht="18.75" customHeight="1" thickBot="1" x14ac:dyDescent="0.4">
      <c r="B68" s="1"/>
      <c r="C68" s="47" t="s">
        <v>24</v>
      </c>
      <c r="D68" s="81">
        <f>SUM(D61:D67)</f>
        <v>156300</v>
      </c>
      <c r="E68" s="81">
        <f>SUM(E61:E67)</f>
        <v>0</v>
      </c>
      <c r="F68" s="81">
        <f>SUM(F61:F67)</f>
        <v>0</v>
      </c>
      <c r="G68" s="82">
        <f t="shared" si="19"/>
        <v>156300</v>
      </c>
      <c r="H68" s="51">
        <f>SUM(H61:H67)</f>
        <v>3600</v>
      </c>
      <c r="I68" s="254">
        <f>SUM(I61:I67)</f>
        <v>3300</v>
      </c>
      <c r="J68" s="240">
        <f>D68+H68-I68</f>
        <v>156600</v>
      </c>
      <c r="K68" s="243">
        <f>SUM(K61:K67)</f>
        <v>0</v>
      </c>
      <c r="L68" s="243">
        <f>SUM(L61:L67)</f>
        <v>0</v>
      </c>
      <c r="M68" s="243">
        <f>+E68+K68-L68</f>
        <v>0</v>
      </c>
      <c r="N68" s="243">
        <f>SUM(N61:N67)</f>
        <v>0</v>
      </c>
      <c r="O68" s="243"/>
      <c r="P68" s="243"/>
      <c r="Q68" s="242">
        <f>SUM(Q61:Q67)</f>
        <v>156600</v>
      </c>
      <c r="R68" s="233">
        <f>SUM(R61:R67)</f>
        <v>152070.4200000001</v>
      </c>
      <c r="S68" s="248"/>
      <c r="T68" s="234">
        <f>SUM(T61:T67)</f>
        <v>152070.4200000001</v>
      </c>
      <c r="U68" s="36"/>
    </row>
    <row r="69" spans="2:21" ht="18.75" customHeight="1" x14ac:dyDescent="0.35">
      <c r="B69" s="53"/>
      <c r="C69" s="477"/>
      <c r="D69" s="478"/>
      <c r="E69" s="478"/>
      <c r="F69" s="478"/>
      <c r="G69" s="478"/>
      <c r="H69" s="478"/>
      <c r="I69" s="478"/>
      <c r="J69" s="478"/>
      <c r="K69" s="478"/>
      <c r="L69" s="478"/>
      <c r="M69" s="478"/>
      <c r="N69" s="478"/>
      <c r="O69" s="478"/>
      <c r="P69" s="478"/>
      <c r="Q69" s="478"/>
      <c r="R69" s="478"/>
      <c r="S69" s="478"/>
      <c r="T69" s="478"/>
      <c r="U69" s="479"/>
    </row>
    <row r="70" spans="2:21" ht="18.75" customHeight="1" thickBot="1" x14ac:dyDescent="0.4">
      <c r="B70" s="53"/>
      <c r="C70" s="474" t="s">
        <v>35</v>
      </c>
      <c r="D70" s="475"/>
      <c r="E70" s="475"/>
      <c r="F70" s="475"/>
      <c r="G70" s="475"/>
      <c r="H70" s="475"/>
      <c r="I70" s="475"/>
      <c r="J70" s="475"/>
      <c r="K70" s="475"/>
      <c r="L70" s="475"/>
      <c r="M70" s="475"/>
      <c r="N70" s="475"/>
      <c r="O70" s="475"/>
      <c r="P70" s="475"/>
      <c r="Q70" s="475"/>
      <c r="R70" s="29"/>
      <c r="S70" s="29"/>
      <c r="T70" s="29"/>
      <c r="U70" s="36"/>
    </row>
    <row r="71" spans="2:21" ht="18.75" customHeight="1" thickBot="1" x14ac:dyDescent="0.4">
      <c r="B71" s="1"/>
      <c r="C71" s="30" t="s">
        <v>36</v>
      </c>
      <c r="D71" s="70">
        <f>'[2]1) Tableau budgétaire 1'!D76</f>
        <v>0</v>
      </c>
      <c r="E71" s="70">
        <v>156300</v>
      </c>
      <c r="F71" s="62">
        <f>'[3]1) Tableau budgétaire 1'!E75</f>
        <v>0</v>
      </c>
      <c r="G71" s="40">
        <f t="shared" ref="G71:G79" si="25">SUM(D71:F71)</f>
        <v>156300</v>
      </c>
      <c r="H71" s="34">
        <f>+H79</f>
        <v>0</v>
      </c>
      <c r="I71" s="252">
        <f>+I79</f>
        <v>0</v>
      </c>
      <c r="J71" s="258">
        <f>+D71+H71-I71</f>
        <v>0</v>
      </c>
      <c r="K71" s="255">
        <f>+K79</f>
        <v>95400</v>
      </c>
      <c r="L71" s="255">
        <f>+L79</f>
        <v>41700</v>
      </c>
      <c r="M71" s="255">
        <f>+M79</f>
        <v>210000</v>
      </c>
      <c r="N71" s="255"/>
      <c r="O71" s="255"/>
      <c r="P71" s="255"/>
      <c r="Q71" s="256">
        <f>J71+M71</f>
        <v>210000</v>
      </c>
      <c r="R71" s="279"/>
      <c r="S71" s="272"/>
      <c r="T71" s="280"/>
      <c r="U71" s="36"/>
    </row>
    <row r="72" spans="2:21" ht="18.75" customHeight="1" x14ac:dyDescent="0.35">
      <c r="B72" s="1"/>
      <c r="C72" s="37" t="s">
        <v>17</v>
      </c>
      <c r="D72" s="71">
        <v>0</v>
      </c>
      <c r="E72" s="83">
        <v>0</v>
      </c>
      <c r="F72" s="39"/>
      <c r="G72" s="40">
        <f t="shared" si="25"/>
        <v>0</v>
      </c>
      <c r="H72" s="41"/>
      <c r="I72" s="253"/>
      <c r="J72" s="94">
        <f t="shared" ref="J72:J78" si="26">+D72+H72-I72</f>
        <v>0</v>
      </c>
      <c r="K72" s="238">
        <v>0</v>
      </c>
      <c r="L72" s="238">
        <v>0</v>
      </c>
      <c r="M72" s="235">
        <f t="shared" ref="M72:M78" si="27">E72+K72-L72</f>
        <v>0</v>
      </c>
      <c r="N72" s="206"/>
      <c r="O72" s="206"/>
      <c r="P72" s="206"/>
      <c r="Q72" s="247">
        <f t="shared" ref="Q72:Q78" si="28">SUM(M72+J72)</f>
        <v>0</v>
      </c>
      <c r="R72" s="249"/>
      <c r="S72" s="250"/>
      <c r="T72" s="251">
        <f t="shared" ref="T72:T78" si="29">SUM(R72:S72)</f>
        <v>0</v>
      </c>
      <c r="U72" s="36"/>
    </row>
    <row r="73" spans="2:21" ht="18.75" customHeight="1" x14ac:dyDescent="0.35">
      <c r="B73" s="1"/>
      <c r="C73" s="44" t="s">
        <v>18</v>
      </c>
      <c r="D73" s="43">
        <v>0</v>
      </c>
      <c r="E73" s="39">
        <v>0</v>
      </c>
      <c r="F73" s="39"/>
      <c r="G73" s="40">
        <f t="shared" si="25"/>
        <v>0</v>
      </c>
      <c r="H73" s="41"/>
      <c r="I73" s="253"/>
      <c r="J73" s="94">
        <f t="shared" si="26"/>
        <v>0</v>
      </c>
      <c r="K73" s="238">
        <v>0</v>
      </c>
      <c r="L73" s="238">
        <v>0</v>
      </c>
      <c r="M73" s="235">
        <f t="shared" si="27"/>
        <v>0</v>
      </c>
      <c r="N73" s="206"/>
      <c r="O73" s="206"/>
      <c r="P73" s="206"/>
      <c r="Q73" s="247">
        <f t="shared" si="28"/>
        <v>0</v>
      </c>
      <c r="R73" s="249"/>
      <c r="S73" s="250"/>
      <c r="T73" s="251">
        <f t="shared" si="29"/>
        <v>0</v>
      </c>
      <c r="U73" s="36"/>
    </row>
    <row r="74" spans="2:21" ht="36" customHeight="1" x14ac:dyDescent="0.35">
      <c r="B74" s="1"/>
      <c r="C74" s="44" t="s">
        <v>19</v>
      </c>
      <c r="D74" s="43">
        <v>0</v>
      </c>
      <c r="E74" s="43">
        <v>0</v>
      </c>
      <c r="F74" s="43"/>
      <c r="G74" s="40">
        <f t="shared" si="25"/>
        <v>0</v>
      </c>
      <c r="H74" s="41"/>
      <c r="I74" s="253"/>
      <c r="J74" s="94">
        <f t="shared" si="26"/>
        <v>0</v>
      </c>
      <c r="K74" s="238">
        <v>0</v>
      </c>
      <c r="L74" s="238">
        <v>0</v>
      </c>
      <c r="M74" s="235">
        <f t="shared" si="27"/>
        <v>0</v>
      </c>
      <c r="N74" s="238"/>
      <c r="O74" s="238"/>
      <c r="P74" s="238"/>
      <c r="Q74" s="247">
        <f t="shared" si="28"/>
        <v>0</v>
      </c>
      <c r="R74" s="249"/>
      <c r="S74" s="250"/>
      <c r="T74" s="251">
        <f t="shared" si="29"/>
        <v>0</v>
      </c>
      <c r="U74" s="36"/>
    </row>
    <row r="75" spans="2:21" ht="33" customHeight="1" x14ac:dyDescent="0.35">
      <c r="B75" s="1"/>
      <c r="C75" s="45" t="s">
        <v>20</v>
      </c>
      <c r="D75" s="43">
        <v>0</v>
      </c>
      <c r="E75" s="43">
        <v>45000</v>
      </c>
      <c r="F75" s="43"/>
      <c r="G75" s="40">
        <f t="shared" si="25"/>
        <v>45000</v>
      </c>
      <c r="H75" s="41">
        <v>0</v>
      </c>
      <c r="I75" s="253"/>
      <c r="J75" s="94">
        <f t="shared" si="26"/>
        <v>0</v>
      </c>
      <c r="K75" s="238">
        <v>1700</v>
      </c>
      <c r="L75" s="238">
        <v>41700</v>
      </c>
      <c r="M75" s="235">
        <f t="shared" si="27"/>
        <v>5000</v>
      </c>
      <c r="N75" s="238"/>
      <c r="O75" s="238"/>
      <c r="P75" s="238"/>
      <c r="Q75" s="247">
        <f t="shared" si="28"/>
        <v>5000</v>
      </c>
      <c r="R75" s="249"/>
      <c r="S75" s="250">
        <v>-1263</v>
      </c>
      <c r="T75" s="251">
        <f t="shared" si="29"/>
        <v>-1263</v>
      </c>
      <c r="U75" s="36"/>
    </row>
    <row r="76" spans="2:21" ht="18.75" customHeight="1" x14ac:dyDescent="0.35">
      <c r="B76" s="1"/>
      <c r="C76" s="44" t="s">
        <v>21</v>
      </c>
      <c r="D76" s="43">
        <v>0</v>
      </c>
      <c r="E76" s="43">
        <v>0</v>
      </c>
      <c r="F76" s="43"/>
      <c r="G76" s="40">
        <f t="shared" si="25"/>
        <v>0</v>
      </c>
      <c r="H76" s="41"/>
      <c r="I76" s="253"/>
      <c r="J76" s="94">
        <f t="shared" si="26"/>
        <v>0</v>
      </c>
      <c r="K76" s="239">
        <v>0</v>
      </c>
      <c r="L76" s="239">
        <v>0</v>
      </c>
      <c r="M76" s="235">
        <f t="shared" si="27"/>
        <v>0</v>
      </c>
      <c r="N76" s="238"/>
      <c r="O76" s="238"/>
      <c r="P76" s="238"/>
      <c r="Q76" s="247">
        <f t="shared" si="28"/>
        <v>0</v>
      </c>
      <c r="R76" s="249"/>
      <c r="S76" s="250"/>
      <c r="T76" s="251">
        <f t="shared" si="29"/>
        <v>0</v>
      </c>
      <c r="U76" s="36"/>
    </row>
    <row r="77" spans="2:21" ht="30" customHeight="1" x14ac:dyDescent="0.35">
      <c r="B77" s="1"/>
      <c r="C77" s="44" t="s">
        <v>22</v>
      </c>
      <c r="D77" s="43">
        <v>0</v>
      </c>
      <c r="E77" s="43">
        <v>111300</v>
      </c>
      <c r="F77" s="43"/>
      <c r="G77" s="40">
        <f t="shared" si="25"/>
        <v>111300</v>
      </c>
      <c r="H77" s="41"/>
      <c r="I77" s="253"/>
      <c r="J77" s="94">
        <f t="shared" si="26"/>
        <v>0</v>
      </c>
      <c r="K77" s="239">
        <v>88700</v>
      </c>
      <c r="L77" s="239">
        <v>0</v>
      </c>
      <c r="M77" s="235">
        <f t="shared" si="27"/>
        <v>200000</v>
      </c>
      <c r="N77" s="238"/>
      <c r="O77" s="238"/>
      <c r="P77" s="238"/>
      <c r="Q77" s="247">
        <f t="shared" si="28"/>
        <v>200000</v>
      </c>
      <c r="R77" s="249"/>
      <c r="S77" s="250">
        <v>129800.97</v>
      </c>
      <c r="T77" s="251">
        <f t="shared" si="29"/>
        <v>129800.97</v>
      </c>
      <c r="U77" s="36"/>
    </row>
    <row r="78" spans="2:21" ht="18.75" customHeight="1" x14ac:dyDescent="0.35">
      <c r="B78" s="1"/>
      <c r="C78" s="44" t="s">
        <v>23</v>
      </c>
      <c r="D78" s="43">
        <v>0</v>
      </c>
      <c r="E78" s="43">
        <v>0</v>
      </c>
      <c r="F78" s="43"/>
      <c r="G78" s="40">
        <f t="shared" si="25"/>
        <v>0</v>
      </c>
      <c r="H78" s="41"/>
      <c r="I78" s="253"/>
      <c r="J78" s="94">
        <f t="shared" si="26"/>
        <v>0</v>
      </c>
      <c r="K78" s="238">
        <v>5000</v>
      </c>
      <c r="L78" s="238">
        <v>0</v>
      </c>
      <c r="M78" s="235">
        <f t="shared" si="27"/>
        <v>5000</v>
      </c>
      <c r="N78" s="238"/>
      <c r="O78" s="238"/>
      <c r="P78" s="238"/>
      <c r="Q78" s="247">
        <f t="shared" si="28"/>
        <v>5000</v>
      </c>
      <c r="R78" s="249"/>
      <c r="S78" s="250">
        <v>4354.1499999999996</v>
      </c>
      <c r="T78" s="251">
        <f t="shared" si="29"/>
        <v>4354.1499999999996</v>
      </c>
      <c r="U78" s="36"/>
    </row>
    <row r="79" spans="2:21" ht="18.75" customHeight="1" thickBot="1" x14ac:dyDescent="0.4">
      <c r="B79" s="1"/>
      <c r="C79" s="47" t="s">
        <v>24</v>
      </c>
      <c r="D79" s="81">
        <f>SUM(D72:D78)</f>
        <v>0</v>
      </c>
      <c r="E79" s="81">
        <f>SUM(E72:E78)</f>
        <v>156300</v>
      </c>
      <c r="F79" s="81">
        <f>SUM(F72:F78)</f>
        <v>0</v>
      </c>
      <c r="G79" s="82">
        <f t="shared" si="25"/>
        <v>156300</v>
      </c>
      <c r="H79" s="51">
        <f>SUM(H72:H78)</f>
        <v>0</v>
      </c>
      <c r="I79" s="254">
        <f>SUM(I72:I78)</f>
        <v>0</v>
      </c>
      <c r="J79" s="240">
        <f>D79+H79-I79</f>
        <v>0</v>
      </c>
      <c r="K79" s="243">
        <f>SUM(K72:K78)</f>
        <v>95400</v>
      </c>
      <c r="L79" s="243">
        <f>SUM(L72:L78)</f>
        <v>41700</v>
      </c>
      <c r="M79" s="243">
        <f>+E79+K79-L79</f>
        <v>210000</v>
      </c>
      <c r="N79" s="243">
        <f>SUM(N72:N78)</f>
        <v>0</v>
      </c>
      <c r="O79" s="243"/>
      <c r="P79" s="243"/>
      <c r="Q79" s="242">
        <f>SUM(Q72:Q78)</f>
        <v>210000</v>
      </c>
      <c r="R79" s="233"/>
      <c r="S79" s="248">
        <f>SUM(S75:S78)</f>
        <v>132892.12</v>
      </c>
      <c r="T79" s="234">
        <f>SUM(T72:T78)</f>
        <v>132892.12</v>
      </c>
      <c r="U79" s="36"/>
    </row>
    <row r="80" spans="2:21" ht="18.75" customHeight="1" x14ac:dyDescent="0.35">
      <c r="B80" s="53"/>
      <c r="C80" s="477"/>
      <c r="D80" s="478"/>
      <c r="E80" s="478"/>
      <c r="F80" s="478"/>
      <c r="G80" s="478"/>
      <c r="H80" s="478"/>
      <c r="I80" s="478"/>
      <c r="J80" s="478"/>
      <c r="K80" s="478"/>
      <c r="L80" s="478"/>
      <c r="M80" s="478"/>
      <c r="N80" s="478"/>
      <c r="O80" s="478"/>
      <c r="P80" s="478"/>
      <c r="Q80" s="478"/>
      <c r="R80" s="478"/>
      <c r="S80" s="478"/>
      <c r="T80" s="478"/>
      <c r="U80" s="479"/>
    </row>
    <row r="81" spans="2:21" ht="18.75" customHeight="1" thickBot="1" x14ac:dyDescent="0.4">
      <c r="B81" s="1"/>
      <c r="C81" s="457" t="s">
        <v>37</v>
      </c>
      <c r="D81" s="458"/>
      <c r="E81" s="458"/>
      <c r="F81" s="458"/>
      <c r="G81" s="458"/>
      <c r="H81" s="458"/>
      <c r="I81" s="458"/>
      <c r="J81" s="458"/>
      <c r="K81" s="458"/>
      <c r="L81" s="458"/>
      <c r="M81" s="458"/>
      <c r="N81" s="458"/>
      <c r="O81" s="458"/>
      <c r="P81" s="458"/>
      <c r="Q81" s="458"/>
      <c r="R81" s="28"/>
      <c r="S81" s="28"/>
      <c r="T81" s="28"/>
      <c r="U81" s="36"/>
    </row>
    <row r="82" spans="2:21" ht="18.75" customHeight="1" thickBot="1" x14ac:dyDescent="0.4">
      <c r="B82" s="53"/>
      <c r="C82" s="30" t="s">
        <v>38</v>
      </c>
      <c r="D82" s="70">
        <f>'[2]1) Tableau budgétaire 1'!D86</f>
        <v>0</v>
      </c>
      <c r="E82" s="62">
        <f>'[3]1) Tableau budgétaire 1'!D85</f>
        <v>0</v>
      </c>
      <c r="F82" s="62">
        <f>'[3]1) Tableau budgétaire 1'!E85</f>
        <v>0</v>
      </c>
      <c r="G82" s="40">
        <f t="shared" ref="G82:G90" si="30">SUM(D82:F82)</f>
        <v>0</v>
      </c>
      <c r="H82" s="34">
        <f>+H90</f>
        <v>0</v>
      </c>
      <c r="I82" s="35">
        <f>+I90</f>
        <v>0</v>
      </c>
      <c r="J82" s="258">
        <f>+D82+H82-I82</f>
        <v>0</v>
      </c>
      <c r="K82" s="255">
        <f>+K90</f>
        <v>0</v>
      </c>
      <c r="L82" s="255">
        <f>+L90</f>
        <v>0</v>
      </c>
      <c r="M82" s="255">
        <f>+M90</f>
        <v>0</v>
      </c>
      <c r="N82" s="255"/>
      <c r="O82" s="255"/>
      <c r="P82" s="255"/>
      <c r="Q82" s="256">
        <f>J82+M82</f>
        <v>0</v>
      </c>
      <c r="R82" s="279"/>
      <c r="S82" s="272"/>
      <c r="T82" s="280"/>
      <c r="U82" s="36"/>
    </row>
    <row r="83" spans="2:21" ht="18.75" customHeight="1" x14ac:dyDescent="0.35">
      <c r="B83" s="1"/>
      <c r="C83" s="37" t="s">
        <v>17</v>
      </c>
      <c r="D83" s="71"/>
      <c r="E83" s="39"/>
      <c r="F83" s="39"/>
      <c r="G83" s="40">
        <f t="shared" si="30"/>
        <v>0</v>
      </c>
      <c r="H83" s="41"/>
      <c r="I83" s="42"/>
      <c r="J83" s="94">
        <f t="shared" ref="J83:J89" si="31">+D83+H83-I83</f>
        <v>0</v>
      </c>
      <c r="K83" s="238">
        <v>0</v>
      </c>
      <c r="L83" s="238">
        <v>0</v>
      </c>
      <c r="M83" s="235">
        <f t="shared" ref="M83:M89" si="32">E83+K83-L83</f>
        <v>0</v>
      </c>
      <c r="N83" s="206"/>
      <c r="O83" s="206"/>
      <c r="P83" s="206"/>
      <c r="Q83" s="247">
        <f t="shared" ref="Q83:Q89" si="33">SUM(H83:N83)</f>
        <v>0</v>
      </c>
      <c r="R83" s="249"/>
      <c r="S83" s="250"/>
      <c r="T83" s="251"/>
      <c r="U83" s="36"/>
    </row>
    <row r="84" spans="2:21" ht="18.75" customHeight="1" x14ac:dyDescent="0.35">
      <c r="B84" s="1"/>
      <c r="C84" s="44" t="s">
        <v>18</v>
      </c>
      <c r="D84" s="43"/>
      <c r="E84" s="39"/>
      <c r="F84" s="39"/>
      <c r="G84" s="40">
        <f t="shared" si="30"/>
        <v>0</v>
      </c>
      <c r="H84" s="41"/>
      <c r="I84" s="42"/>
      <c r="J84" s="94">
        <f t="shared" si="31"/>
        <v>0</v>
      </c>
      <c r="K84" s="238">
        <v>0</v>
      </c>
      <c r="L84" s="238">
        <v>0</v>
      </c>
      <c r="M84" s="235">
        <f t="shared" si="32"/>
        <v>0</v>
      </c>
      <c r="N84" s="206"/>
      <c r="O84" s="206"/>
      <c r="P84" s="206"/>
      <c r="Q84" s="247">
        <f t="shared" si="33"/>
        <v>0</v>
      </c>
      <c r="R84" s="249"/>
      <c r="S84" s="250"/>
      <c r="T84" s="251"/>
      <c r="U84" s="36"/>
    </row>
    <row r="85" spans="2:21" ht="18.75" customHeight="1" x14ac:dyDescent="0.35">
      <c r="B85" s="1"/>
      <c r="C85" s="44" t="s">
        <v>19</v>
      </c>
      <c r="D85" s="43"/>
      <c r="E85" s="43"/>
      <c r="F85" s="43"/>
      <c r="G85" s="40">
        <f t="shared" si="30"/>
        <v>0</v>
      </c>
      <c r="H85" s="41"/>
      <c r="I85" s="42"/>
      <c r="J85" s="94">
        <f t="shared" si="31"/>
        <v>0</v>
      </c>
      <c r="K85" s="238">
        <v>0</v>
      </c>
      <c r="L85" s="238">
        <v>0</v>
      </c>
      <c r="M85" s="235">
        <f t="shared" si="32"/>
        <v>0</v>
      </c>
      <c r="N85" s="238"/>
      <c r="O85" s="238"/>
      <c r="P85" s="238"/>
      <c r="Q85" s="247">
        <f t="shared" si="33"/>
        <v>0</v>
      </c>
      <c r="R85" s="249"/>
      <c r="S85" s="250"/>
      <c r="T85" s="251"/>
      <c r="U85" s="36"/>
    </row>
    <row r="86" spans="2:21" ht="18.75" customHeight="1" x14ac:dyDescent="0.35">
      <c r="B86" s="53"/>
      <c r="C86" s="45" t="s">
        <v>20</v>
      </c>
      <c r="D86" s="43"/>
      <c r="E86" s="43"/>
      <c r="F86" s="43"/>
      <c r="G86" s="40">
        <f t="shared" si="30"/>
        <v>0</v>
      </c>
      <c r="H86" s="41">
        <v>0</v>
      </c>
      <c r="I86" s="42"/>
      <c r="J86" s="94">
        <f t="shared" si="31"/>
        <v>0</v>
      </c>
      <c r="K86" s="238">
        <v>0</v>
      </c>
      <c r="L86" s="238">
        <v>0</v>
      </c>
      <c r="M86" s="235">
        <f t="shared" si="32"/>
        <v>0</v>
      </c>
      <c r="N86" s="238"/>
      <c r="O86" s="238"/>
      <c r="P86" s="238"/>
      <c r="Q86" s="247">
        <f t="shared" si="33"/>
        <v>0</v>
      </c>
      <c r="R86" s="249"/>
      <c r="S86" s="250"/>
      <c r="T86" s="251"/>
      <c r="U86" s="36"/>
    </row>
    <row r="87" spans="2:21" ht="18.75" customHeight="1" x14ac:dyDescent="0.35">
      <c r="B87" s="53"/>
      <c r="C87" s="44" t="s">
        <v>21</v>
      </c>
      <c r="D87" s="43"/>
      <c r="E87" s="43"/>
      <c r="F87" s="43"/>
      <c r="G87" s="40">
        <f t="shared" si="30"/>
        <v>0</v>
      </c>
      <c r="H87" s="41"/>
      <c r="I87" s="42"/>
      <c r="J87" s="94">
        <f t="shared" si="31"/>
        <v>0</v>
      </c>
      <c r="K87" s="239">
        <v>0</v>
      </c>
      <c r="L87" s="239">
        <v>0</v>
      </c>
      <c r="M87" s="235">
        <f t="shared" si="32"/>
        <v>0</v>
      </c>
      <c r="N87" s="238"/>
      <c r="O87" s="238"/>
      <c r="P87" s="238"/>
      <c r="Q87" s="247">
        <f t="shared" si="33"/>
        <v>0</v>
      </c>
      <c r="R87" s="249"/>
      <c r="S87" s="250"/>
      <c r="T87" s="251"/>
      <c r="U87" s="36"/>
    </row>
    <row r="88" spans="2:21" ht="18.75" customHeight="1" x14ac:dyDescent="0.35">
      <c r="B88" s="53"/>
      <c r="C88" s="44" t="s">
        <v>22</v>
      </c>
      <c r="D88" s="43"/>
      <c r="E88" s="43"/>
      <c r="F88" s="43"/>
      <c r="G88" s="40">
        <f t="shared" si="30"/>
        <v>0</v>
      </c>
      <c r="H88" s="41"/>
      <c r="I88" s="42"/>
      <c r="J88" s="94">
        <f t="shared" si="31"/>
        <v>0</v>
      </c>
      <c r="K88" s="239">
        <v>0</v>
      </c>
      <c r="L88" s="239">
        <v>0</v>
      </c>
      <c r="M88" s="235">
        <f t="shared" si="32"/>
        <v>0</v>
      </c>
      <c r="N88" s="238"/>
      <c r="O88" s="238"/>
      <c r="P88" s="238"/>
      <c r="Q88" s="247">
        <f t="shared" si="33"/>
        <v>0</v>
      </c>
      <c r="R88" s="249"/>
      <c r="S88" s="250"/>
      <c r="T88" s="251"/>
      <c r="U88" s="36"/>
    </row>
    <row r="89" spans="2:21" ht="18.75" customHeight="1" x14ac:dyDescent="0.35">
      <c r="B89" s="1"/>
      <c r="C89" s="44" t="s">
        <v>23</v>
      </c>
      <c r="D89" s="43"/>
      <c r="E89" s="43"/>
      <c r="F89" s="43"/>
      <c r="G89" s="40">
        <f t="shared" si="30"/>
        <v>0</v>
      </c>
      <c r="H89" s="41"/>
      <c r="I89" s="42"/>
      <c r="J89" s="94">
        <f t="shared" si="31"/>
        <v>0</v>
      </c>
      <c r="K89" s="238">
        <v>0</v>
      </c>
      <c r="L89" s="238">
        <v>0</v>
      </c>
      <c r="M89" s="235">
        <f t="shared" si="32"/>
        <v>0</v>
      </c>
      <c r="N89" s="238"/>
      <c r="O89" s="238"/>
      <c r="P89" s="238"/>
      <c r="Q89" s="247">
        <f t="shared" si="33"/>
        <v>0</v>
      </c>
      <c r="R89" s="249"/>
      <c r="S89" s="250"/>
      <c r="T89" s="251"/>
      <c r="U89" s="36"/>
    </row>
    <row r="90" spans="2:21" ht="18.75" customHeight="1" thickBot="1" x14ac:dyDescent="0.4">
      <c r="B90" s="1"/>
      <c r="C90" s="47" t="s">
        <v>24</v>
      </c>
      <c r="D90" s="81">
        <f>SUM(D83:D89)</f>
        <v>0</v>
      </c>
      <c r="E90" s="81">
        <f>SUM(E83:E89)</f>
        <v>0</v>
      </c>
      <c r="F90" s="81">
        <f>SUM(F83:F89)</f>
        <v>0</v>
      </c>
      <c r="G90" s="40">
        <f t="shared" si="30"/>
        <v>0</v>
      </c>
      <c r="H90" s="51">
        <f>SUM(H83:H89)</f>
        <v>0</v>
      </c>
      <c r="I90" s="52">
        <f>SUM(I83:I89)</f>
        <v>0</v>
      </c>
      <c r="J90" s="240">
        <f>D90+H90-I90</f>
        <v>0</v>
      </c>
      <c r="K90" s="243">
        <f>SUM(K83:K89)</f>
        <v>0</v>
      </c>
      <c r="L90" s="243">
        <f>SUM(L83:L89)</f>
        <v>0</v>
      </c>
      <c r="M90" s="243">
        <f>+E90+K90-L90</f>
        <v>0</v>
      </c>
      <c r="N90" s="243">
        <f>SUM(N83:N89)</f>
        <v>0</v>
      </c>
      <c r="O90" s="243"/>
      <c r="P90" s="243"/>
      <c r="Q90" s="242">
        <f>J90+M90</f>
        <v>0</v>
      </c>
      <c r="R90" s="233"/>
      <c r="S90" s="248"/>
      <c r="T90" s="234"/>
      <c r="U90" s="36"/>
    </row>
    <row r="91" spans="2:21" ht="18.75" customHeight="1" x14ac:dyDescent="0.35">
      <c r="B91" s="53"/>
      <c r="C91" s="477"/>
      <c r="D91" s="478"/>
      <c r="E91" s="478"/>
      <c r="F91" s="478"/>
      <c r="G91" s="478"/>
      <c r="H91" s="478"/>
      <c r="I91" s="478"/>
      <c r="J91" s="478"/>
      <c r="K91" s="478"/>
      <c r="L91" s="478"/>
      <c r="M91" s="478"/>
      <c r="N91" s="478"/>
      <c r="O91" s="478"/>
      <c r="P91" s="478"/>
      <c r="Q91" s="478"/>
      <c r="R91" s="478"/>
      <c r="S91" s="478"/>
      <c r="T91" s="478"/>
      <c r="U91" s="479"/>
    </row>
    <row r="92" spans="2:21" ht="18.75" customHeight="1" thickBot="1" x14ac:dyDescent="0.4">
      <c r="B92" s="1"/>
      <c r="C92" s="457" t="s">
        <v>39</v>
      </c>
      <c r="D92" s="458"/>
      <c r="E92" s="458"/>
      <c r="F92" s="458"/>
      <c r="G92" s="458"/>
      <c r="H92" s="458"/>
      <c r="I92" s="458"/>
      <c r="J92" s="458"/>
      <c r="K92" s="458"/>
      <c r="L92" s="458"/>
      <c r="M92" s="458"/>
      <c r="N92" s="458"/>
      <c r="O92" s="458"/>
      <c r="P92" s="458"/>
      <c r="Q92" s="458"/>
      <c r="R92" s="28"/>
      <c r="S92" s="28"/>
      <c r="T92" s="28"/>
      <c r="U92" s="36"/>
    </row>
    <row r="93" spans="2:21" ht="18.75" customHeight="1" thickBot="1" x14ac:dyDescent="0.4">
      <c r="B93" s="1"/>
      <c r="C93" s="30" t="s">
        <v>40</v>
      </c>
      <c r="D93" s="70">
        <f>'[2]1) Tableau budgétaire 1'!D96</f>
        <v>0</v>
      </c>
      <c r="E93" s="62">
        <f>'[3]1) Tableau budgétaire 1'!D95</f>
        <v>0</v>
      </c>
      <c r="F93" s="62">
        <f>'[3]1) Tableau budgétaire 1'!E95</f>
        <v>0</v>
      </c>
      <c r="G93" s="40">
        <f t="shared" ref="G93:G101" si="34">SUM(D93:F93)</f>
        <v>0</v>
      </c>
      <c r="H93" s="34">
        <f>+H101</f>
        <v>0</v>
      </c>
      <c r="I93" s="35">
        <f>+I101</f>
        <v>0</v>
      </c>
      <c r="J93" s="258">
        <f>+D93+H93-I93</f>
        <v>0</v>
      </c>
      <c r="K93" s="255">
        <f>+K101</f>
        <v>0</v>
      </c>
      <c r="L93" s="255">
        <f>+L101</f>
        <v>0</v>
      </c>
      <c r="M93" s="255">
        <f>+M101</f>
        <v>0</v>
      </c>
      <c r="N93" s="255"/>
      <c r="O93" s="255"/>
      <c r="P93" s="255"/>
      <c r="Q93" s="256">
        <f>J93+M93</f>
        <v>0</v>
      </c>
      <c r="R93" s="279"/>
      <c r="S93" s="272"/>
      <c r="T93" s="280"/>
      <c r="U93" s="36"/>
    </row>
    <row r="94" spans="2:21" ht="18.75" customHeight="1" x14ac:dyDescent="0.35">
      <c r="B94" s="1"/>
      <c r="C94" s="37" t="s">
        <v>17</v>
      </c>
      <c r="D94" s="71"/>
      <c r="E94" s="39"/>
      <c r="F94" s="39"/>
      <c r="G94" s="40">
        <f t="shared" si="34"/>
        <v>0</v>
      </c>
      <c r="H94" s="41"/>
      <c r="I94" s="42"/>
      <c r="J94" s="94">
        <f t="shared" ref="J94:J100" si="35">+D94+H94-I94</f>
        <v>0</v>
      </c>
      <c r="K94" s="238">
        <v>0</v>
      </c>
      <c r="L94" s="238">
        <v>0</v>
      </c>
      <c r="M94" s="235">
        <f t="shared" ref="M94:M100" si="36">E94+K94-L94</f>
        <v>0</v>
      </c>
      <c r="N94" s="206"/>
      <c r="O94" s="206"/>
      <c r="P94" s="206"/>
      <c r="Q94" s="247">
        <f t="shared" ref="Q94:Q100" si="37">SUM(H94:N94)</f>
        <v>0</v>
      </c>
      <c r="R94" s="249"/>
      <c r="S94" s="250"/>
      <c r="T94" s="251"/>
      <c r="U94" s="36"/>
    </row>
    <row r="95" spans="2:21" ht="18.75" customHeight="1" x14ac:dyDescent="0.35">
      <c r="B95" s="53"/>
      <c r="C95" s="44" t="s">
        <v>18</v>
      </c>
      <c r="D95" s="43"/>
      <c r="E95" s="39"/>
      <c r="F95" s="39"/>
      <c r="G95" s="40">
        <f t="shared" si="34"/>
        <v>0</v>
      </c>
      <c r="H95" s="41"/>
      <c r="I95" s="42"/>
      <c r="J95" s="94">
        <f t="shared" si="35"/>
        <v>0</v>
      </c>
      <c r="K95" s="238">
        <v>0</v>
      </c>
      <c r="L95" s="238">
        <v>0</v>
      </c>
      <c r="M95" s="235">
        <f t="shared" si="36"/>
        <v>0</v>
      </c>
      <c r="N95" s="206"/>
      <c r="O95" s="206"/>
      <c r="P95" s="206"/>
      <c r="Q95" s="247">
        <f t="shared" si="37"/>
        <v>0</v>
      </c>
      <c r="R95" s="249"/>
      <c r="S95" s="250"/>
      <c r="T95" s="251"/>
      <c r="U95" s="36"/>
    </row>
    <row r="96" spans="2:21" ht="18.75" customHeight="1" x14ac:dyDescent="0.35">
      <c r="B96" s="1"/>
      <c r="C96" s="44" t="s">
        <v>19</v>
      </c>
      <c r="D96" s="43"/>
      <c r="E96" s="43"/>
      <c r="F96" s="43"/>
      <c r="G96" s="40">
        <f t="shared" si="34"/>
        <v>0</v>
      </c>
      <c r="H96" s="41"/>
      <c r="I96" s="42"/>
      <c r="J96" s="94">
        <f t="shared" si="35"/>
        <v>0</v>
      </c>
      <c r="K96" s="238">
        <v>0</v>
      </c>
      <c r="L96" s="238">
        <v>0</v>
      </c>
      <c r="M96" s="235">
        <f t="shared" si="36"/>
        <v>0</v>
      </c>
      <c r="N96" s="238"/>
      <c r="O96" s="238"/>
      <c r="P96" s="238"/>
      <c r="Q96" s="247">
        <f t="shared" si="37"/>
        <v>0</v>
      </c>
      <c r="R96" s="249"/>
      <c r="S96" s="250"/>
      <c r="T96" s="251"/>
      <c r="U96" s="36"/>
    </row>
    <row r="97" spans="2:21" ht="18.75" customHeight="1" x14ac:dyDescent="0.35">
      <c r="B97" s="1"/>
      <c r="C97" s="45" t="s">
        <v>20</v>
      </c>
      <c r="D97" s="43"/>
      <c r="E97" s="43"/>
      <c r="F97" s="43"/>
      <c r="G97" s="40">
        <f t="shared" si="34"/>
        <v>0</v>
      </c>
      <c r="H97" s="41">
        <v>0</v>
      </c>
      <c r="I97" s="42"/>
      <c r="J97" s="94">
        <f t="shared" si="35"/>
        <v>0</v>
      </c>
      <c r="K97" s="238">
        <v>0</v>
      </c>
      <c r="L97" s="238">
        <v>0</v>
      </c>
      <c r="M97" s="235">
        <f t="shared" si="36"/>
        <v>0</v>
      </c>
      <c r="N97" s="238"/>
      <c r="O97" s="238"/>
      <c r="P97" s="238"/>
      <c r="Q97" s="247">
        <f t="shared" si="37"/>
        <v>0</v>
      </c>
      <c r="R97" s="249"/>
      <c r="S97" s="250"/>
      <c r="T97" s="251"/>
      <c r="U97" s="36"/>
    </row>
    <row r="98" spans="2:21" ht="18.75" customHeight="1" x14ac:dyDescent="0.35">
      <c r="B98" s="1"/>
      <c r="C98" s="44" t="s">
        <v>21</v>
      </c>
      <c r="D98" s="43"/>
      <c r="E98" s="43"/>
      <c r="F98" s="43"/>
      <c r="G98" s="40">
        <f t="shared" si="34"/>
        <v>0</v>
      </c>
      <c r="H98" s="41"/>
      <c r="I98" s="42"/>
      <c r="J98" s="94">
        <f t="shared" si="35"/>
        <v>0</v>
      </c>
      <c r="K98" s="239">
        <v>0</v>
      </c>
      <c r="L98" s="239">
        <v>0</v>
      </c>
      <c r="M98" s="235">
        <f t="shared" si="36"/>
        <v>0</v>
      </c>
      <c r="N98" s="238"/>
      <c r="O98" s="238"/>
      <c r="P98" s="238"/>
      <c r="Q98" s="247">
        <f t="shared" si="37"/>
        <v>0</v>
      </c>
      <c r="R98" s="249"/>
      <c r="S98" s="250"/>
      <c r="T98" s="251"/>
      <c r="U98" s="36"/>
    </row>
    <row r="99" spans="2:21" ht="18.75" customHeight="1" x14ac:dyDescent="0.35">
      <c r="B99" s="1"/>
      <c r="C99" s="44" t="s">
        <v>22</v>
      </c>
      <c r="D99" s="43"/>
      <c r="E99" s="43"/>
      <c r="F99" s="43"/>
      <c r="G99" s="40">
        <f t="shared" si="34"/>
        <v>0</v>
      </c>
      <c r="H99" s="41"/>
      <c r="I99" s="42"/>
      <c r="J99" s="94">
        <f t="shared" si="35"/>
        <v>0</v>
      </c>
      <c r="K99" s="239">
        <v>0</v>
      </c>
      <c r="L99" s="239">
        <v>0</v>
      </c>
      <c r="M99" s="235">
        <f t="shared" si="36"/>
        <v>0</v>
      </c>
      <c r="N99" s="238"/>
      <c r="O99" s="238"/>
      <c r="P99" s="238"/>
      <c r="Q99" s="247">
        <f t="shared" si="37"/>
        <v>0</v>
      </c>
      <c r="R99" s="249"/>
      <c r="S99" s="250"/>
      <c r="T99" s="251"/>
      <c r="U99" s="36"/>
    </row>
    <row r="100" spans="2:21" ht="18.75" customHeight="1" x14ac:dyDescent="0.35">
      <c r="B100" s="53"/>
      <c r="C100" s="44" t="s">
        <v>23</v>
      </c>
      <c r="D100" s="43"/>
      <c r="E100" s="43"/>
      <c r="F100" s="43"/>
      <c r="G100" s="40">
        <f t="shared" si="34"/>
        <v>0</v>
      </c>
      <c r="H100" s="41"/>
      <c r="I100" s="42"/>
      <c r="J100" s="94">
        <f t="shared" si="35"/>
        <v>0</v>
      </c>
      <c r="K100" s="238">
        <v>0</v>
      </c>
      <c r="L100" s="238">
        <v>0</v>
      </c>
      <c r="M100" s="235">
        <f t="shared" si="36"/>
        <v>0</v>
      </c>
      <c r="N100" s="238"/>
      <c r="O100" s="238"/>
      <c r="P100" s="238"/>
      <c r="Q100" s="247">
        <f t="shared" si="37"/>
        <v>0</v>
      </c>
      <c r="R100" s="249"/>
      <c r="S100" s="250"/>
      <c r="T100" s="251"/>
      <c r="U100" s="36"/>
    </row>
    <row r="101" spans="2:21" ht="18.75" customHeight="1" thickBot="1" x14ac:dyDescent="0.4">
      <c r="B101" s="1"/>
      <c r="C101" s="72" t="s">
        <v>24</v>
      </c>
      <c r="D101" s="73">
        <f>SUM(D94:D100)</f>
        <v>0</v>
      </c>
      <c r="E101" s="73">
        <f>SUM(E94:E100)</f>
        <v>0</v>
      </c>
      <c r="F101" s="73">
        <f>SUM(F94:F100)</f>
        <v>0</v>
      </c>
      <c r="G101" s="74">
        <f t="shared" si="34"/>
        <v>0</v>
      </c>
      <c r="H101" s="75">
        <f>SUM(H94:H100)</f>
        <v>0</v>
      </c>
      <c r="I101" s="76">
        <f>SUM(I94:I100)</f>
        <v>0</v>
      </c>
      <c r="J101" s="240">
        <f>D101+H101-I101</f>
        <v>0</v>
      </c>
      <c r="K101" s="243">
        <f>SUM(K94:K100)</f>
        <v>0</v>
      </c>
      <c r="L101" s="243">
        <f>SUM(L94:L100)</f>
        <v>0</v>
      </c>
      <c r="M101" s="243">
        <f>+E101+K101-L101</f>
        <v>0</v>
      </c>
      <c r="N101" s="243">
        <f>SUM(N94:N100)</f>
        <v>0</v>
      </c>
      <c r="O101" s="243"/>
      <c r="P101" s="243"/>
      <c r="Q101" s="242">
        <f>J101+M101</f>
        <v>0</v>
      </c>
      <c r="R101" s="233"/>
      <c r="S101" s="248"/>
      <c r="T101" s="234"/>
      <c r="U101" s="77"/>
    </row>
    <row r="102" spans="2:21" ht="18.75" customHeight="1" thickBot="1" x14ac:dyDescent="0.4">
      <c r="B102" s="1"/>
      <c r="C102" s="84" t="s">
        <v>41</v>
      </c>
      <c r="D102" s="79">
        <f t="shared" ref="D102:M102" si="38">SUM(D101+D90+D79+D68)</f>
        <v>156300</v>
      </c>
      <c r="E102" s="79">
        <f t="shared" si="38"/>
        <v>156300</v>
      </c>
      <c r="F102" s="79">
        <f t="shared" si="38"/>
        <v>0</v>
      </c>
      <c r="G102" s="79">
        <f t="shared" si="38"/>
        <v>312600</v>
      </c>
      <c r="H102" s="79">
        <f t="shared" si="38"/>
        <v>3600</v>
      </c>
      <c r="I102" s="79">
        <f t="shared" si="38"/>
        <v>3300</v>
      </c>
      <c r="J102" s="79">
        <f t="shared" si="38"/>
        <v>156600</v>
      </c>
      <c r="K102" s="79">
        <f t="shared" si="38"/>
        <v>95400</v>
      </c>
      <c r="L102" s="79">
        <f t="shared" si="38"/>
        <v>41700</v>
      </c>
      <c r="M102" s="79">
        <f t="shared" si="38"/>
        <v>210000</v>
      </c>
      <c r="N102" s="79"/>
      <c r="O102" s="79"/>
      <c r="P102" s="79"/>
      <c r="Q102" s="79">
        <f>SUM(Q101+Q90+Q79+Q68)</f>
        <v>366600</v>
      </c>
      <c r="R102" s="79">
        <f t="shared" ref="R102:S102" si="39">SUM(R101+R90+R79+R68)</f>
        <v>152070.4200000001</v>
      </c>
      <c r="S102" s="79">
        <f t="shared" si="39"/>
        <v>132892.12</v>
      </c>
      <c r="T102" s="79">
        <f>SUM(R102:S102)</f>
        <v>284962.5400000001</v>
      </c>
      <c r="U102" s="80">
        <f>(Q102*100/G102)-100</f>
        <v>17.274472168905945</v>
      </c>
    </row>
    <row r="103" spans="2:21" ht="18.75" customHeight="1" x14ac:dyDescent="0.35">
      <c r="B103" s="457" t="s">
        <v>42</v>
      </c>
      <c r="C103" s="459"/>
      <c r="D103" s="459"/>
      <c r="E103" s="459"/>
      <c r="F103" s="459"/>
      <c r="G103" s="459"/>
      <c r="H103" s="459"/>
      <c r="I103" s="459"/>
      <c r="J103" s="459"/>
      <c r="K103" s="459"/>
      <c r="L103" s="459"/>
      <c r="M103" s="459"/>
      <c r="N103" s="459"/>
      <c r="O103" s="459"/>
      <c r="P103" s="459"/>
      <c r="Q103" s="459"/>
      <c r="R103" s="459"/>
      <c r="S103" s="459"/>
      <c r="T103" s="459"/>
      <c r="U103" s="476"/>
    </row>
    <row r="104" spans="2:21" ht="18.75" customHeight="1" thickBot="1" x14ac:dyDescent="0.4">
      <c r="B104" s="1"/>
      <c r="C104" s="474" t="s">
        <v>43</v>
      </c>
      <c r="D104" s="475"/>
      <c r="E104" s="475"/>
      <c r="F104" s="475"/>
      <c r="G104" s="475"/>
      <c r="H104" s="475"/>
      <c r="I104" s="475"/>
      <c r="J104" s="475"/>
      <c r="K104" s="475"/>
      <c r="L104" s="475"/>
      <c r="M104" s="475"/>
      <c r="N104" s="475"/>
      <c r="O104" s="475"/>
      <c r="P104" s="475"/>
      <c r="Q104" s="475"/>
      <c r="R104" s="29"/>
      <c r="S104" s="29"/>
      <c r="T104" s="29"/>
      <c r="U104" s="36"/>
    </row>
    <row r="105" spans="2:21" ht="18.75" customHeight="1" thickBot="1" x14ac:dyDescent="0.4">
      <c r="B105" s="1"/>
      <c r="C105" s="30" t="s">
        <v>44</v>
      </c>
      <c r="D105" s="70">
        <f>'[2]1) Tableau budgétaire 1'!D108</f>
        <v>15000</v>
      </c>
      <c r="E105" s="70">
        <v>4860</v>
      </c>
      <c r="F105" s="62">
        <f>'[3]1) Tableau budgétaire 1'!E107</f>
        <v>0</v>
      </c>
      <c r="G105" s="40">
        <f t="shared" ref="G105:G113" si="40">SUM(D105:F105)</f>
        <v>19860</v>
      </c>
      <c r="H105" s="34">
        <f>+H113</f>
        <v>14200</v>
      </c>
      <c r="I105" s="35">
        <f>+I113</f>
        <v>14200</v>
      </c>
      <c r="J105" s="258">
        <f>+D105+H105-I105</f>
        <v>15000</v>
      </c>
      <c r="K105" s="255">
        <f>+K113</f>
        <v>6121.16</v>
      </c>
      <c r="L105" s="255">
        <f>+L113</f>
        <v>0</v>
      </c>
      <c r="M105" s="255">
        <f>+M113</f>
        <v>10981.16</v>
      </c>
      <c r="N105" s="255"/>
      <c r="O105" s="255"/>
      <c r="P105" s="255"/>
      <c r="Q105" s="256">
        <f>J105+M105</f>
        <v>25981.16</v>
      </c>
      <c r="R105" s="279"/>
      <c r="S105" s="272"/>
      <c r="T105" s="280"/>
      <c r="U105" s="36"/>
    </row>
    <row r="106" spans="2:21" ht="18.75" customHeight="1" x14ac:dyDescent="0.35">
      <c r="B106" s="1"/>
      <c r="C106" s="37" t="s">
        <v>17</v>
      </c>
      <c r="D106" s="71">
        <v>0</v>
      </c>
      <c r="E106" s="83">
        <v>0</v>
      </c>
      <c r="F106" s="39"/>
      <c r="G106" s="40">
        <f t="shared" si="40"/>
        <v>0</v>
      </c>
      <c r="H106" s="41"/>
      <c r="I106" s="42"/>
      <c r="J106" s="94">
        <f t="shared" ref="J106:J111" si="41">+D106+H106-I106</f>
        <v>0</v>
      </c>
      <c r="K106" s="238">
        <v>0</v>
      </c>
      <c r="L106" s="238">
        <v>0</v>
      </c>
      <c r="M106" s="235">
        <f t="shared" ref="M106:M112" si="42">E106+K106-L106</f>
        <v>0</v>
      </c>
      <c r="N106" s="206"/>
      <c r="O106" s="206"/>
      <c r="P106" s="206"/>
      <c r="Q106" s="247">
        <f t="shared" ref="Q106:Q112" si="43">SUM(M106+J106)</f>
        <v>0</v>
      </c>
      <c r="R106" s="249"/>
      <c r="S106" s="250"/>
      <c r="T106" s="251">
        <f t="shared" ref="T106:T112" si="44">SUM(R106:S106)</f>
        <v>0</v>
      </c>
      <c r="U106" s="36"/>
    </row>
    <row r="107" spans="2:21" ht="18.75" customHeight="1" x14ac:dyDescent="0.35">
      <c r="B107" s="1"/>
      <c r="C107" s="44" t="s">
        <v>18</v>
      </c>
      <c r="D107" s="43">
        <v>0</v>
      </c>
      <c r="E107" s="39">
        <v>0</v>
      </c>
      <c r="F107" s="39"/>
      <c r="G107" s="40">
        <f t="shared" si="40"/>
        <v>0</v>
      </c>
      <c r="H107" s="41"/>
      <c r="I107" s="42"/>
      <c r="J107" s="94">
        <f t="shared" si="41"/>
        <v>0</v>
      </c>
      <c r="K107" s="238">
        <v>0</v>
      </c>
      <c r="L107" s="238">
        <v>0</v>
      </c>
      <c r="M107" s="235">
        <f t="shared" si="42"/>
        <v>0</v>
      </c>
      <c r="N107" s="206"/>
      <c r="O107" s="206"/>
      <c r="P107" s="206"/>
      <c r="Q107" s="247">
        <f t="shared" si="43"/>
        <v>0</v>
      </c>
      <c r="R107" s="249"/>
      <c r="S107" s="250"/>
      <c r="T107" s="251">
        <f t="shared" si="44"/>
        <v>0</v>
      </c>
      <c r="U107" s="36"/>
    </row>
    <row r="108" spans="2:21" x14ac:dyDescent="0.35">
      <c r="B108" s="1"/>
      <c r="C108" s="44" t="s">
        <v>19</v>
      </c>
      <c r="D108" s="43">
        <v>0</v>
      </c>
      <c r="E108" s="43">
        <v>0</v>
      </c>
      <c r="F108" s="43"/>
      <c r="G108" s="40">
        <f t="shared" si="40"/>
        <v>0</v>
      </c>
      <c r="H108" s="41"/>
      <c r="I108" s="42"/>
      <c r="J108" s="94">
        <f t="shared" si="41"/>
        <v>0</v>
      </c>
      <c r="K108" s="238">
        <v>0</v>
      </c>
      <c r="L108" s="238">
        <v>0</v>
      </c>
      <c r="M108" s="235">
        <f t="shared" si="42"/>
        <v>0</v>
      </c>
      <c r="N108" s="238"/>
      <c r="O108" s="238"/>
      <c r="P108" s="238"/>
      <c r="Q108" s="247">
        <f t="shared" si="43"/>
        <v>0</v>
      </c>
      <c r="R108" s="249">
        <f>+GETPIVOTDATA("Somme de MONTANT",MPTF3!$E$1,"PRODUIT","Produit 3.1")</f>
        <v>2002.21</v>
      </c>
      <c r="S108" s="250"/>
      <c r="T108" s="251">
        <f t="shared" si="44"/>
        <v>2002.21</v>
      </c>
      <c r="U108" s="36"/>
    </row>
    <row r="109" spans="2:21" ht="18.75" customHeight="1" x14ac:dyDescent="0.35">
      <c r="B109" s="1"/>
      <c r="C109" s="45" t="s">
        <v>20</v>
      </c>
      <c r="D109" s="43">
        <v>0</v>
      </c>
      <c r="E109" s="43">
        <v>0</v>
      </c>
      <c r="F109" s="43"/>
      <c r="G109" s="40">
        <f t="shared" si="40"/>
        <v>0</v>
      </c>
      <c r="H109" s="41">
        <v>4000</v>
      </c>
      <c r="I109" s="42"/>
      <c r="J109" s="94">
        <v>4000</v>
      </c>
      <c r="K109" s="238">
        <v>0</v>
      </c>
      <c r="L109" s="238">
        <v>0</v>
      </c>
      <c r="M109" s="235">
        <f t="shared" si="42"/>
        <v>0</v>
      </c>
      <c r="N109" s="238"/>
      <c r="O109" s="238"/>
      <c r="P109" s="238"/>
      <c r="Q109" s="247">
        <f t="shared" si="43"/>
        <v>4000</v>
      </c>
      <c r="R109" s="249">
        <f>GETPIVOTDATA("montant",MPTF4!$I$3,"produit","Produit 3.1")</f>
        <v>1221.3399999999992</v>
      </c>
      <c r="S109" s="250"/>
      <c r="T109" s="251">
        <f t="shared" si="44"/>
        <v>1221.3399999999992</v>
      </c>
      <c r="U109" s="36"/>
    </row>
    <row r="110" spans="2:21" ht="30.75" customHeight="1" x14ac:dyDescent="0.35">
      <c r="B110" s="1"/>
      <c r="C110" s="44" t="s">
        <v>21</v>
      </c>
      <c r="D110" s="43">
        <v>0</v>
      </c>
      <c r="E110" s="43">
        <v>0</v>
      </c>
      <c r="F110" s="43"/>
      <c r="G110" s="40">
        <f t="shared" si="40"/>
        <v>0</v>
      </c>
      <c r="H110" s="41">
        <v>10200</v>
      </c>
      <c r="I110" s="42"/>
      <c r="J110" s="94">
        <v>10200</v>
      </c>
      <c r="K110" s="239">
        <v>5000</v>
      </c>
      <c r="L110" s="239">
        <v>0</v>
      </c>
      <c r="M110" s="235">
        <f t="shared" si="42"/>
        <v>5000</v>
      </c>
      <c r="N110" s="238"/>
      <c r="O110" s="238"/>
      <c r="P110" s="238"/>
      <c r="Q110" s="247">
        <f t="shared" si="43"/>
        <v>15200</v>
      </c>
      <c r="R110" s="249">
        <f>+GETPIVOTDATA("MONTANT",MPTF5!$G$2,"PROD","Produit 3.1")</f>
        <v>12987.510000000002</v>
      </c>
      <c r="S110" s="250">
        <v>5008.9399999999996</v>
      </c>
      <c r="T110" s="251">
        <f t="shared" si="44"/>
        <v>17996.45</v>
      </c>
      <c r="U110" s="36"/>
    </row>
    <row r="111" spans="2:21" ht="18.75" customHeight="1" x14ac:dyDescent="0.35">
      <c r="B111" s="1"/>
      <c r="C111" s="44" t="s">
        <v>22</v>
      </c>
      <c r="D111" s="43">
        <v>0</v>
      </c>
      <c r="E111" s="43">
        <v>0</v>
      </c>
      <c r="F111" s="43"/>
      <c r="G111" s="40">
        <f t="shared" si="40"/>
        <v>0</v>
      </c>
      <c r="H111" s="41"/>
      <c r="I111" s="42"/>
      <c r="J111" s="94">
        <f t="shared" si="41"/>
        <v>0</v>
      </c>
      <c r="K111" s="239">
        <v>0</v>
      </c>
      <c r="L111" s="239">
        <v>0</v>
      </c>
      <c r="M111" s="235">
        <f t="shared" si="42"/>
        <v>0</v>
      </c>
      <c r="N111" s="238"/>
      <c r="O111" s="238"/>
      <c r="P111" s="238"/>
      <c r="Q111" s="247">
        <f t="shared" si="43"/>
        <v>0</v>
      </c>
      <c r="R111" s="249">
        <f>+GETPIVOTDATA("MONTANT",MPTF6!$G$2,"PROD","Produit 3.1")</f>
        <v>40874.46</v>
      </c>
      <c r="S111" s="250"/>
      <c r="T111" s="251">
        <f t="shared" si="44"/>
        <v>40874.46</v>
      </c>
      <c r="U111" s="36"/>
    </row>
    <row r="112" spans="2:21" ht="25.5" customHeight="1" x14ac:dyDescent="0.35">
      <c r="B112" s="1"/>
      <c r="C112" s="44" t="s">
        <v>23</v>
      </c>
      <c r="D112" s="43">
        <v>15000</v>
      </c>
      <c r="E112" s="43">
        <v>4860</v>
      </c>
      <c r="F112" s="43"/>
      <c r="G112" s="40">
        <f t="shared" si="40"/>
        <v>19860</v>
      </c>
      <c r="H112" s="41"/>
      <c r="I112" s="42">
        <v>14200</v>
      </c>
      <c r="J112" s="94">
        <v>800</v>
      </c>
      <c r="K112" s="238">
        <v>1121.1600000000001</v>
      </c>
      <c r="L112" s="238">
        <v>0</v>
      </c>
      <c r="M112" s="235">
        <f t="shared" si="42"/>
        <v>5981.16</v>
      </c>
      <c r="N112" s="238"/>
      <c r="O112" s="238"/>
      <c r="P112" s="238"/>
      <c r="Q112" s="247">
        <f t="shared" si="43"/>
        <v>6781.16</v>
      </c>
      <c r="R112" s="249">
        <f>+GETPIVOTDATA("MONTANT",MPTF7!$H$4,"PRODUIT","Produit 3.1")</f>
        <v>2655.23</v>
      </c>
      <c r="S112" s="250">
        <v>5299.6</v>
      </c>
      <c r="T112" s="251">
        <f t="shared" si="44"/>
        <v>7954.83</v>
      </c>
      <c r="U112" s="36"/>
    </row>
    <row r="113" spans="2:21" ht="23.25" customHeight="1" thickBot="1" x14ac:dyDescent="0.4">
      <c r="B113" s="1"/>
      <c r="C113" s="47" t="s">
        <v>24</v>
      </c>
      <c r="D113" s="81">
        <f>SUM(D106:D112)</f>
        <v>15000</v>
      </c>
      <c r="E113" s="81">
        <f>SUM(E106:E112)</f>
        <v>4860</v>
      </c>
      <c r="F113" s="81">
        <f>SUM(F106:F112)</f>
        <v>0</v>
      </c>
      <c r="G113" s="82">
        <f t="shared" si="40"/>
        <v>19860</v>
      </c>
      <c r="H113" s="51">
        <f>SUM(H106:H112)</f>
        <v>14200</v>
      </c>
      <c r="I113" s="52">
        <f>SUM(I106:I112)</f>
        <v>14200</v>
      </c>
      <c r="J113" s="240">
        <f>D113+H113-I113</f>
        <v>15000</v>
      </c>
      <c r="K113" s="243">
        <f>SUM(K106:K112)</f>
        <v>6121.16</v>
      </c>
      <c r="L113" s="243">
        <f>SUM(L106:L112)</f>
        <v>0</v>
      </c>
      <c r="M113" s="243">
        <f>+E113+K113-L113</f>
        <v>10981.16</v>
      </c>
      <c r="N113" s="243">
        <f>SUM(N106:N112)</f>
        <v>0</v>
      </c>
      <c r="O113" s="243"/>
      <c r="P113" s="243"/>
      <c r="Q113" s="242">
        <f>SUM(Q106:Q112)</f>
        <v>25981.16</v>
      </c>
      <c r="R113" s="233"/>
      <c r="S113" s="248">
        <f>SUM(S110:S112)</f>
        <v>10308.540000000001</v>
      </c>
      <c r="T113" s="234">
        <f>SUM(T106:T112)</f>
        <v>70049.289999999994</v>
      </c>
      <c r="U113" s="36"/>
    </row>
    <row r="114" spans="2:21" ht="18.75" customHeight="1" x14ac:dyDescent="0.35">
      <c r="B114" s="53"/>
      <c r="C114" s="477"/>
      <c r="D114" s="478"/>
      <c r="E114" s="478"/>
      <c r="F114" s="478"/>
      <c r="G114" s="478"/>
      <c r="H114" s="478"/>
      <c r="I114" s="478"/>
      <c r="J114" s="478"/>
      <c r="K114" s="478"/>
      <c r="L114" s="478"/>
      <c r="M114" s="478"/>
      <c r="N114" s="478"/>
      <c r="O114" s="478"/>
      <c r="P114" s="478"/>
      <c r="Q114" s="478"/>
      <c r="R114" s="478"/>
      <c r="S114" s="478"/>
      <c r="T114" s="478"/>
      <c r="U114" s="479"/>
    </row>
    <row r="115" spans="2:21" ht="18.75" customHeight="1" thickBot="1" x14ac:dyDescent="0.4">
      <c r="B115" s="1"/>
      <c r="C115" s="474" t="s">
        <v>45</v>
      </c>
      <c r="D115" s="475"/>
      <c r="E115" s="475"/>
      <c r="F115" s="475"/>
      <c r="G115" s="475"/>
      <c r="H115" s="475"/>
      <c r="I115" s="475"/>
      <c r="J115" s="475"/>
      <c r="K115" s="475"/>
      <c r="L115" s="475"/>
      <c r="M115" s="475"/>
      <c r="N115" s="475"/>
      <c r="O115" s="475"/>
      <c r="P115" s="475"/>
      <c r="Q115" s="475"/>
      <c r="R115" s="29"/>
      <c r="S115" s="29"/>
      <c r="T115" s="29"/>
      <c r="U115" s="36"/>
    </row>
    <row r="116" spans="2:21" ht="18.75" customHeight="1" thickBot="1" x14ac:dyDescent="0.4">
      <c r="B116" s="1"/>
      <c r="C116" s="30" t="s">
        <v>46</v>
      </c>
      <c r="D116" s="70">
        <f>'[2]1) Tableau budgétaire 1'!D118</f>
        <v>78250</v>
      </c>
      <c r="E116" s="62">
        <f>'[3]1) Tableau budgétaire 1'!D117</f>
        <v>0</v>
      </c>
      <c r="F116" s="62">
        <f>'[3]1) Tableau budgétaire 1'!E117</f>
        <v>0</v>
      </c>
      <c r="G116" s="40">
        <f t="shared" ref="G116:G124" si="45">SUM(D116:F116)</f>
        <v>78250</v>
      </c>
      <c r="H116" s="34">
        <f>+H124</f>
        <v>32381</v>
      </c>
      <c r="I116" s="35">
        <f>+I124</f>
        <v>33015</v>
      </c>
      <c r="J116" s="258">
        <f>+D116+H116-I116</f>
        <v>77616</v>
      </c>
      <c r="K116" s="255">
        <f>+K124</f>
        <v>0</v>
      </c>
      <c r="L116" s="255">
        <f>+L124</f>
        <v>0</v>
      </c>
      <c r="M116" s="255">
        <f>+M124</f>
        <v>0</v>
      </c>
      <c r="N116" s="255"/>
      <c r="O116" s="255"/>
      <c r="P116" s="255"/>
      <c r="Q116" s="256">
        <f>J116+M116</f>
        <v>77616</v>
      </c>
      <c r="R116" s="279"/>
      <c r="S116" s="272"/>
      <c r="T116" s="280"/>
      <c r="U116" s="36"/>
    </row>
    <row r="117" spans="2:21" ht="18.75" customHeight="1" x14ac:dyDescent="0.35">
      <c r="B117" s="1"/>
      <c r="C117" s="37" t="s">
        <v>17</v>
      </c>
      <c r="D117" s="71">
        <v>0</v>
      </c>
      <c r="E117" s="39"/>
      <c r="F117" s="39"/>
      <c r="G117" s="40">
        <f t="shared" si="45"/>
        <v>0</v>
      </c>
      <c r="H117" s="41"/>
      <c r="I117" s="42"/>
      <c r="J117" s="94">
        <f t="shared" ref="J117:J118" si="46">+D117+H117-I117</f>
        <v>0</v>
      </c>
      <c r="K117" s="238">
        <v>0</v>
      </c>
      <c r="L117" s="238">
        <v>0</v>
      </c>
      <c r="M117" s="235">
        <f t="shared" ref="M117:M123" si="47">E117+K117-L117</f>
        <v>0</v>
      </c>
      <c r="N117" s="206"/>
      <c r="O117" s="206"/>
      <c r="P117" s="206"/>
      <c r="Q117" s="247">
        <f t="shared" ref="Q117:Q123" si="48">SUM(M117+J117)</f>
        <v>0</v>
      </c>
      <c r="R117" s="249"/>
      <c r="S117" s="250"/>
      <c r="T117" s="251">
        <f t="shared" ref="T117:T123" si="49">SUM(R117:S117)</f>
        <v>0</v>
      </c>
      <c r="U117" s="36"/>
    </row>
    <row r="118" spans="2:21" ht="18.75" customHeight="1" x14ac:dyDescent="0.35">
      <c r="B118" s="1"/>
      <c r="C118" s="44" t="s">
        <v>18</v>
      </c>
      <c r="D118" s="43">
        <v>0</v>
      </c>
      <c r="E118" s="39"/>
      <c r="F118" s="39"/>
      <c r="G118" s="40">
        <f t="shared" si="45"/>
        <v>0</v>
      </c>
      <c r="H118" s="41"/>
      <c r="I118" s="42"/>
      <c r="J118" s="94">
        <f t="shared" si="46"/>
        <v>0</v>
      </c>
      <c r="K118" s="238">
        <v>0</v>
      </c>
      <c r="L118" s="238">
        <v>0</v>
      </c>
      <c r="M118" s="235">
        <f t="shared" si="47"/>
        <v>0</v>
      </c>
      <c r="N118" s="206"/>
      <c r="O118" s="206"/>
      <c r="P118" s="206"/>
      <c r="Q118" s="247">
        <f t="shared" si="48"/>
        <v>0</v>
      </c>
      <c r="R118" s="249"/>
      <c r="S118" s="250"/>
      <c r="T118" s="251">
        <f t="shared" si="49"/>
        <v>0</v>
      </c>
      <c r="U118" s="36"/>
    </row>
    <row r="119" spans="2:21" x14ac:dyDescent="0.35">
      <c r="B119" s="1"/>
      <c r="C119" s="44" t="s">
        <v>19</v>
      </c>
      <c r="D119" s="43">
        <v>0</v>
      </c>
      <c r="E119" s="43"/>
      <c r="F119" s="43"/>
      <c r="G119" s="40">
        <f t="shared" si="45"/>
        <v>0</v>
      </c>
      <c r="H119" s="41">
        <v>10348</v>
      </c>
      <c r="I119" s="42"/>
      <c r="J119" s="94">
        <v>10348</v>
      </c>
      <c r="K119" s="238">
        <v>0</v>
      </c>
      <c r="L119" s="238">
        <v>0</v>
      </c>
      <c r="M119" s="235">
        <f t="shared" si="47"/>
        <v>0</v>
      </c>
      <c r="N119" s="238"/>
      <c r="O119" s="238"/>
      <c r="P119" s="238"/>
      <c r="Q119" s="247">
        <f t="shared" si="48"/>
        <v>10348</v>
      </c>
      <c r="R119" s="249">
        <f>+GETPIVOTDATA("Somme de MONTANT",MPTF3!$E$1,"PRODUIT","Produit 3.2")</f>
        <v>10043</v>
      </c>
      <c r="S119" s="250"/>
      <c r="T119" s="251">
        <f t="shared" si="49"/>
        <v>10043</v>
      </c>
      <c r="U119" s="36"/>
    </row>
    <row r="120" spans="2:21" ht="18.75" customHeight="1" x14ac:dyDescent="0.35">
      <c r="B120" s="1"/>
      <c r="C120" s="45" t="s">
        <v>20</v>
      </c>
      <c r="D120" s="43">
        <v>0</v>
      </c>
      <c r="E120" s="43"/>
      <c r="F120" s="43"/>
      <c r="G120" s="40">
        <f t="shared" si="45"/>
        <v>0</v>
      </c>
      <c r="H120" s="41">
        <v>1183</v>
      </c>
      <c r="I120" s="42"/>
      <c r="J120" s="94">
        <v>1183</v>
      </c>
      <c r="K120" s="238">
        <v>0</v>
      </c>
      <c r="L120" s="238">
        <v>0</v>
      </c>
      <c r="M120" s="235">
        <f t="shared" si="47"/>
        <v>0</v>
      </c>
      <c r="N120" s="238"/>
      <c r="O120" s="238"/>
      <c r="P120" s="238"/>
      <c r="Q120" s="247">
        <f t="shared" si="48"/>
        <v>1183</v>
      </c>
      <c r="R120" s="249">
        <f>GETPIVOTDATA("montant",MPTF4!$I$3,"produit","Produit 3.2")</f>
        <v>1542.23</v>
      </c>
      <c r="S120" s="250"/>
      <c r="T120" s="251">
        <f t="shared" si="49"/>
        <v>1542.23</v>
      </c>
      <c r="U120" s="36"/>
    </row>
    <row r="121" spans="2:21" ht="18.75" customHeight="1" x14ac:dyDescent="0.35">
      <c r="B121" s="1"/>
      <c r="C121" s="44" t="s">
        <v>21</v>
      </c>
      <c r="D121" s="43">
        <v>0</v>
      </c>
      <c r="E121" s="43"/>
      <c r="F121" s="43"/>
      <c r="G121" s="40">
        <f t="shared" si="45"/>
        <v>0</v>
      </c>
      <c r="H121" s="41"/>
      <c r="I121" s="42"/>
      <c r="J121" s="94"/>
      <c r="K121" s="239">
        <v>0</v>
      </c>
      <c r="L121" s="239">
        <v>0</v>
      </c>
      <c r="M121" s="235">
        <f t="shared" si="47"/>
        <v>0</v>
      </c>
      <c r="N121" s="238"/>
      <c r="O121" s="238"/>
      <c r="P121" s="238"/>
      <c r="Q121" s="247">
        <f t="shared" si="48"/>
        <v>0</v>
      </c>
      <c r="R121" s="249"/>
      <c r="S121" s="250"/>
      <c r="T121" s="251">
        <f t="shared" si="49"/>
        <v>0</v>
      </c>
      <c r="U121" s="36"/>
    </row>
    <row r="122" spans="2:21" ht="34.5" customHeight="1" x14ac:dyDescent="0.35">
      <c r="B122" s="1"/>
      <c r="C122" s="44" t="s">
        <v>22</v>
      </c>
      <c r="D122" s="43">
        <v>44000</v>
      </c>
      <c r="E122" s="43"/>
      <c r="F122" s="43"/>
      <c r="G122" s="40">
        <f t="shared" si="45"/>
        <v>44000</v>
      </c>
      <c r="H122" s="41">
        <f>SUM(J122-D122)</f>
        <v>20850</v>
      </c>
      <c r="I122" s="42"/>
      <c r="J122" s="94">
        <v>64850</v>
      </c>
      <c r="K122" s="239">
        <v>0</v>
      </c>
      <c r="L122" s="239">
        <v>0</v>
      </c>
      <c r="M122" s="235">
        <f t="shared" si="47"/>
        <v>0</v>
      </c>
      <c r="N122" s="238"/>
      <c r="O122" s="238"/>
      <c r="P122" s="238"/>
      <c r="Q122" s="247">
        <f t="shared" si="48"/>
        <v>64850</v>
      </c>
      <c r="R122" s="249">
        <f>+GETPIVOTDATA("MONTANT",MPTF6!$G$2,"PROD","Produit 3.2")</f>
        <v>13035.280000000039</v>
      </c>
      <c r="S122" s="250"/>
      <c r="T122" s="251">
        <f t="shared" si="49"/>
        <v>13035.280000000039</v>
      </c>
      <c r="U122" s="36"/>
    </row>
    <row r="123" spans="2:21" ht="30" customHeight="1" x14ac:dyDescent="0.35">
      <c r="B123" s="1"/>
      <c r="C123" s="44" t="s">
        <v>23</v>
      </c>
      <c r="D123" s="43">
        <v>34250</v>
      </c>
      <c r="E123" s="43"/>
      <c r="F123" s="43"/>
      <c r="G123" s="40">
        <f t="shared" si="45"/>
        <v>34250</v>
      </c>
      <c r="H123" s="41"/>
      <c r="I123" s="42">
        <v>33015</v>
      </c>
      <c r="J123" s="94">
        <v>1235</v>
      </c>
      <c r="K123" s="238">
        <v>0</v>
      </c>
      <c r="L123" s="238">
        <v>0</v>
      </c>
      <c r="M123" s="235">
        <f t="shared" si="47"/>
        <v>0</v>
      </c>
      <c r="N123" s="238"/>
      <c r="O123" s="238"/>
      <c r="P123" s="238"/>
      <c r="Q123" s="247">
        <f t="shared" si="48"/>
        <v>1235</v>
      </c>
      <c r="R123" s="249">
        <f>+GETPIVOTDATA("MONTANT",MPTF7!$H$4,"PRODUIT","Produit 3.2")</f>
        <v>2746.0699999999997</v>
      </c>
      <c r="S123" s="250"/>
      <c r="T123" s="251">
        <f t="shared" si="49"/>
        <v>2746.0699999999997</v>
      </c>
      <c r="U123" s="36"/>
    </row>
    <row r="124" spans="2:21" ht="18.75" customHeight="1" thickBot="1" x14ac:dyDescent="0.4">
      <c r="B124" s="1"/>
      <c r="C124" s="47" t="s">
        <v>24</v>
      </c>
      <c r="D124" s="81">
        <f>SUM(D117:D123)</f>
        <v>78250</v>
      </c>
      <c r="E124" s="81">
        <f>SUM(E117:E123)</f>
        <v>0</v>
      </c>
      <c r="F124" s="81">
        <f>SUM(F117:F123)</f>
        <v>0</v>
      </c>
      <c r="G124" s="82">
        <f t="shared" si="45"/>
        <v>78250</v>
      </c>
      <c r="H124" s="51">
        <f>SUM(H117:H123)</f>
        <v>32381</v>
      </c>
      <c r="I124" s="52">
        <f>SUM(I117:I123)</f>
        <v>33015</v>
      </c>
      <c r="J124" s="240">
        <f>D124+H124-I124</f>
        <v>77616</v>
      </c>
      <c r="K124" s="243">
        <f>SUM(K117:K123)</f>
        <v>0</v>
      </c>
      <c r="L124" s="243">
        <f>SUM(L117:L123)</f>
        <v>0</v>
      </c>
      <c r="M124" s="243">
        <f>+E124+K124-L124</f>
        <v>0</v>
      </c>
      <c r="N124" s="243">
        <f>SUM(N117:N123)</f>
        <v>0</v>
      </c>
      <c r="O124" s="243"/>
      <c r="P124" s="243"/>
      <c r="Q124" s="242">
        <f>SUM(Q117:Q123)</f>
        <v>77616</v>
      </c>
      <c r="R124" s="233">
        <f>SUM(R117:R123)</f>
        <v>27366.580000000038</v>
      </c>
      <c r="S124" s="248"/>
      <c r="T124" s="234">
        <f>SUM(T117:T123)</f>
        <v>27366.580000000038</v>
      </c>
      <c r="U124" s="36"/>
    </row>
    <row r="125" spans="2:21" ht="18.75" customHeight="1" x14ac:dyDescent="0.35">
      <c r="B125" s="53"/>
      <c r="C125" s="477"/>
      <c r="D125" s="478"/>
      <c r="E125" s="478"/>
      <c r="F125" s="478"/>
      <c r="G125" s="478"/>
      <c r="H125" s="478"/>
      <c r="I125" s="478"/>
      <c r="J125" s="478"/>
      <c r="K125" s="478"/>
      <c r="L125" s="478"/>
      <c r="M125" s="478"/>
      <c r="N125" s="478"/>
      <c r="O125" s="478"/>
      <c r="P125" s="478"/>
      <c r="Q125" s="478"/>
      <c r="R125" s="478"/>
      <c r="S125" s="478"/>
      <c r="T125" s="478"/>
      <c r="U125" s="479"/>
    </row>
    <row r="126" spans="2:21" ht="18.75" customHeight="1" thickBot="1" x14ac:dyDescent="0.4">
      <c r="B126" s="1"/>
      <c r="C126" s="474" t="s">
        <v>47</v>
      </c>
      <c r="D126" s="475"/>
      <c r="E126" s="475"/>
      <c r="F126" s="475"/>
      <c r="G126" s="475"/>
      <c r="H126" s="475"/>
      <c r="I126" s="475"/>
      <c r="J126" s="475"/>
      <c r="K126" s="475"/>
      <c r="L126" s="475"/>
      <c r="M126" s="475"/>
      <c r="N126" s="475"/>
      <c r="O126" s="475"/>
      <c r="P126" s="475"/>
      <c r="Q126" s="475"/>
      <c r="R126" s="29"/>
      <c r="S126" s="29"/>
      <c r="T126" s="29"/>
      <c r="U126" s="36"/>
    </row>
    <row r="127" spans="2:21" ht="18.75" customHeight="1" thickBot="1" x14ac:dyDescent="0.4">
      <c r="B127" s="1"/>
      <c r="C127" s="30" t="s">
        <v>48</v>
      </c>
      <c r="D127" s="70">
        <f>'[2]1) Tableau budgétaire 1'!D128</f>
        <v>3800</v>
      </c>
      <c r="E127" s="70">
        <v>3800</v>
      </c>
      <c r="F127" s="62">
        <f>'[3]1) Tableau budgétaire 1'!E127</f>
        <v>0</v>
      </c>
      <c r="G127" s="40">
        <f t="shared" ref="G127:G135" si="50">SUM(D127:F127)</f>
        <v>7600</v>
      </c>
      <c r="H127" s="34">
        <f>+H135</f>
        <v>9800</v>
      </c>
      <c r="I127" s="35">
        <f>+I135</f>
        <v>3800</v>
      </c>
      <c r="J127" s="258">
        <f>+D127+H127-I127</f>
        <v>9800</v>
      </c>
      <c r="K127" s="255">
        <f>+K135</f>
        <v>16500</v>
      </c>
      <c r="L127" s="255">
        <f>+L135</f>
        <v>0</v>
      </c>
      <c r="M127" s="255">
        <f>+M135</f>
        <v>20300</v>
      </c>
      <c r="N127" s="255"/>
      <c r="O127" s="255"/>
      <c r="P127" s="255"/>
      <c r="Q127" s="256">
        <f>J127+M127</f>
        <v>30100</v>
      </c>
      <c r="R127" s="279"/>
      <c r="S127" s="272"/>
      <c r="T127" s="280"/>
      <c r="U127" s="36"/>
    </row>
    <row r="128" spans="2:21" ht="18.75" customHeight="1" x14ac:dyDescent="0.35">
      <c r="B128" s="1"/>
      <c r="C128" s="37" t="s">
        <v>17</v>
      </c>
      <c r="D128" s="71">
        <v>0</v>
      </c>
      <c r="E128" s="83">
        <v>0</v>
      </c>
      <c r="F128" s="39"/>
      <c r="G128" s="40">
        <f t="shared" si="50"/>
        <v>0</v>
      </c>
      <c r="H128" s="41"/>
      <c r="I128" s="42"/>
      <c r="J128" s="94">
        <f t="shared" ref="J128:J133" si="51">+D128+H128-I128</f>
        <v>0</v>
      </c>
      <c r="K128" s="238">
        <v>0</v>
      </c>
      <c r="L128" s="238">
        <v>0</v>
      </c>
      <c r="M128" s="235">
        <f t="shared" ref="M128:M134" si="52">E128+K128-L128</f>
        <v>0</v>
      </c>
      <c r="N128" s="206"/>
      <c r="O128" s="206"/>
      <c r="P128" s="206"/>
      <c r="Q128" s="247">
        <f t="shared" ref="Q128:Q134" si="53">SUM(M128+J128)</f>
        <v>0</v>
      </c>
      <c r="R128" s="249"/>
      <c r="S128" s="250"/>
      <c r="T128" s="251">
        <f t="shared" ref="T128:T134" si="54">SUM(R128:S128)</f>
        <v>0</v>
      </c>
      <c r="U128" s="36"/>
    </row>
    <row r="129" spans="2:21" ht="18.75" customHeight="1" x14ac:dyDescent="0.35">
      <c r="B129" s="1"/>
      <c r="C129" s="44" t="s">
        <v>18</v>
      </c>
      <c r="D129" s="43">
        <v>0</v>
      </c>
      <c r="E129" s="39">
        <v>0</v>
      </c>
      <c r="F129" s="39"/>
      <c r="G129" s="40">
        <f t="shared" si="50"/>
        <v>0</v>
      </c>
      <c r="H129" s="41"/>
      <c r="I129" s="42"/>
      <c r="J129" s="94">
        <f t="shared" si="51"/>
        <v>0</v>
      </c>
      <c r="K129" s="238">
        <v>0</v>
      </c>
      <c r="L129" s="238">
        <v>0</v>
      </c>
      <c r="M129" s="235">
        <f t="shared" si="52"/>
        <v>0</v>
      </c>
      <c r="N129" s="206"/>
      <c r="O129" s="206"/>
      <c r="P129" s="206"/>
      <c r="Q129" s="247">
        <f t="shared" si="53"/>
        <v>0</v>
      </c>
      <c r="R129" s="249"/>
      <c r="S129" s="250"/>
      <c r="T129" s="251">
        <f t="shared" si="54"/>
        <v>0</v>
      </c>
      <c r="U129" s="36"/>
    </row>
    <row r="130" spans="2:21" ht="40.5" customHeight="1" x14ac:dyDescent="0.35">
      <c r="B130" s="1"/>
      <c r="C130" s="44" t="s">
        <v>19</v>
      </c>
      <c r="D130" s="43">
        <v>0</v>
      </c>
      <c r="E130" s="43">
        <v>0</v>
      </c>
      <c r="F130" s="43"/>
      <c r="G130" s="40">
        <f t="shared" si="50"/>
        <v>0</v>
      </c>
      <c r="H130" s="41"/>
      <c r="I130" s="42"/>
      <c r="J130" s="94">
        <f t="shared" si="51"/>
        <v>0</v>
      </c>
      <c r="K130" s="238">
        <v>0</v>
      </c>
      <c r="L130" s="238">
        <v>0</v>
      </c>
      <c r="M130" s="235">
        <f t="shared" si="52"/>
        <v>0</v>
      </c>
      <c r="N130" s="238"/>
      <c r="O130" s="238"/>
      <c r="P130" s="238"/>
      <c r="Q130" s="247">
        <f t="shared" si="53"/>
        <v>0</v>
      </c>
      <c r="R130" s="249"/>
      <c r="S130" s="250"/>
      <c r="T130" s="251">
        <f t="shared" si="54"/>
        <v>0</v>
      </c>
      <c r="U130" s="36"/>
    </row>
    <row r="131" spans="2:21" ht="36.75" customHeight="1" x14ac:dyDescent="0.35">
      <c r="B131" s="1"/>
      <c r="C131" s="45" t="s">
        <v>20</v>
      </c>
      <c r="D131" s="43">
        <v>0</v>
      </c>
      <c r="E131" s="43">
        <v>3800</v>
      </c>
      <c r="F131" s="43"/>
      <c r="G131" s="40">
        <f t="shared" si="50"/>
        <v>3800</v>
      </c>
      <c r="H131" s="41">
        <v>8500</v>
      </c>
      <c r="I131" s="42"/>
      <c r="J131" s="94">
        <v>8500</v>
      </c>
      <c r="K131" s="238">
        <v>6200</v>
      </c>
      <c r="L131" s="238">
        <v>0</v>
      </c>
      <c r="M131" s="235">
        <f t="shared" si="52"/>
        <v>10000</v>
      </c>
      <c r="N131" s="238"/>
      <c r="O131" s="238"/>
      <c r="P131" s="238"/>
      <c r="Q131" s="247">
        <f t="shared" si="53"/>
        <v>18500</v>
      </c>
      <c r="R131" s="249">
        <f>GETPIVOTDATA("montant",MPTF4!$I$3,"produit","Produit 3.3")</f>
        <v>2951.2699999999995</v>
      </c>
      <c r="S131" s="250">
        <v>11894</v>
      </c>
      <c r="T131" s="251">
        <f t="shared" si="54"/>
        <v>14845.27</v>
      </c>
      <c r="U131" s="36"/>
    </row>
    <row r="132" spans="2:21" ht="18.75" customHeight="1" x14ac:dyDescent="0.35">
      <c r="B132" s="1"/>
      <c r="C132" s="44" t="s">
        <v>21</v>
      </c>
      <c r="D132" s="43">
        <v>0</v>
      </c>
      <c r="E132" s="43">
        <v>0</v>
      </c>
      <c r="F132" s="43"/>
      <c r="G132" s="40">
        <f t="shared" si="50"/>
        <v>0</v>
      </c>
      <c r="H132" s="41">
        <v>1300</v>
      </c>
      <c r="I132" s="42"/>
      <c r="J132" s="94">
        <v>1300</v>
      </c>
      <c r="K132" s="239">
        <v>2500</v>
      </c>
      <c r="L132" s="239">
        <v>0</v>
      </c>
      <c r="M132" s="235">
        <f t="shared" si="52"/>
        <v>2500</v>
      </c>
      <c r="N132" s="238"/>
      <c r="O132" s="238"/>
      <c r="P132" s="238"/>
      <c r="Q132" s="247">
        <f t="shared" si="53"/>
        <v>3800</v>
      </c>
      <c r="R132" s="249">
        <f>+GETPIVOTDATA("MONTANT",MPTF5!$G$2,"PROD","Produit 3.3")</f>
        <v>6890.7600000000275</v>
      </c>
      <c r="S132" s="250">
        <f>3035+361</f>
        <v>3396</v>
      </c>
      <c r="T132" s="251">
        <f t="shared" si="54"/>
        <v>10286.760000000028</v>
      </c>
      <c r="U132" s="36"/>
    </row>
    <row r="133" spans="2:21" ht="18.75" customHeight="1" x14ac:dyDescent="0.35">
      <c r="B133" s="1"/>
      <c r="C133" s="44" t="s">
        <v>22</v>
      </c>
      <c r="D133" s="43">
        <v>0</v>
      </c>
      <c r="E133" s="43">
        <v>0</v>
      </c>
      <c r="F133" s="43"/>
      <c r="G133" s="40">
        <f t="shared" si="50"/>
        <v>0</v>
      </c>
      <c r="H133" s="41"/>
      <c r="I133" s="42"/>
      <c r="J133" s="94">
        <f t="shared" si="51"/>
        <v>0</v>
      </c>
      <c r="K133" s="239">
        <v>0</v>
      </c>
      <c r="L133" s="239">
        <v>0</v>
      </c>
      <c r="M133" s="235">
        <f t="shared" si="52"/>
        <v>0</v>
      </c>
      <c r="N133" s="238"/>
      <c r="O133" s="238"/>
      <c r="P133" s="238"/>
      <c r="Q133" s="247">
        <f t="shared" si="53"/>
        <v>0</v>
      </c>
      <c r="R133" s="249"/>
      <c r="S133" s="250"/>
      <c r="T133" s="251">
        <f t="shared" si="54"/>
        <v>0</v>
      </c>
      <c r="U133" s="36"/>
    </row>
    <row r="134" spans="2:21" ht="18.75" customHeight="1" x14ac:dyDescent="0.35">
      <c r="B134" s="1"/>
      <c r="C134" s="44" t="s">
        <v>23</v>
      </c>
      <c r="D134" s="43">
        <v>3800</v>
      </c>
      <c r="E134" s="43">
        <v>0</v>
      </c>
      <c r="F134" s="43"/>
      <c r="G134" s="40">
        <f t="shared" si="50"/>
        <v>3800</v>
      </c>
      <c r="H134" s="41"/>
      <c r="I134" s="42">
        <v>3800</v>
      </c>
      <c r="J134" s="94"/>
      <c r="K134" s="238">
        <v>7800</v>
      </c>
      <c r="L134" s="238">
        <v>0</v>
      </c>
      <c r="M134" s="235">
        <f t="shared" si="52"/>
        <v>7800</v>
      </c>
      <c r="N134" s="238"/>
      <c r="O134" s="238"/>
      <c r="P134" s="238"/>
      <c r="Q134" s="247">
        <f t="shared" si="53"/>
        <v>7800</v>
      </c>
      <c r="R134" s="249">
        <f>+GETPIVOTDATA("MONTANT",MPTF7!$H$4,"PRODUIT","Produit 3.3")</f>
        <v>2997.51</v>
      </c>
      <c r="S134" s="250">
        <v>7735.4</v>
      </c>
      <c r="T134" s="251">
        <f t="shared" si="54"/>
        <v>10732.91</v>
      </c>
      <c r="U134" s="36"/>
    </row>
    <row r="135" spans="2:21" ht="33" customHeight="1" thickBot="1" x14ac:dyDescent="0.4">
      <c r="B135" s="1"/>
      <c r="C135" s="47" t="s">
        <v>24</v>
      </c>
      <c r="D135" s="81">
        <f>SUM(D128:D134)</f>
        <v>3800</v>
      </c>
      <c r="E135" s="81">
        <f>SUM(E128:E134)</f>
        <v>3800</v>
      </c>
      <c r="F135" s="81">
        <f>SUM(F128:F134)</f>
        <v>0</v>
      </c>
      <c r="G135" s="82">
        <f t="shared" si="50"/>
        <v>7600</v>
      </c>
      <c r="H135" s="51">
        <f>SUM(H128:H134)</f>
        <v>9800</v>
      </c>
      <c r="I135" s="52">
        <f>SUM(I128:I134)</f>
        <v>3800</v>
      </c>
      <c r="J135" s="240">
        <f>D135+H135-I135</f>
        <v>9800</v>
      </c>
      <c r="K135" s="243">
        <f>SUM(K128:K134)</f>
        <v>16500</v>
      </c>
      <c r="L135" s="243">
        <f>SUM(L128:L134)</f>
        <v>0</v>
      </c>
      <c r="M135" s="243">
        <f>+E135+K135-L135</f>
        <v>20300</v>
      </c>
      <c r="N135" s="243">
        <f>SUM(N128:N134)</f>
        <v>0</v>
      </c>
      <c r="O135" s="243"/>
      <c r="P135" s="243"/>
      <c r="Q135" s="242">
        <f>SUM(Q128:Q134)</f>
        <v>30100</v>
      </c>
      <c r="R135" s="233">
        <f>SUM(R128:R134)</f>
        <v>12839.540000000028</v>
      </c>
      <c r="S135" s="248">
        <f>SUM(S131:S134)</f>
        <v>23025.4</v>
      </c>
      <c r="T135" s="234">
        <f>SUM(T128:T134)</f>
        <v>35864.940000000031</v>
      </c>
      <c r="U135" s="36"/>
    </row>
    <row r="136" spans="2:21" ht="28.5" customHeight="1" x14ac:dyDescent="0.35">
      <c r="B136" s="53"/>
      <c r="C136" s="477"/>
      <c r="D136" s="478"/>
      <c r="E136" s="478"/>
      <c r="F136" s="478"/>
      <c r="G136" s="478"/>
      <c r="H136" s="478"/>
      <c r="I136" s="478"/>
      <c r="J136" s="478"/>
      <c r="K136" s="478"/>
      <c r="L136" s="478"/>
      <c r="M136" s="478"/>
      <c r="N136" s="478"/>
      <c r="O136" s="478"/>
      <c r="P136" s="478"/>
      <c r="Q136" s="478"/>
      <c r="R136" s="478"/>
      <c r="S136" s="478"/>
      <c r="T136" s="478"/>
      <c r="U136" s="479"/>
    </row>
    <row r="137" spans="2:21" ht="18.75" customHeight="1" thickBot="1" x14ac:dyDescent="0.4">
      <c r="B137" s="1"/>
      <c r="C137" s="474" t="s">
        <v>49</v>
      </c>
      <c r="D137" s="475"/>
      <c r="E137" s="475"/>
      <c r="F137" s="475"/>
      <c r="G137" s="475"/>
      <c r="H137" s="475"/>
      <c r="I137" s="475"/>
      <c r="J137" s="475"/>
      <c r="K137" s="475"/>
      <c r="L137" s="475"/>
      <c r="M137" s="475"/>
      <c r="N137" s="475"/>
      <c r="O137" s="475"/>
      <c r="P137" s="475"/>
      <c r="Q137" s="475"/>
      <c r="R137" s="29"/>
      <c r="S137" s="29"/>
      <c r="T137" s="29"/>
      <c r="U137" s="36"/>
    </row>
    <row r="138" spans="2:21" ht="18.75" customHeight="1" thickBot="1" x14ac:dyDescent="0.4">
      <c r="B138" s="1"/>
      <c r="C138" s="30" t="s">
        <v>50</v>
      </c>
      <c r="D138" s="70">
        <f>'[2]1) Tableau budgétaire 1'!D138</f>
        <v>85200</v>
      </c>
      <c r="E138" s="70">
        <f>E146</f>
        <v>103580</v>
      </c>
      <c r="F138" s="62">
        <f>'[3]1) Tableau budgétaire 1'!E137</f>
        <v>0</v>
      </c>
      <c r="G138" s="40">
        <f t="shared" ref="G138:G146" si="55">SUM(D138:F138)</f>
        <v>188780</v>
      </c>
      <c r="H138" s="34">
        <f>+H146</f>
        <v>85200</v>
      </c>
      <c r="I138" s="35">
        <f>+I146</f>
        <v>85200</v>
      </c>
      <c r="J138" s="258">
        <f>+D138+H138-I138</f>
        <v>85200</v>
      </c>
      <c r="K138" s="255">
        <f>+K146</f>
        <v>54260</v>
      </c>
      <c r="L138" s="255">
        <f>+L146</f>
        <v>1580</v>
      </c>
      <c r="M138" s="255">
        <f>+M146</f>
        <v>156260</v>
      </c>
      <c r="N138" s="255"/>
      <c r="O138" s="255"/>
      <c r="P138" s="255"/>
      <c r="Q138" s="256">
        <f>J138+M138</f>
        <v>241460</v>
      </c>
      <c r="R138" s="279"/>
      <c r="S138" s="272"/>
      <c r="T138" s="280"/>
      <c r="U138" s="36"/>
    </row>
    <row r="139" spans="2:21" ht="18.75" customHeight="1" x14ac:dyDescent="0.35">
      <c r="B139" s="1"/>
      <c r="C139" s="37" t="s">
        <v>17</v>
      </c>
      <c r="D139" s="71">
        <v>0</v>
      </c>
      <c r="E139" s="83">
        <v>0</v>
      </c>
      <c r="F139" s="39"/>
      <c r="G139" s="40">
        <f t="shared" si="55"/>
        <v>0</v>
      </c>
      <c r="H139" s="41"/>
      <c r="I139" s="42"/>
      <c r="J139" s="94">
        <v>0</v>
      </c>
      <c r="K139" s="238">
        <v>0</v>
      </c>
      <c r="L139" s="238">
        <v>0</v>
      </c>
      <c r="M139" s="235">
        <f t="shared" ref="M139:M145" si="56">E139+K139-L139</f>
        <v>0</v>
      </c>
      <c r="N139" s="206"/>
      <c r="O139" s="206"/>
      <c r="P139" s="206"/>
      <c r="Q139" s="247">
        <f t="shared" ref="Q139:Q145" si="57">SUM(M139+J139)</f>
        <v>0</v>
      </c>
      <c r="R139" s="249"/>
      <c r="S139" s="250"/>
      <c r="T139" s="251">
        <f t="shared" ref="T139:T145" si="58">SUM(R139:S139)</f>
        <v>0</v>
      </c>
      <c r="U139" s="36"/>
    </row>
    <row r="140" spans="2:21" ht="18.75" customHeight="1" x14ac:dyDescent="0.35">
      <c r="B140" s="1"/>
      <c r="C140" s="44" t="s">
        <v>18</v>
      </c>
      <c r="D140" s="43">
        <v>0</v>
      </c>
      <c r="E140" s="39">
        <v>0</v>
      </c>
      <c r="F140" s="39"/>
      <c r="G140" s="40">
        <f t="shared" si="55"/>
        <v>0</v>
      </c>
      <c r="H140" s="41"/>
      <c r="I140" s="42"/>
      <c r="J140" s="94">
        <v>0</v>
      </c>
      <c r="K140" s="238">
        <v>0</v>
      </c>
      <c r="L140" s="238">
        <v>0</v>
      </c>
      <c r="M140" s="235">
        <f t="shared" si="56"/>
        <v>0</v>
      </c>
      <c r="N140" s="206"/>
      <c r="O140" s="206"/>
      <c r="P140" s="206"/>
      <c r="Q140" s="247">
        <f t="shared" si="57"/>
        <v>0</v>
      </c>
      <c r="R140" s="249"/>
      <c r="S140" s="250"/>
      <c r="T140" s="251">
        <f t="shared" si="58"/>
        <v>0</v>
      </c>
      <c r="U140" s="36"/>
    </row>
    <row r="141" spans="2:21" ht="36.75" customHeight="1" x14ac:dyDescent="0.35">
      <c r="B141" s="1"/>
      <c r="C141" s="44" t="s">
        <v>19</v>
      </c>
      <c r="D141" s="43">
        <v>0</v>
      </c>
      <c r="E141" s="43">
        <v>0</v>
      </c>
      <c r="F141" s="43"/>
      <c r="G141" s="40">
        <f t="shared" si="55"/>
        <v>0</v>
      </c>
      <c r="H141" s="41"/>
      <c r="I141" s="42"/>
      <c r="J141" s="94">
        <v>0</v>
      </c>
      <c r="K141" s="238">
        <v>8000</v>
      </c>
      <c r="L141" s="238">
        <v>0</v>
      </c>
      <c r="M141" s="235">
        <f t="shared" si="56"/>
        <v>8000</v>
      </c>
      <c r="N141" s="238"/>
      <c r="O141" s="238"/>
      <c r="P141" s="238"/>
      <c r="Q141" s="247">
        <f t="shared" si="57"/>
        <v>8000</v>
      </c>
      <c r="R141" s="249">
        <f>+GETPIVOTDATA("Somme de MONTANT",MPTF3!$E$1,"PRODUIT","Produit 3.4")</f>
        <v>5917.56</v>
      </c>
      <c r="S141" s="250">
        <v>10462.94</v>
      </c>
      <c r="T141" s="251">
        <f t="shared" si="58"/>
        <v>16380.5</v>
      </c>
      <c r="U141" s="36"/>
    </row>
    <row r="142" spans="2:21" ht="39" customHeight="1" x14ac:dyDescent="0.35">
      <c r="B142" s="1"/>
      <c r="C142" s="45" t="s">
        <v>20</v>
      </c>
      <c r="D142" s="43">
        <v>0</v>
      </c>
      <c r="E142" s="43">
        <v>102000</v>
      </c>
      <c r="F142" s="43"/>
      <c r="G142" s="40">
        <f t="shared" si="55"/>
        <v>102000</v>
      </c>
      <c r="H142" s="41">
        <v>84500</v>
      </c>
      <c r="I142" s="42"/>
      <c r="J142" s="94">
        <v>84500</v>
      </c>
      <c r="K142" s="238">
        <v>44680</v>
      </c>
      <c r="L142" s="238"/>
      <c r="M142" s="235">
        <f t="shared" si="56"/>
        <v>146680</v>
      </c>
      <c r="N142" s="238"/>
      <c r="O142" s="238"/>
      <c r="P142" s="238"/>
      <c r="Q142" s="247">
        <f t="shared" si="57"/>
        <v>231180</v>
      </c>
      <c r="R142" s="249">
        <f>+MPTF4!L9</f>
        <v>69363.749999999854</v>
      </c>
      <c r="S142" s="250">
        <v>29417</v>
      </c>
      <c r="T142" s="251">
        <f t="shared" si="58"/>
        <v>98780.749999999854</v>
      </c>
      <c r="U142" s="36"/>
    </row>
    <row r="143" spans="2:21" ht="18.75" customHeight="1" x14ac:dyDescent="0.35">
      <c r="B143" s="1"/>
      <c r="C143" s="44" t="s">
        <v>21</v>
      </c>
      <c r="D143" s="43">
        <v>0</v>
      </c>
      <c r="E143" s="43">
        <v>0</v>
      </c>
      <c r="F143" s="43"/>
      <c r="G143" s="40">
        <f t="shared" si="55"/>
        <v>0</v>
      </c>
      <c r="H143" s="41"/>
      <c r="I143" s="42"/>
      <c r="J143" s="94">
        <v>0</v>
      </c>
      <c r="K143" s="239">
        <v>0</v>
      </c>
      <c r="L143" s="239">
        <v>0</v>
      </c>
      <c r="M143" s="235">
        <f t="shared" si="56"/>
        <v>0</v>
      </c>
      <c r="N143" s="238"/>
      <c r="O143" s="238"/>
      <c r="P143" s="238"/>
      <c r="Q143" s="247">
        <f t="shared" si="57"/>
        <v>0</v>
      </c>
      <c r="R143" s="249">
        <f>+GETPIVOTDATA("MONTANT",MPTF5!$G$2,"PROD","Produit 3.4")</f>
        <v>958.89</v>
      </c>
      <c r="S143" s="250"/>
      <c r="T143" s="251">
        <f t="shared" si="58"/>
        <v>958.89</v>
      </c>
      <c r="U143" s="36"/>
    </row>
    <row r="144" spans="2:21" ht="30.75" customHeight="1" x14ac:dyDescent="0.35">
      <c r="B144" s="1"/>
      <c r="C144" s="44" t="s">
        <v>22</v>
      </c>
      <c r="D144" s="43">
        <v>85200</v>
      </c>
      <c r="E144" s="43">
        <v>1580</v>
      </c>
      <c r="F144" s="43"/>
      <c r="G144" s="40">
        <f t="shared" si="55"/>
        <v>86780</v>
      </c>
      <c r="H144" s="41"/>
      <c r="I144" s="85">
        <v>85200</v>
      </c>
      <c r="J144" s="94">
        <v>0</v>
      </c>
      <c r="K144" s="239"/>
      <c r="L144" s="239">
        <v>1580</v>
      </c>
      <c r="M144" s="235">
        <f t="shared" si="56"/>
        <v>0</v>
      </c>
      <c r="N144" s="238"/>
      <c r="O144" s="238"/>
      <c r="P144" s="238"/>
      <c r="Q144" s="247">
        <f t="shared" si="57"/>
        <v>0</v>
      </c>
      <c r="R144" s="249"/>
      <c r="S144" s="250"/>
      <c r="T144" s="251">
        <f t="shared" si="58"/>
        <v>0</v>
      </c>
      <c r="U144" s="36"/>
    </row>
    <row r="145" spans="2:21" ht="30" customHeight="1" x14ac:dyDescent="0.35">
      <c r="B145" s="1"/>
      <c r="C145" s="44" t="s">
        <v>23</v>
      </c>
      <c r="D145" s="43">
        <v>0</v>
      </c>
      <c r="E145" s="43">
        <v>0</v>
      </c>
      <c r="F145" s="43"/>
      <c r="G145" s="40">
        <f t="shared" si="55"/>
        <v>0</v>
      </c>
      <c r="H145" s="41">
        <v>700</v>
      </c>
      <c r="I145" s="42"/>
      <c r="J145" s="94">
        <v>700</v>
      </c>
      <c r="K145" s="238">
        <v>1580</v>
      </c>
      <c r="L145" s="238">
        <v>0</v>
      </c>
      <c r="M145" s="235">
        <f t="shared" si="56"/>
        <v>1580</v>
      </c>
      <c r="N145" s="238"/>
      <c r="O145" s="238"/>
      <c r="P145" s="238"/>
      <c r="Q145" s="247">
        <f t="shared" si="57"/>
        <v>2280</v>
      </c>
      <c r="R145" s="249">
        <f>+GETPIVOTDATA("MONTANT",MPTF7!$H$4,"PRODUIT","Produit 3.4")</f>
        <v>140.71</v>
      </c>
      <c r="S145" s="250">
        <v>1801.36</v>
      </c>
      <c r="T145" s="251">
        <f t="shared" si="58"/>
        <v>1942.07</v>
      </c>
      <c r="U145" s="36"/>
    </row>
    <row r="146" spans="2:21" ht="31.5" customHeight="1" thickBot="1" x14ac:dyDescent="0.4">
      <c r="B146" s="1"/>
      <c r="C146" s="72" t="s">
        <v>24</v>
      </c>
      <c r="D146" s="73">
        <f>SUM(D139:D145)</f>
        <v>85200</v>
      </c>
      <c r="E146" s="73">
        <f>SUM(E139:E145)</f>
        <v>103580</v>
      </c>
      <c r="F146" s="73">
        <f>SUM(F139:F145)</f>
        <v>0</v>
      </c>
      <c r="G146" s="86">
        <f t="shared" si="55"/>
        <v>188780</v>
      </c>
      <c r="H146" s="75">
        <f>SUM(H139:H145)</f>
        <v>85200</v>
      </c>
      <c r="I146" s="76">
        <f>SUM(I139:I145)</f>
        <v>85200</v>
      </c>
      <c r="J146" s="240">
        <f>D146+H146-I146</f>
        <v>85200</v>
      </c>
      <c r="K146" s="243">
        <f>SUM(K139:K145)</f>
        <v>54260</v>
      </c>
      <c r="L146" s="243">
        <f>SUM(L139:L145)</f>
        <v>1580</v>
      </c>
      <c r="M146" s="243">
        <f>+E146+K146-L146</f>
        <v>156260</v>
      </c>
      <c r="N146" s="243">
        <f>SUM(N139:N145)</f>
        <v>0</v>
      </c>
      <c r="O146" s="243"/>
      <c r="P146" s="243"/>
      <c r="Q146" s="242">
        <f>SUM(Q139:Q145)</f>
        <v>241460</v>
      </c>
      <c r="R146" s="233">
        <f>SUM(R139:R145)</f>
        <v>76380.909999999858</v>
      </c>
      <c r="S146" s="248">
        <f>SUM(S140:S145)</f>
        <v>41681.300000000003</v>
      </c>
      <c r="T146" s="234">
        <f>SUM(T139:T145)</f>
        <v>118062.20999999986</v>
      </c>
      <c r="U146" s="77"/>
    </row>
    <row r="147" spans="2:21" ht="30.75" customHeight="1" thickBot="1" x14ac:dyDescent="0.4">
      <c r="B147" s="1"/>
      <c r="C147" s="87" t="s">
        <v>51</v>
      </c>
      <c r="D147" s="79">
        <f t="shared" ref="D147:M147" si="59">SUM(D146+D124+D113+D135)</f>
        <v>182250</v>
      </c>
      <c r="E147" s="79">
        <f t="shared" si="59"/>
        <v>112240</v>
      </c>
      <c r="F147" s="79">
        <f t="shared" si="59"/>
        <v>0</v>
      </c>
      <c r="G147" s="79">
        <f t="shared" si="59"/>
        <v>294490</v>
      </c>
      <c r="H147" s="79">
        <f t="shared" si="59"/>
        <v>141581</v>
      </c>
      <c r="I147" s="79">
        <f t="shared" si="59"/>
        <v>136215</v>
      </c>
      <c r="J147" s="79">
        <f t="shared" si="59"/>
        <v>187616</v>
      </c>
      <c r="K147" s="79">
        <f t="shared" si="59"/>
        <v>76881.16</v>
      </c>
      <c r="L147" s="79">
        <f t="shared" si="59"/>
        <v>1580</v>
      </c>
      <c r="M147" s="79">
        <f t="shared" si="59"/>
        <v>187541.16</v>
      </c>
      <c r="N147" s="79"/>
      <c r="O147" s="79"/>
      <c r="P147" s="79"/>
      <c r="Q147" s="79">
        <f>SUM(Q146+Q124+Q113+Q135)</f>
        <v>375157.16</v>
      </c>
      <c r="R147" s="79">
        <f>SUM(R146+R124+R113+R135)</f>
        <v>116587.02999999993</v>
      </c>
      <c r="S147" s="79">
        <f>SUM(S146+S124+S113+S135)</f>
        <v>75015.240000000005</v>
      </c>
      <c r="T147" s="79">
        <f>SUM(R147:S147)</f>
        <v>191602.26999999993</v>
      </c>
      <c r="U147" s="80">
        <f>(Q147*100/G147)-100</f>
        <v>27.392155930591869</v>
      </c>
    </row>
    <row r="148" spans="2:21" ht="18.75" customHeight="1" x14ac:dyDescent="0.35">
      <c r="B148" s="457" t="s">
        <v>52</v>
      </c>
      <c r="C148" s="459"/>
      <c r="D148" s="459"/>
      <c r="E148" s="459"/>
      <c r="F148" s="459"/>
      <c r="G148" s="459"/>
      <c r="H148" s="459"/>
      <c r="I148" s="459"/>
      <c r="J148" s="459"/>
      <c r="K148" s="459"/>
      <c r="L148" s="459"/>
      <c r="M148" s="459"/>
      <c r="N148" s="459"/>
      <c r="O148" s="459"/>
      <c r="P148" s="459"/>
      <c r="Q148" s="459"/>
      <c r="R148" s="459"/>
      <c r="S148" s="459"/>
      <c r="T148" s="459"/>
      <c r="U148" s="476"/>
    </row>
    <row r="149" spans="2:21" ht="18.75" customHeight="1" thickBot="1" x14ac:dyDescent="0.4">
      <c r="B149" s="1"/>
      <c r="C149" s="457" t="s">
        <v>53</v>
      </c>
      <c r="D149" s="458"/>
      <c r="E149" s="458"/>
      <c r="F149" s="458"/>
      <c r="G149" s="458"/>
      <c r="H149" s="458"/>
      <c r="I149" s="458"/>
      <c r="J149" s="458"/>
      <c r="K149" s="458"/>
      <c r="L149" s="458"/>
      <c r="M149" s="458"/>
      <c r="N149" s="458"/>
      <c r="O149" s="458"/>
      <c r="P149" s="458"/>
      <c r="Q149" s="458"/>
      <c r="R149" s="28"/>
      <c r="S149" s="28"/>
      <c r="T149" s="28"/>
      <c r="U149" s="36"/>
    </row>
    <row r="150" spans="2:21" ht="18.75" customHeight="1" thickBot="1" x14ac:dyDescent="0.4">
      <c r="B150" s="1"/>
      <c r="C150" s="30" t="s">
        <v>54</v>
      </c>
      <c r="D150" s="70">
        <f>'[2]1) Tableau budgétaire 1'!D150</f>
        <v>0</v>
      </c>
      <c r="E150" s="62">
        <f>'[3]1) Tableau budgétaire 1'!D149</f>
        <v>0</v>
      </c>
      <c r="F150" s="62">
        <f>'[3]1) Tableau budgétaire 1'!E149</f>
        <v>0</v>
      </c>
      <c r="G150" s="40">
        <f t="shared" ref="G150:G158" si="60">SUM(D150:F150)</f>
        <v>0</v>
      </c>
      <c r="H150" s="34">
        <f>+H158</f>
        <v>0</v>
      </c>
      <c r="I150" s="35">
        <f>+I158</f>
        <v>0</v>
      </c>
      <c r="J150" s="258">
        <f>+D150+H150-I150</f>
        <v>0</v>
      </c>
      <c r="K150" s="255">
        <f>+K158</f>
        <v>0</v>
      </c>
      <c r="L150" s="255">
        <f>+L158</f>
        <v>0</v>
      </c>
      <c r="M150" s="255">
        <f>+M158</f>
        <v>0</v>
      </c>
      <c r="N150" s="255"/>
      <c r="O150" s="255"/>
      <c r="P150" s="255"/>
      <c r="Q150" s="256">
        <f>J150+M150</f>
        <v>0</v>
      </c>
      <c r="R150" s="279"/>
      <c r="S150" s="272"/>
      <c r="T150" s="280"/>
      <c r="U150" s="36"/>
    </row>
    <row r="151" spans="2:21" ht="18.75" customHeight="1" x14ac:dyDescent="0.35">
      <c r="B151" s="1"/>
      <c r="C151" s="37" t="s">
        <v>17</v>
      </c>
      <c r="D151" s="71"/>
      <c r="E151" s="39"/>
      <c r="F151" s="39"/>
      <c r="G151" s="40">
        <f t="shared" si="60"/>
        <v>0</v>
      </c>
      <c r="H151" s="41"/>
      <c r="I151" s="42"/>
      <c r="J151" s="94">
        <f t="shared" ref="J151:J157" si="61">+D151+H151-I151</f>
        <v>0</v>
      </c>
      <c r="K151" s="238">
        <v>0</v>
      </c>
      <c r="L151" s="238">
        <v>0</v>
      </c>
      <c r="M151" s="235">
        <f t="shared" ref="M151:M157" si="62">E151+K151-L151</f>
        <v>0</v>
      </c>
      <c r="N151" s="206"/>
      <c r="O151" s="206"/>
      <c r="P151" s="206"/>
      <c r="Q151" s="247">
        <f t="shared" ref="Q151:Q157" si="63">SUM(H151:N151)</f>
        <v>0</v>
      </c>
      <c r="R151" s="249"/>
      <c r="S151" s="250"/>
      <c r="T151" s="251"/>
      <c r="U151" s="36"/>
    </row>
    <row r="152" spans="2:21" ht="18.75" customHeight="1" x14ac:dyDescent="0.35">
      <c r="B152" s="1"/>
      <c r="C152" s="44" t="s">
        <v>18</v>
      </c>
      <c r="D152" s="43"/>
      <c r="E152" s="39"/>
      <c r="F152" s="39"/>
      <c r="G152" s="40">
        <f t="shared" si="60"/>
        <v>0</v>
      </c>
      <c r="H152" s="41"/>
      <c r="I152" s="42"/>
      <c r="J152" s="94">
        <f t="shared" si="61"/>
        <v>0</v>
      </c>
      <c r="K152" s="238">
        <v>0</v>
      </c>
      <c r="L152" s="238">
        <v>0</v>
      </c>
      <c r="M152" s="235">
        <f t="shared" si="62"/>
        <v>0</v>
      </c>
      <c r="N152" s="206"/>
      <c r="O152" s="206"/>
      <c r="P152" s="206"/>
      <c r="Q152" s="247">
        <f t="shared" si="63"/>
        <v>0</v>
      </c>
      <c r="R152" s="249"/>
      <c r="S152" s="250"/>
      <c r="T152" s="251"/>
      <c r="U152" s="36"/>
    </row>
    <row r="153" spans="2:21" ht="18.75" customHeight="1" x14ac:dyDescent="0.35">
      <c r="B153" s="1"/>
      <c r="C153" s="44" t="s">
        <v>19</v>
      </c>
      <c r="D153" s="43"/>
      <c r="E153" s="43"/>
      <c r="F153" s="43"/>
      <c r="G153" s="40">
        <f t="shared" si="60"/>
        <v>0</v>
      </c>
      <c r="H153" s="41"/>
      <c r="I153" s="42"/>
      <c r="J153" s="94">
        <f t="shared" si="61"/>
        <v>0</v>
      </c>
      <c r="K153" s="238">
        <v>0</v>
      </c>
      <c r="L153" s="238">
        <v>0</v>
      </c>
      <c r="M153" s="235">
        <f t="shared" si="62"/>
        <v>0</v>
      </c>
      <c r="N153" s="238"/>
      <c r="O153" s="238"/>
      <c r="P153" s="238"/>
      <c r="Q153" s="247">
        <f t="shared" si="63"/>
        <v>0</v>
      </c>
      <c r="R153" s="249"/>
      <c r="S153" s="250"/>
      <c r="T153" s="251"/>
      <c r="U153" s="36"/>
    </row>
    <row r="154" spans="2:21" ht="18.75" customHeight="1" x14ac:dyDescent="0.35">
      <c r="B154" s="1"/>
      <c r="C154" s="45" t="s">
        <v>20</v>
      </c>
      <c r="D154" s="43"/>
      <c r="E154" s="43"/>
      <c r="F154" s="43"/>
      <c r="G154" s="40">
        <f t="shared" si="60"/>
        <v>0</v>
      </c>
      <c r="H154" s="41">
        <v>0</v>
      </c>
      <c r="I154" s="42"/>
      <c r="J154" s="94">
        <f t="shared" si="61"/>
        <v>0</v>
      </c>
      <c r="K154" s="238">
        <v>0</v>
      </c>
      <c r="L154" s="238">
        <v>0</v>
      </c>
      <c r="M154" s="235">
        <f t="shared" si="62"/>
        <v>0</v>
      </c>
      <c r="N154" s="238"/>
      <c r="O154" s="238"/>
      <c r="P154" s="238"/>
      <c r="Q154" s="247">
        <f t="shared" si="63"/>
        <v>0</v>
      </c>
      <c r="R154" s="249"/>
      <c r="S154" s="250"/>
      <c r="T154" s="251"/>
      <c r="U154" s="36"/>
    </row>
    <row r="155" spans="2:21" ht="18.75" customHeight="1" x14ac:dyDescent="0.35">
      <c r="B155" s="1"/>
      <c r="C155" s="44" t="s">
        <v>21</v>
      </c>
      <c r="D155" s="43"/>
      <c r="E155" s="43"/>
      <c r="F155" s="43"/>
      <c r="G155" s="40">
        <f t="shared" si="60"/>
        <v>0</v>
      </c>
      <c r="H155" s="41"/>
      <c r="I155" s="42"/>
      <c r="J155" s="94">
        <f t="shared" si="61"/>
        <v>0</v>
      </c>
      <c r="K155" s="239">
        <v>0</v>
      </c>
      <c r="L155" s="239">
        <v>0</v>
      </c>
      <c r="M155" s="235">
        <f t="shared" si="62"/>
        <v>0</v>
      </c>
      <c r="N155" s="238"/>
      <c r="O155" s="238"/>
      <c r="P155" s="238"/>
      <c r="Q155" s="247">
        <f t="shared" si="63"/>
        <v>0</v>
      </c>
      <c r="R155" s="249"/>
      <c r="S155" s="250"/>
      <c r="T155" s="251"/>
      <c r="U155" s="36"/>
    </row>
    <row r="156" spans="2:21" ht="18.75" customHeight="1" x14ac:dyDescent="0.35">
      <c r="B156" s="1"/>
      <c r="C156" s="44" t="s">
        <v>22</v>
      </c>
      <c r="D156" s="43"/>
      <c r="E156" s="43"/>
      <c r="F156" s="43"/>
      <c r="G156" s="40">
        <f t="shared" si="60"/>
        <v>0</v>
      </c>
      <c r="H156" s="41"/>
      <c r="I156" s="42"/>
      <c r="J156" s="94">
        <f t="shared" si="61"/>
        <v>0</v>
      </c>
      <c r="K156" s="239">
        <v>0</v>
      </c>
      <c r="L156" s="239">
        <v>0</v>
      </c>
      <c r="M156" s="235">
        <f t="shared" si="62"/>
        <v>0</v>
      </c>
      <c r="N156" s="238"/>
      <c r="O156" s="238"/>
      <c r="P156" s="238"/>
      <c r="Q156" s="247">
        <f t="shared" si="63"/>
        <v>0</v>
      </c>
      <c r="R156" s="249"/>
      <c r="S156" s="250"/>
      <c r="T156" s="251"/>
      <c r="U156" s="36"/>
    </row>
    <row r="157" spans="2:21" ht="18.75" customHeight="1" x14ac:dyDescent="0.35">
      <c r="B157" s="1"/>
      <c r="C157" s="44" t="s">
        <v>23</v>
      </c>
      <c r="D157" s="43"/>
      <c r="E157" s="43"/>
      <c r="F157" s="43"/>
      <c r="G157" s="40">
        <f t="shared" si="60"/>
        <v>0</v>
      </c>
      <c r="H157" s="41"/>
      <c r="I157" s="42"/>
      <c r="J157" s="94">
        <f t="shared" si="61"/>
        <v>0</v>
      </c>
      <c r="K157" s="238">
        <v>0</v>
      </c>
      <c r="L157" s="238">
        <v>0</v>
      </c>
      <c r="M157" s="235">
        <f t="shared" si="62"/>
        <v>0</v>
      </c>
      <c r="N157" s="238"/>
      <c r="O157" s="238"/>
      <c r="P157" s="238"/>
      <c r="Q157" s="247">
        <f t="shared" si="63"/>
        <v>0</v>
      </c>
      <c r="R157" s="249"/>
      <c r="S157" s="250"/>
      <c r="T157" s="251"/>
      <c r="U157" s="36"/>
    </row>
    <row r="158" spans="2:21" ht="18.75" customHeight="1" thickBot="1" x14ac:dyDescent="0.4">
      <c r="B158" s="1"/>
      <c r="C158" s="47" t="s">
        <v>24</v>
      </c>
      <c r="D158" s="81">
        <f>SUM(D151:D157)</f>
        <v>0</v>
      </c>
      <c r="E158" s="81">
        <f>SUM(E151:E157)</f>
        <v>0</v>
      </c>
      <c r="F158" s="81">
        <f>SUM(F151:F157)</f>
        <v>0</v>
      </c>
      <c r="G158" s="40">
        <f t="shared" si="60"/>
        <v>0</v>
      </c>
      <c r="H158" s="51">
        <f>SUM(H151:H157)</f>
        <v>0</v>
      </c>
      <c r="I158" s="52">
        <f>SUM(I151:I157)</f>
        <v>0</v>
      </c>
      <c r="J158" s="240">
        <f>D158+H158-I158</f>
        <v>0</v>
      </c>
      <c r="K158" s="243">
        <f>SUM(K151:K157)</f>
        <v>0</v>
      </c>
      <c r="L158" s="243">
        <f>SUM(L151:L157)</f>
        <v>0</v>
      </c>
      <c r="M158" s="243">
        <f>+E158+K158-L158</f>
        <v>0</v>
      </c>
      <c r="N158" s="243">
        <f>SUM(N151:N157)</f>
        <v>0</v>
      </c>
      <c r="O158" s="243"/>
      <c r="P158" s="243"/>
      <c r="Q158" s="242">
        <f>J158+M158</f>
        <v>0</v>
      </c>
      <c r="R158" s="233"/>
      <c r="S158" s="248"/>
      <c r="T158" s="234"/>
      <c r="U158" s="36"/>
    </row>
    <row r="159" spans="2:21" ht="18.75" customHeight="1" x14ac:dyDescent="0.35">
      <c r="B159" s="53"/>
      <c r="C159" s="477"/>
      <c r="D159" s="478"/>
      <c r="E159" s="478"/>
      <c r="F159" s="478"/>
      <c r="G159" s="478"/>
      <c r="H159" s="478"/>
      <c r="I159" s="478"/>
      <c r="J159" s="478"/>
      <c r="K159" s="478"/>
      <c r="L159" s="478"/>
      <c r="M159" s="478"/>
      <c r="N159" s="478"/>
      <c r="O159" s="478"/>
      <c r="P159" s="478"/>
      <c r="Q159" s="478"/>
      <c r="R159" s="478"/>
      <c r="S159" s="478"/>
      <c r="T159" s="478"/>
      <c r="U159" s="479"/>
    </row>
    <row r="160" spans="2:21" ht="18.75" customHeight="1" thickBot="1" x14ac:dyDescent="0.4">
      <c r="B160" s="1"/>
      <c r="C160" s="457" t="s">
        <v>55</v>
      </c>
      <c r="D160" s="458"/>
      <c r="E160" s="458"/>
      <c r="F160" s="458"/>
      <c r="G160" s="458"/>
      <c r="H160" s="458"/>
      <c r="I160" s="458"/>
      <c r="J160" s="458"/>
      <c r="K160" s="458"/>
      <c r="L160" s="458"/>
      <c r="M160" s="458"/>
      <c r="N160" s="458"/>
      <c r="O160" s="458"/>
      <c r="P160" s="458"/>
      <c r="Q160" s="458"/>
      <c r="R160" s="28"/>
      <c r="S160" s="28"/>
      <c r="T160" s="28"/>
      <c r="U160" s="36"/>
    </row>
    <row r="161" spans="2:21" ht="18.75" customHeight="1" thickBot="1" x14ac:dyDescent="0.4">
      <c r="B161" s="1"/>
      <c r="C161" s="30" t="s">
        <v>56</v>
      </c>
      <c r="D161" s="70">
        <f>'[2]1) Tableau budgétaire 1'!D160</f>
        <v>0</v>
      </c>
      <c r="E161" s="62">
        <f>'[3]1) Tableau budgétaire 1'!D159</f>
        <v>0</v>
      </c>
      <c r="F161" s="62">
        <f>'[3]1) Tableau budgétaire 1'!E159</f>
        <v>0</v>
      </c>
      <c r="G161" s="40">
        <f t="shared" ref="G161:G169" si="64">SUM(D161:F161)</f>
        <v>0</v>
      </c>
      <c r="H161" s="34">
        <f>+H169</f>
        <v>0</v>
      </c>
      <c r="I161" s="35">
        <f>+I169</f>
        <v>0</v>
      </c>
      <c r="J161" s="258">
        <f>+D161+H161-I161</f>
        <v>0</v>
      </c>
      <c r="K161" s="255">
        <f>+K169</f>
        <v>0</v>
      </c>
      <c r="L161" s="255">
        <f>+L169</f>
        <v>0</v>
      </c>
      <c r="M161" s="255">
        <f>+M169</f>
        <v>0</v>
      </c>
      <c r="N161" s="255"/>
      <c r="O161" s="255"/>
      <c r="P161" s="255"/>
      <c r="Q161" s="256">
        <f>J161+M161</f>
        <v>0</v>
      </c>
      <c r="R161" s="279"/>
      <c r="S161" s="272"/>
      <c r="T161" s="280"/>
      <c r="U161" s="36"/>
    </row>
    <row r="162" spans="2:21" ht="18.75" customHeight="1" x14ac:dyDescent="0.35">
      <c r="B162" s="1"/>
      <c r="C162" s="37" t="s">
        <v>17</v>
      </c>
      <c r="D162" s="71"/>
      <c r="E162" s="39"/>
      <c r="F162" s="39"/>
      <c r="G162" s="40">
        <f t="shared" si="64"/>
        <v>0</v>
      </c>
      <c r="H162" s="41"/>
      <c r="I162" s="42"/>
      <c r="J162" s="94">
        <f t="shared" ref="J162:J168" si="65">+D162+H162-I162</f>
        <v>0</v>
      </c>
      <c r="K162" s="238">
        <v>0</v>
      </c>
      <c r="L162" s="238">
        <v>0</v>
      </c>
      <c r="M162" s="235">
        <f t="shared" ref="M162:M168" si="66">E162+K162-L162</f>
        <v>0</v>
      </c>
      <c r="N162" s="206"/>
      <c r="O162" s="206"/>
      <c r="P162" s="206"/>
      <c r="Q162" s="247">
        <f t="shared" ref="Q162:Q168" si="67">SUM(H162:N162)</f>
        <v>0</v>
      </c>
      <c r="R162" s="249"/>
      <c r="S162" s="250"/>
      <c r="T162" s="251"/>
      <c r="U162" s="36"/>
    </row>
    <row r="163" spans="2:21" ht="18.75" customHeight="1" x14ac:dyDescent="0.35">
      <c r="B163" s="1"/>
      <c r="C163" s="44" t="s">
        <v>18</v>
      </c>
      <c r="D163" s="43"/>
      <c r="E163" s="39"/>
      <c r="F163" s="39"/>
      <c r="G163" s="40">
        <f t="shared" si="64"/>
        <v>0</v>
      </c>
      <c r="H163" s="41"/>
      <c r="I163" s="42"/>
      <c r="J163" s="94">
        <f t="shared" si="65"/>
        <v>0</v>
      </c>
      <c r="K163" s="238">
        <v>0</v>
      </c>
      <c r="L163" s="238">
        <v>0</v>
      </c>
      <c r="M163" s="235">
        <f t="shared" si="66"/>
        <v>0</v>
      </c>
      <c r="N163" s="206"/>
      <c r="O163" s="206"/>
      <c r="P163" s="206"/>
      <c r="Q163" s="247">
        <f t="shared" si="67"/>
        <v>0</v>
      </c>
      <c r="R163" s="249"/>
      <c r="S163" s="250"/>
      <c r="T163" s="251"/>
      <c r="U163" s="36"/>
    </row>
    <row r="164" spans="2:21" ht="18.75" customHeight="1" x14ac:dyDescent="0.35">
      <c r="B164" s="1"/>
      <c r="C164" s="44" t="s">
        <v>19</v>
      </c>
      <c r="D164" s="43"/>
      <c r="E164" s="43"/>
      <c r="F164" s="43"/>
      <c r="G164" s="40">
        <f t="shared" si="64"/>
        <v>0</v>
      </c>
      <c r="H164" s="41"/>
      <c r="I164" s="42"/>
      <c r="J164" s="94">
        <f t="shared" si="65"/>
        <v>0</v>
      </c>
      <c r="K164" s="238">
        <v>0</v>
      </c>
      <c r="L164" s="238">
        <v>0</v>
      </c>
      <c r="M164" s="235">
        <f t="shared" si="66"/>
        <v>0</v>
      </c>
      <c r="N164" s="238"/>
      <c r="O164" s="238"/>
      <c r="P164" s="238"/>
      <c r="Q164" s="247">
        <f t="shared" si="67"/>
        <v>0</v>
      </c>
      <c r="R164" s="249"/>
      <c r="S164" s="250"/>
      <c r="T164" s="251"/>
      <c r="U164" s="36"/>
    </row>
    <row r="165" spans="2:21" ht="18.75" customHeight="1" x14ac:dyDescent="0.35">
      <c r="B165" s="1"/>
      <c r="C165" s="45" t="s">
        <v>20</v>
      </c>
      <c r="D165" s="43"/>
      <c r="E165" s="43"/>
      <c r="F165" s="43"/>
      <c r="G165" s="40">
        <f t="shared" si="64"/>
        <v>0</v>
      </c>
      <c r="H165" s="41">
        <v>0</v>
      </c>
      <c r="I165" s="42"/>
      <c r="J165" s="94">
        <f t="shared" si="65"/>
        <v>0</v>
      </c>
      <c r="K165" s="238">
        <v>0</v>
      </c>
      <c r="L165" s="238">
        <v>0</v>
      </c>
      <c r="M165" s="235">
        <f t="shared" si="66"/>
        <v>0</v>
      </c>
      <c r="N165" s="238"/>
      <c r="O165" s="238"/>
      <c r="P165" s="238"/>
      <c r="Q165" s="247">
        <f t="shared" si="67"/>
        <v>0</v>
      </c>
      <c r="R165" s="249"/>
      <c r="S165" s="250"/>
      <c r="T165" s="251"/>
      <c r="U165" s="36"/>
    </row>
    <row r="166" spans="2:21" ht="18.75" customHeight="1" x14ac:dyDescent="0.35">
      <c r="B166" s="1"/>
      <c r="C166" s="44" t="s">
        <v>21</v>
      </c>
      <c r="D166" s="43"/>
      <c r="E166" s="43"/>
      <c r="F166" s="43"/>
      <c r="G166" s="40">
        <f t="shared" si="64"/>
        <v>0</v>
      </c>
      <c r="H166" s="41"/>
      <c r="I166" s="42"/>
      <c r="J166" s="94">
        <f t="shared" si="65"/>
        <v>0</v>
      </c>
      <c r="K166" s="239">
        <v>0</v>
      </c>
      <c r="L166" s="239">
        <v>0</v>
      </c>
      <c r="M166" s="235">
        <f t="shared" si="66"/>
        <v>0</v>
      </c>
      <c r="N166" s="238"/>
      <c r="O166" s="238"/>
      <c r="P166" s="238"/>
      <c r="Q166" s="247">
        <f t="shared" si="67"/>
        <v>0</v>
      </c>
      <c r="R166" s="249"/>
      <c r="S166" s="250"/>
      <c r="T166" s="251"/>
      <c r="U166" s="36"/>
    </row>
    <row r="167" spans="2:21" ht="18.75" customHeight="1" x14ac:dyDescent="0.35">
      <c r="B167" s="1"/>
      <c r="C167" s="44" t="s">
        <v>22</v>
      </c>
      <c r="D167" s="43"/>
      <c r="E167" s="43"/>
      <c r="F167" s="43"/>
      <c r="G167" s="40">
        <f t="shared" si="64"/>
        <v>0</v>
      </c>
      <c r="H167" s="41"/>
      <c r="I167" s="42"/>
      <c r="J167" s="94">
        <f t="shared" si="65"/>
        <v>0</v>
      </c>
      <c r="K167" s="239">
        <v>0</v>
      </c>
      <c r="L167" s="239">
        <v>0</v>
      </c>
      <c r="M167" s="235">
        <f t="shared" si="66"/>
        <v>0</v>
      </c>
      <c r="N167" s="238"/>
      <c r="O167" s="238"/>
      <c r="P167" s="238"/>
      <c r="Q167" s="247">
        <f t="shared" si="67"/>
        <v>0</v>
      </c>
      <c r="R167" s="249"/>
      <c r="S167" s="250"/>
      <c r="T167" s="251"/>
      <c r="U167" s="36"/>
    </row>
    <row r="168" spans="2:21" ht="18.75" customHeight="1" x14ac:dyDescent="0.35">
      <c r="B168" s="1"/>
      <c r="C168" s="44" t="s">
        <v>23</v>
      </c>
      <c r="D168" s="43"/>
      <c r="E168" s="43"/>
      <c r="F168" s="43"/>
      <c r="G168" s="40">
        <f t="shared" si="64"/>
        <v>0</v>
      </c>
      <c r="H168" s="41"/>
      <c r="I168" s="42"/>
      <c r="J168" s="94">
        <f t="shared" si="65"/>
        <v>0</v>
      </c>
      <c r="K168" s="238">
        <v>0</v>
      </c>
      <c r="L168" s="238">
        <v>0</v>
      </c>
      <c r="M168" s="235">
        <f t="shared" si="66"/>
        <v>0</v>
      </c>
      <c r="N168" s="238"/>
      <c r="O168" s="238"/>
      <c r="P168" s="238"/>
      <c r="Q168" s="247">
        <f t="shared" si="67"/>
        <v>0</v>
      </c>
      <c r="R168" s="249"/>
      <c r="S168" s="250"/>
      <c r="T168" s="251"/>
      <c r="U168" s="36"/>
    </row>
    <row r="169" spans="2:21" ht="18.75" customHeight="1" thickBot="1" x14ac:dyDescent="0.4">
      <c r="B169" s="1"/>
      <c r="C169" s="47" t="s">
        <v>24</v>
      </c>
      <c r="D169" s="81">
        <f>SUM(D162:D168)</f>
        <v>0</v>
      </c>
      <c r="E169" s="81">
        <f>SUM(E162:E168)</f>
        <v>0</v>
      </c>
      <c r="F169" s="81">
        <f>SUM(F162:F168)</f>
        <v>0</v>
      </c>
      <c r="G169" s="40">
        <f t="shared" si="64"/>
        <v>0</v>
      </c>
      <c r="H169" s="51">
        <f>SUM(H162:H168)</f>
        <v>0</v>
      </c>
      <c r="I169" s="52">
        <f>SUM(I162:I168)</f>
        <v>0</v>
      </c>
      <c r="J169" s="240">
        <f>D169+H169-I169</f>
        <v>0</v>
      </c>
      <c r="K169" s="243">
        <f>SUM(K162:K168)</f>
        <v>0</v>
      </c>
      <c r="L169" s="243">
        <f>SUM(L162:L168)</f>
        <v>0</v>
      </c>
      <c r="M169" s="243">
        <f>+E169+K169-L169</f>
        <v>0</v>
      </c>
      <c r="N169" s="243">
        <f>SUM(N162:N168)</f>
        <v>0</v>
      </c>
      <c r="O169" s="243"/>
      <c r="P169" s="243"/>
      <c r="Q169" s="242">
        <f>J169+M169</f>
        <v>0</v>
      </c>
      <c r="R169" s="233"/>
      <c r="S169" s="248"/>
      <c r="T169" s="234"/>
      <c r="U169" s="36"/>
    </row>
    <row r="170" spans="2:21" ht="18.75" customHeight="1" x14ac:dyDescent="0.35">
      <c r="B170" s="53"/>
      <c r="C170" s="477"/>
      <c r="D170" s="478"/>
      <c r="E170" s="478"/>
      <c r="F170" s="478"/>
      <c r="G170" s="478"/>
      <c r="H170" s="478"/>
      <c r="I170" s="478"/>
      <c r="J170" s="478"/>
      <c r="K170" s="478"/>
      <c r="L170" s="478"/>
      <c r="M170" s="478"/>
      <c r="N170" s="478"/>
      <c r="O170" s="478"/>
      <c r="P170" s="478"/>
      <c r="Q170" s="478"/>
      <c r="R170" s="478"/>
      <c r="S170" s="478"/>
      <c r="T170" s="478"/>
      <c r="U170" s="479"/>
    </row>
    <row r="171" spans="2:21" ht="18.75" customHeight="1" thickBot="1" x14ac:dyDescent="0.4">
      <c r="B171" s="1"/>
      <c r="C171" s="457" t="s">
        <v>57</v>
      </c>
      <c r="D171" s="458"/>
      <c r="E171" s="458"/>
      <c r="F171" s="458"/>
      <c r="G171" s="458"/>
      <c r="H171" s="458"/>
      <c r="I171" s="458"/>
      <c r="J171" s="458"/>
      <c r="K171" s="458"/>
      <c r="L171" s="458"/>
      <c r="M171" s="458"/>
      <c r="N171" s="458"/>
      <c r="O171" s="458"/>
      <c r="P171" s="458"/>
      <c r="Q171" s="458"/>
      <c r="R171" s="28"/>
      <c r="S171" s="28"/>
      <c r="T171" s="28"/>
      <c r="U171" s="36"/>
    </row>
    <row r="172" spans="2:21" ht="18.75" customHeight="1" thickBot="1" x14ac:dyDescent="0.4">
      <c r="B172" s="1"/>
      <c r="C172" s="30" t="s">
        <v>58</v>
      </c>
      <c r="D172" s="70">
        <f>'[2]1) Tableau budgétaire 1'!D170</f>
        <v>0</v>
      </c>
      <c r="E172" s="62">
        <f>'[3]1) Tableau budgétaire 1'!D169</f>
        <v>0</v>
      </c>
      <c r="F172" s="62">
        <f>'[3]1) Tableau budgétaire 1'!E169</f>
        <v>0</v>
      </c>
      <c r="G172" s="40">
        <f t="shared" ref="G172:G180" si="68">SUM(D172:F172)</f>
        <v>0</v>
      </c>
      <c r="H172" s="34">
        <f>+H180</f>
        <v>0</v>
      </c>
      <c r="I172" s="35">
        <f>+I180</f>
        <v>0</v>
      </c>
      <c r="J172" s="258">
        <f>+D172+H172-I172</f>
        <v>0</v>
      </c>
      <c r="K172" s="255">
        <f>+K180</f>
        <v>0</v>
      </c>
      <c r="L172" s="255">
        <f>+L180</f>
        <v>0</v>
      </c>
      <c r="M172" s="255">
        <f>+M180</f>
        <v>0</v>
      </c>
      <c r="N172" s="255"/>
      <c r="O172" s="255"/>
      <c r="P172" s="255"/>
      <c r="Q172" s="256">
        <f>J172+M172</f>
        <v>0</v>
      </c>
      <c r="R172" s="279"/>
      <c r="S172" s="272"/>
      <c r="T172" s="280"/>
      <c r="U172" s="36"/>
    </row>
    <row r="173" spans="2:21" ht="18.75" customHeight="1" x14ac:dyDescent="0.35">
      <c r="B173" s="1"/>
      <c r="C173" s="37" t="s">
        <v>17</v>
      </c>
      <c r="D173" s="71"/>
      <c r="E173" s="39"/>
      <c r="F173" s="39"/>
      <c r="G173" s="40">
        <f t="shared" si="68"/>
        <v>0</v>
      </c>
      <c r="H173" s="41"/>
      <c r="I173" s="42"/>
      <c r="J173" s="94">
        <f t="shared" ref="J173:J179" si="69">+D173+H173-I173</f>
        <v>0</v>
      </c>
      <c r="K173" s="238">
        <v>0</v>
      </c>
      <c r="L173" s="238">
        <v>0</v>
      </c>
      <c r="M173" s="235">
        <f t="shared" ref="M173:M179" si="70">E173+K173-L173</f>
        <v>0</v>
      </c>
      <c r="N173" s="206"/>
      <c r="O173" s="206"/>
      <c r="P173" s="206"/>
      <c r="Q173" s="247">
        <f t="shared" ref="Q173:Q179" si="71">SUM(H173:N173)</f>
        <v>0</v>
      </c>
      <c r="R173" s="249"/>
      <c r="S173" s="250"/>
      <c r="T173" s="251"/>
      <c r="U173" s="36"/>
    </row>
    <row r="174" spans="2:21" ht="18.75" customHeight="1" x14ac:dyDescent="0.35">
      <c r="B174" s="1"/>
      <c r="C174" s="44" t="s">
        <v>18</v>
      </c>
      <c r="D174" s="43"/>
      <c r="E174" s="39"/>
      <c r="F174" s="39"/>
      <c r="G174" s="40">
        <f t="shared" si="68"/>
        <v>0</v>
      </c>
      <c r="H174" s="41"/>
      <c r="I174" s="42"/>
      <c r="J174" s="94">
        <f t="shared" si="69"/>
        <v>0</v>
      </c>
      <c r="K174" s="238">
        <v>0</v>
      </c>
      <c r="L174" s="238">
        <v>0</v>
      </c>
      <c r="M174" s="235">
        <f t="shared" si="70"/>
        <v>0</v>
      </c>
      <c r="N174" s="206"/>
      <c r="O174" s="206"/>
      <c r="P174" s="206"/>
      <c r="Q174" s="247">
        <f t="shared" si="71"/>
        <v>0</v>
      </c>
      <c r="R174" s="249"/>
      <c r="S174" s="250"/>
      <c r="T174" s="251"/>
      <c r="U174" s="36"/>
    </row>
    <row r="175" spans="2:21" ht="18.75" customHeight="1" x14ac:dyDescent="0.35">
      <c r="B175" s="1"/>
      <c r="C175" s="44" t="s">
        <v>19</v>
      </c>
      <c r="D175" s="43"/>
      <c r="E175" s="43"/>
      <c r="F175" s="43"/>
      <c r="G175" s="40">
        <f t="shared" si="68"/>
        <v>0</v>
      </c>
      <c r="H175" s="41"/>
      <c r="I175" s="42"/>
      <c r="J175" s="94">
        <f t="shared" si="69"/>
        <v>0</v>
      </c>
      <c r="K175" s="238">
        <v>0</v>
      </c>
      <c r="L175" s="238">
        <v>0</v>
      </c>
      <c r="M175" s="235">
        <f t="shared" si="70"/>
        <v>0</v>
      </c>
      <c r="N175" s="238"/>
      <c r="O175" s="238"/>
      <c r="P175" s="238"/>
      <c r="Q175" s="247">
        <f t="shared" si="71"/>
        <v>0</v>
      </c>
      <c r="R175" s="249"/>
      <c r="S175" s="250"/>
      <c r="T175" s="251"/>
      <c r="U175" s="36"/>
    </row>
    <row r="176" spans="2:21" ht="18.75" customHeight="1" x14ac:dyDescent="0.35">
      <c r="B176" s="1"/>
      <c r="C176" s="45" t="s">
        <v>20</v>
      </c>
      <c r="D176" s="43"/>
      <c r="E176" s="43"/>
      <c r="F176" s="43"/>
      <c r="G176" s="40">
        <f t="shared" si="68"/>
        <v>0</v>
      </c>
      <c r="H176" s="41">
        <v>0</v>
      </c>
      <c r="I176" s="42"/>
      <c r="J176" s="94">
        <f t="shared" si="69"/>
        <v>0</v>
      </c>
      <c r="K176" s="238">
        <v>0</v>
      </c>
      <c r="L176" s="238">
        <v>0</v>
      </c>
      <c r="M176" s="235">
        <f t="shared" si="70"/>
        <v>0</v>
      </c>
      <c r="N176" s="238"/>
      <c r="O176" s="238"/>
      <c r="P176" s="238"/>
      <c r="Q176" s="247">
        <f t="shared" si="71"/>
        <v>0</v>
      </c>
      <c r="R176" s="249"/>
      <c r="S176" s="250"/>
      <c r="T176" s="251"/>
      <c r="U176" s="36"/>
    </row>
    <row r="177" spans="2:21" ht="18.75" customHeight="1" x14ac:dyDescent="0.35">
      <c r="B177" s="1"/>
      <c r="C177" s="44" t="s">
        <v>21</v>
      </c>
      <c r="D177" s="43"/>
      <c r="E177" s="43"/>
      <c r="F177" s="43"/>
      <c r="G177" s="40">
        <f t="shared" si="68"/>
        <v>0</v>
      </c>
      <c r="H177" s="41"/>
      <c r="I177" s="42"/>
      <c r="J177" s="94">
        <f t="shared" si="69"/>
        <v>0</v>
      </c>
      <c r="K177" s="239">
        <v>0</v>
      </c>
      <c r="L177" s="239">
        <v>0</v>
      </c>
      <c r="M177" s="235">
        <f t="shared" si="70"/>
        <v>0</v>
      </c>
      <c r="N177" s="238"/>
      <c r="O177" s="238"/>
      <c r="P177" s="238"/>
      <c r="Q177" s="247">
        <f t="shared" si="71"/>
        <v>0</v>
      </c>
      <c r="R177" s="249"/>
      <c r="S177" s="250"/>
      <c r="T177" s="251"/>
      <c r="U177" s="36"/>
    </row>
    <row r="178" spans="2:21" ht="18.75" customHeight="1" x14ac:dyDescent="0.35">
      <c r="B178" s="1"/>
      <c r="C178" s="44" t="s">
        <v>22</v>
      </c>
      <c r="D178" s="43"/>
      <c r="E178" s="43"/>
      <c r="F178" s="43"/>
      <c r="G178" s="40">
        <f t="shared" si="68"/>
        <v>0</v>
      </c>
      <c r="H178" s="41"/>
      <c r="I178" s="42"/>
      <c r="J178" s="94">
        <f t="shared" si="69"/>
        <v>0</v>
      </c>
      <c r="K178" s="239">
        <v>0</v>
      </c>
      <c r="L178" s="239">
        <v>0</v>
      </c>
      <c r="M178" s="235">
        <f t="shared" si="70"/>
        <v>0</v>
      </c>
      <c r="N178" s="238"/>
      <c r="O178" s="238"/>
      <c r="P178" s="238"/>
      <c r="Q178" s="247">
        <f t="shared" si="71"/>
        <v>0</v>
      </c>
      <c r="R178" s="249"/>
      <c r="S178" s="250"/>
      <c r="T178" s="251"/>
      <c r="U178" s="36"/>
    </row>
    <row r="179" spans="2:21" ht="18.75" customHeight="1" x14ac:dyDescent="0.35">
      <c r="B179" s="1"/>
      <c r="C179" s="44" t="s">
        <v>23</v>
      </c>
      <c r="D179" s="43"/>
      <c r="E179" s="43"/>
      <c r="F179" s="43"/>
      <c r="G179" s="40">
        <f t="shared" si="68"/>
        <v>0</v>
      </c>
      <c r="H179" s="41"/>
      <c r="I179" s="42"/>
      <c r="J179" s="94">
        <f t="shared" si="69"/>
        <v>0</v>
      </c>
      <c r="K179" s="238">
        <v>0</v>
      </c>
      <c r="L179" s="238">
        <v>0</v>
      </c>
      <c r="M179" s="235">
        <f t="shared" si="70"/>
        <v>0</v>
      </c>
      <c r="N179" s="238"/>
      <c r="O179" s="238"/>
      <c r="P179" s="238"/>
      <c r="Q179" s="247">
        <f t="shared" si="71"/>
        <v>0</v>
      </c>
      <c r="R179" s="249"/>
      <c r="S179" s="250"/>
      <c r="T179" s="251"/>
      <c r="U179" s="36"/>
    </row>
    <row r="180" spans="2:21" ht="18.75" customHeight="1" thickBot="1" x14ac:dyDescent="0.4">
      <c r="B180" s="1"/>
      <c r="C180" s="47" t="s">
        <v>24</v>
      </c>
      <c r="D180" s="81">
        <f>SUM(D173:D179)</f>
        <v>0</v>
      </c>
      <c r="E180" s="81">
        <f>SUM(E173:E179)</f>
        <v>0</v>
      </c>
      <c r="F180" s="81">
        <f>SUM(F173:F179)</f>
        <v>0</v>
      </c>
      <c r="G180" s="40">
        <f t="shared" si="68"/>
        <v>0</v>
      </c>
      <c r="H180" s="51">
        <f>SUM(H173:H179)</f>
        <v>0</v>
      </c>
      <c r="I180" s="52">
        <f>SUM(I173:I179)</f>
        <v>0</v>
      </c>
      <c r="J180" s="240">
        <f>D180+H180-I180</f>
        <v>0</v>
      </c>
      <c r="K180" s="243">
        <f>SUM(K173:K179)</f>
        <v>0</v>
      </c>
      <c r="L180" s="243">
        <f>SUM(L173:L179)</f>
        <v>0</v>
      </c>
      <c r="M180" s="243">
        <f>+E180+K180-L180</f>
        <v>0</v>
      </c>
      <c r="N180" s="243">
        <f>SUM(N173:N179)</f>
        <v>0</v>
      </c>
      <c r="O180" s="243"/>
      <c r="P180" s="243"/>
      <c r="Q180" s="242">
        <f>J180+M180</f>
        <v>0</v>
      </c>
      <c r="R180" s="233"/>
      <c r="S180" s="248"/>
      <c r="T180" s="234"/>
      <c r="U180" s="36"/>
    </row>
    <row r="181" spans="2:21" ht="18.75" customHeight="1" x14ac:dyDescent="0.35">
      <c r="B181" s="53"/>
      <c r="C181" s="477"/>
      <c r="D181" s="478"/>
      <c r="E181" s="478"/>
      <c r="F181" s="478"/>
      <c r="G181" s="478"/>
      <c r="H181" s="478"/>
      <c r="I181" s="478"/>
      <c r="J181" s="478"/>
      <c r="K181" s="478"/>
      <c r="L181" s="478"/>
      <c r="M181" s="478"/>
      <c r="N181" s="478"/>
      <c r="O181" s="478"/>
      <c r="P181" s="478"/>
      <c r="Q181" s="478"/>
      <c r="R181" s="478"/>
      <c r="S181" s="478"/>
      <c r="T181" s="478"/>
      <c r="U181" s="479"/>
    </row>
    <row r="182" spans="2:21" ht="18.75" customHeight="1" thickBot="1" x14ac:dyDescent="0.4">
      <c r="B182" s="1"/>
      <c r="C182" s="457" t="s">
        <v>59</v>
      </c>
      <c r="D182" s="458"/>
      <c r="E182" s="458"/>
      <c r="F182" s="458"/>
      <c r="G182" s="458"/>
      <c r="H182" s="458"/>
      <c r="I182" s="458"/>
      <c r="J182" s="458"/>
      <c r="K182" s="458"/>
      <c r="L182" s="458"/>
      <c r="M182" s="458"/>
      <c r="N182" s="458"/>
      <c r="O182" s="458"/>
      <c r="P182" s="458"/>
      <c r="Q182" s="458"/>
      <c r="R182" s="28"/>
      <c r="S182" s="28"/>
      <c r="T182" s="28"/>
      <c r="U182" s="36"/>
    </row>
    <row r="183" spans="2:21" ht="18.75" customHeight="1" thickBot="1" x14ac:dyDescent="0.4">
      <c r="B183" s="1"/>
      <c r="C183" s="30" t="s">
        <v>60</v>
      </c>
      <c r="D183" s="70">
        <f>'[2]1) Tableau budgétaire 1'!D180</f>
        <v>0</v>
      </c>
      <c r="E183" s="62">
        <f>'[3]1) Tableau budgétaire 1'!D179</f>
        <v>0</v>
      </c>
      <c r="F183" s="62">
        <f>'[3]1) Tableau budgétaire 1'!E179</f>
        <v>0</v>
      </c>
      <c r="G183" s="40">
        <f t="shared" ref="G183:G191" si="72">SUM(D183:F183)</f>
        <v>0</v>
      </c>
      <c r="H183" s="34">
        <f>+H191</f>
        <v>0</v>
      </c>
      <c r="I183" s="35">
        <f>+I191</f>
        <v>0</v>
      </c>
      <c r="J183" s="258">
        <f>+D183+H183-I183</f>
        <v>0</v>
      </c>
      <c r="K183" s="255">
        <f>+K191</f>
        <v>0</v>
      </c>
      <c r="L183" s="255">
        <f>+L191</f>
        <v>0</v>
      </c>
      <c r="M183" s="255">
        <f>+M191</f>
        <v>0</v>
      </c>
      <c r="N183" s="255"/>
      <c r="O183" s="255"/>
      <c r="P183" s="255"/>
      <c r="Q183" s="256">
        <f>J183+M183</f>
        <v>0</v>
      </c>
      <c r="R183" s="279"/>
      <c r="S183" s="272"/>
      <c r="T183" s="280"/>
      <c r="U183" s="36"/>
    </row>
    <row r="184" spans="2:21" ht="18.75" customHeight="1" x14ac:dyDescent="0.35">
      <c r="B184" s="1"/>
      <c r="C184" s="37" t="s">
        <v>17</v>
      </c>
      <c r="D184" s="71"/>
      <c r="E184" s="39"/>
      <c r="F184" s="39"/>
      <c r="G184" s="40">
        <f t="shared" si="72"/>
        <v>0</v>
      </c>
      <c r="H184" s="41"/>
      <c r="I184" s="42"/>
      <c r="J184" s="94">
        <f t="shared" ref="J184:J190" si="73">+D184+H184-I184</f>
        <v>0</v>
      </c>
      <c r="K184" s="238">
        <v>0</v>
      </c>
      <c r="L184" s="238">
        <v>0</v>
      </c>
      <c r="M184" s="235">
        <f t="shared" ref="M184:M190" si="74">E184+K184-L184</f>
        <v>0</v>
      </c>
      <c r="N184" s="206"/>
      <c r="O184" s="206"/>
      <c r="P184" s="206"/>
      <c r="Q184" s="247">
        <f t="shared" ref="Q184:Q190" si="75">SUM(H184:N184)</f>
        <v>0</v>
      </c>
      <c r="R184" s="249"/>
      <c r="S184" s="250"/>
      <c r="T184" s="251"/>
      <c r="U184" s="36"/>
    </row>
    <row r="185" spans="2:21" ht="18.75" customHeight="1" x14ac:dyDescent="0.35">
      <c r="B185" s="1"/>
      <c r="C185" s="44" t="s">
        <v>18</v>
      </c>
      <c r="D185" s="43"/>
      <c r="E185" s="39"/>
      <c r="F185" s="39"/>
      <c r="G185" s="40">
        <f t="shared" si="72"/>
        <v>0</v>
      </c>
      <c r="H185" s="41"/>
      <c r="I185" s="42"/>
      <c r="J185" s="94">
        <f t="shared" si="73"/>
        <v>0</v>
      </c>
      <c r="K185" s="238">
        <v>0</v>
      </c>
      <c r="L185" s="238">
        <v>0</v>
      </c>
      <c r="M185" s="235">
        <f t="shared" si="74"/>
        <v>0</v>
      </c>
      <c r="N185" s="206"/>
      <c r="O185" s="206"/>
      <c r="P185" s="206"/>
      <c r="Q185" s="247">
        <f t="shared" si="75"/>
        <v>0</v>
      </c>
      <c r="R185" s="249"/>
      <c r="S185" s="250"/>
      <c r="T185" s="251"/>
      <c r="U185" s="36"/>
    </row>
    <row r="186" spans="2:21" ht="18.75" customHeight="1" x14ac:dyDescent="0.35">
      <c r="B186" s="1"/>
      <c r="C186" s="44" t="s">
        <v>19</v>
      </c>
      <c r="D186" s="43"/>
      <c r="E186" s="43"/>
      <c r="F186" s="43"/>
      <c r="G186" s="40">
        <f t="shared" si="72"/>
        <v>0</v>
      </c>
      <c r="H186" s="41"/>
      <c r="I186" s="42"/>
      <c r="J186" s="94">
        <f t="shared" si="73"/>
        <v>0</v>
      </c>
      <c r="K186" s="238">
        <v>0</v>
      </c>
      <c r="L186" s="238">
        <v>0</v>
      </c>
      <c r="M186" s="235">
        <f t="shared" si="74"/>
        <v>0</v>
      </c>
      <c r="N186" s="238"/>
      <c r="O186" s="238"/>
      <c r="P186" s="238"/>
      <c r="Q186" s="247">
        <f t="shared" si="75"/>
        <v>0</v>
      </c>
      <c r="R186" s="249"/>
      <c r="S186" s="250"/>
      <c r="T186" s="251"/>
      <c r="U186" s="36"/>
    </row>
    <row r="187" spans="2:21" ht="18.75" customHeight="1" x14ac:dyDescent="0.35">
      <c r="B187" s="1"/>
      <c r="C187" s="45" t="s">
        <v>20</v>
      </c>
      <c r="D187" s="43"/>
      <c r="E187" s="43"/>
      <c r="F187" s="43"/>
      <c r="G187" s="40">
        <f t="shared" si="72"/>
        <v>0</v>
      </c>
      <c r="H187" s="41">
        <v>0</v>
      </c>
      <c r="I187" s="42"/>
      <c r="J187" s="94">
        <f t="shared" si="73"/>
        <v>0</v>
      </c>
      <c r="K187" s="238">
        <v>0</v>
      </c>
      <c r="L187" s="238">
        <v>0</v>
      </c>
      <c r="M187" s="235">
        <f t="shared" si="74"/>
        <v>0</v>
      </c>
      <c r="N187" s="238"/>
      <c r="O187" s="238"/>
      <c r="P187" s="238"/>
      <c r="Q187" s="247">
        <f t="shared" si="75"/>
        <v>0</v>
      </c>
      <c r="R187" s="249"/>
      <c r="S187" s="250"/>
      <c r="T187" s="251"/>
      <c r="U187" s="36"/>
    </row>
    <row r="188" spans="2:21" ht="18.75" customHeight="1" x14ac:dyDescent="0.35">
      <c r="B188" s="1"/>
      <c r="C188" s="44" t="s">
        <v>21</v>
      </c>
      <c r="D188" s="43"/>
      <c r="E188" s="43"/>
      <c r="F188" s="43"/>
      <c r="G188" s="40">
        <f t="shared" si="72"/>
        <v>0</v>
      </c>
      <c r="H188" s="41"/>
      <c r="I188" s="42"/>
      <c r="J188" s="94">
        <f t="shared" si="73"/>
        <v>0</v>
      </c>
      <c r="K188" s="239">
        <v>0</v>
      </c>
      <c r="L188" s="239">
        <v>0</v>
      </c>
      <c r="M188" s="235">
        <f t="shared" si="74"/>
        <v>0</v>
      </c>
      <c r="N188" s="238"/>
      <c r="O188" s="238"/>
      <c r="P188" s="238"/>
      <c r="Q188" s="247">
        <f t="shared" si="75"/>
        <v>0</v>
      </c>
      <c r="R188" s="249"/>
      <c r="S188" s="250"/>
      <c r="T188" s="251"/>
      <c r="U188" s="36"/>
    </row>
    <row r="189" spans="2:21" ht="18.75" customHeight="1" x14ac:dyDescent="0.35">
      <c r="B189" s="1"/>
      <c r="C189" s="44" t="s">
        <v>22</v>
      </c>
      <c r="D189" s="43"/>
      <c r="E189" s="43"/>
      <c r="F189" s="43"/>
      <c r="G189" s="40">
        <f t="shared" si="72"/>
        <v>0</v>
      </c>
      <c r="H189" s="41"/>
      <c r="I189" s="42"/>
      <c r="J189" s="94">
        <f t="shared" si="73"/>
        <v>0</v>
      </c>
      <c r="K189" s="239">
        <v>0</v>
      </c>
      <c r="L189" s="239">
        <v>0</v>
      </c>
      <c r="M189" s="235">
        <f t="shared" si="74"/>
        <v>0</v>
      </c>
      <c r="N189" s="238"/>
      <c r="O189" s="238"/>
      <c r="P189" s="238"/>
      <c r="Q189" s="247">
        <f t="shared" si="75"/>
        <v>0</v>
      </c>
      <c r="R189" s="249"/>
      <c r="S189" s="250"/>
      <c r="T189" s="251"/>
      <c r="U189" s="36"/>
    </row>
    <row r="190" spans="2:21" ht="18.75" customHeight="1" x14ac:dyDescent="0.35">
      <c r="B190" s="1"/>
      <c r="C190" s="44" t="s">
        <v>23</v>
      </c>
      <c r="D190" s="43"/>
      <c r="E190" s="43"/>
      <c r="F190" s="43"/>
      <c r="G190" s="40">
        <f t="shared" si="72"/>
        <v>0</v>
      </c>
      <c r="H190" s="41"/>
      <c r="I190" s="42"/>
      <c r="J190" s="94">
        <f t="shared" si="73"/>
        <v>0</v>
      </c>
      <c r="K190" s="238">
        <v>0</v>
      </c>
      <c r="L190" s="238">
        <v>0</v>
      </c>
      <c r="M190" s="235">
        <f t="shared" si="74"/>
        <v>0</v>
      </c>
      <c r="N190" s="238"/>
      <c r="O190" s="238"/>
      <c r="P190" s="238"/>
      <c r="Q190" s="247">
        <f t="shared" si="75"/>
        <v>0</v>
      </c>
      <c r="R190" s="249"/>
      <c r="S190" s="250"/>
      <c r="T190" s="251"/>
      <c r="U190" s="36"/>
    </row>
    <row r="191" spans="2:21" ht="18.75" customHeight="1" thickBot="1" x14ac:dyDescent="0.4">
      <c r="B191" s="1"/>
      <c r="C191" s="47" t="s">
        <v>24</v>
      </c>
      <c r="D191" s="81">
        <f>SUM(D184:D190)</f>
        <v>0</v>
      </c>
      <c r="E191" s="81">
        <f>SUM(E184:E190)</f>
        <v>0</v>
      </c>
      <c r="F191" s="81">
        <f>SUM(F184:F190)</f>
        <v>0</v>
      </c>
      <c r="G191" s="40">
        <f t="shared" si="72"/>
        <v>0</v>
      </c>
      <c r="H191" s="51">
        <f>SUM(H184:H190)</f>
        <v>0</v>
      </c>
      <c r="I191" s="52">
        <f>SUM(I184:I190)</f>
        <v>0</v>
      </c>
      <c r="J191" s="240">
        <f>D191+H191-I191</f>
        <v>0</v>
      </c>
      <c r="K191" s="243">
        <f>SUM(K184:K190)</f>
        <v>0</v>
      </c>
      <c r="L191" s="243">
        <f>SUM(L184:L190)</f>
        <v>0</v>
      </c>
      <c r="M191" s="243">
        <f>+E191+K191-L191</f>
        <v>0</v>
      </c>
      <c r="N191" s="243">
        <f>SUM(N184:N190)</f>
        <v>0</v>
      </c>
      <c r="O191" s="243"/>
      <c r="P191" s="243"/>
      <c r="Q191" s="242">
        <f>J191+M191</f>
        <v>0</v>
      </c>
      <c r="R191" s="233"/>
      <c r="S191" s="248"/>
      <c r="T191" s="234"/>
      <c r="U191" s="36"/>
    </row>
    <row r="192" spans="2:21" ht="18.75" customHeight="1" x14ac:dyDescent="0.35">
      <c r="B192" s="1"/>
      <c r="C192" s="480"/>
      <c r="D192" s="480"/>
      <c r="E192" s="480"/>
      <c r="F192" s="480"/>
      <c r="G192" s="480"/>
      <c r="H192" s="480"/>
      <c r="I192" s="480"/>
      <c r="J192" s="480"/>
      <c r="K192" s="480"/>
      <c r="L192" s="480"/>
      <c r="M192" s="480"/>
      <c r="N192" s="480"/>
      <c r="O192" s="480"/>
      <c r="P192" s="480"/>
      <c r="Q192" s="480"/>
      <c r="R192" s="480"/>
      <c r="S192" s="480"/>
      <c r="T192" s="480"/>
      <c r="U192" s="481"/>
    </row>
    <row r="193" spans="2:22" ht="18.75" customHeight="1" thickBot="1" x14ac:dyDescent="0.4">
      <c r="B193" s="1"/>
      <c r="C193" s="482" t="s">
        <v>61</v>
      </c>
      <c r="D193" s="483"/>
      <c r="E193" s="483"/>
      <c r="F193" s="483"/>
      <c r="G193" s="483"/>
      <c r="H193" s="483"/>
      <c r="I193" s="483"/>
      <c r="J193" s="483"/>
      <c r="K193" s="483"/>
      <c r="L193" s="483"/>
      <c r="M193" s="483"/>
      <c r="N193" s="483"/>
      <c r="O193" s="483"/>
      <c r="P193" s="483"/>
      <c r="Q193" s="483"/>
      <c r="R193" s="483"/>
      <c r="S193" s="483"/>
      <c r="T193" s="483"/>
      <c r="U193" s="484"/>
    </row>
    <row r="194" spans="2:22" ht="18.75" customHeight="1" thickBot="1" x14ac:dyDescent="0.4">
      <c r="B194" s="1"/>
      <c r="C194" s="30" t="s">
        <v>62</v>
      </c>
      <c r="D194" s="70">
        <f>'[2]1) Tableau budgétaire 1'!D187</f>
        <v>269920</v>
      </c>
      <c r="E194" s="70">
        <f>E202</f>
        <v>141559.16</v>
      </c>
      <c r="F194" s="62">
        <f>'[3]1) Tableau budgétaire 1'!E186</f>
        <v>0</v>
      </c>
      <c r="G194" s="40">
        <f t="shared" ref="G194:G202" si="76">SUM(D194:F194)</f>
        <v>411479.16000000003</v>
      </c>
      <c r="H194" s="34">
        <f>+H202</f>
        <v>41262</v>
      </c>
      <c r="I194" s="35">
        <f>+I202</f>
        <v>17731</v>
      </c>
      <c r="J194" s="258">
        <f>+D194+H194-I194</f>
        <v>293451</v>
      </c>
      <c r="K194" s="255">
        <f>+K202</f>
        <v>30594</v>
      </c>
      <c r="L194" s="255">
        <f>+L202</f>
        <v>69595.16</v>
      </c>
      <c r="M194" s="255">
        <f>+M202</f>
        <v>102558</v>
      </c>
      <c r="N194" s="255"/>
      <c r="O194" s="255"/>
      <c r="P194" s="255"/>
      <c r="Q194" s="256">
        <f>J194+M194</f>
        <v>396009</v>
      </c>
      <c r="R194" s="279"/>
      <c r="S194" s="272"/>
      <c r="T194" s="280"/>
      <c r="U194" s="36"/>
    </row>
    <row r="195" spans="2:22" ht="36" customHeight="1" x14ac:dyDescent="0.35">
      <c r="B195" s="1"/>
      <c r="C195" s="37" t="s">
        <v>17</v>
      </c>
      <c r="D195" s="71">
        <v>157350</v>
      </c>
      <c r="E195" s="83">
        <v>86094</v>
      </c>
      <c r="F195" s="39"/>
      <c r="G195" s="40">
        <f t="shared" si="76"/>
        <v>243444</v>
      </c>
      <c r="H195" s="41">
        <f>SUM(J195-D195)</f>
        <v>28316</v>
      </c>
      <c r="I195" s="42"/>
      <c r="J195" s="94">
        <v>185666</v>
      </c>
      <c r="K195" s="238"/>
      <c r="L195" s="238">
        <v>41094</v>
      </c>
      <c r="M195" s="255">
        <f t="shared" ref="M195:M201" si="77">E195+K195-L195</f>
        <v>45000</v>
      </c>
      <c r="N195" s="206"/>
      <c r="O195" s="206"/>
      <c r="P195" s="206"/>
      <c r="Q195" s="247">
        <f t="shared" ref="Q195:Q201" si="78">SUM(M195+J195)</f>
        <v>230666</v>
      </c>
      <c r="R195" s="249">
        <v>185892.95</v>
      </c>
      <c r="S195" s="250">
        <v>49551</v>
      </c>
      <c r="T195" s="251">
        <f>+R195+S195</f>
        <v>235443.95</v>
      </c>
      <c r="U195" s="356"/>
    </row>
    <row r="196" spans="2:22" ht="18.75" customHeight="1" thickBot="1" x14ac:dyDescent="0.4">
      <c r="B196" s="1"/>
      <c r="C196" s="44" t="s">
        <v>18</v>
      </c>
      <c r="D196" s="43">
        <v>0</v>
      </c>
      <c r="E196" s="39">
        <v>2000</v>
      </c>
      <c r="F196" s="39"/>
      <c r="G196" s="40">
        <f t="shared" si="76"/>
        <v>2000</v>
      </c>
      <c r="H196" s="41"/>
      <c r="I196" s="42"/>
      <c r="J196" s="94">
        <v>0</v>
      </c>
      <c r="K196" s="238">
        <v>0</v>
      </c>
      <c r="L196" s="238">
        <v>0</v>
      </c>
      <c r="M196" s="235">
        <f t="shared" si="77"/>
        <v>2000</v>
      </c>
      <c r="N196" s="206"/>
      <c r="O196" s="206"/>
      <c r="P196" s="206"/>
      <c r="Q196" s="247">
        <f t="shared" si="78"/>
        <v>2000</v>
      </c>
      <c r="R196" s="249">
        <v>0</v>
      </c>
      <c r="S196" s="250">
        <v>2478.7199999999998</v>
      </c>
      <c r="T196" s="251">
        <f t="shared" ref="T196:T201" si="79">+R196+S196</f>
        <v>2478.7199999999998</v>
      </c>
      <c r="U196" s="36"/>
    </row>
    <row r="197" spans="2:22" ht="39" customHeight="1" x14ac:dyDescent="0.35">
      <c r="B197" s="1"/>
      <c r="C197" s="44" t="s">
        <v>19</v>
      </c>
      <c r="D197" s="43">
        <v>16740</v>
      </c>
      <c r="E197" s="43">
        <v>13100</v>
      </c>
      <c r="F197" s="43"/>
      <c r="G197" s="40">
        <f t="shared" si="76"/>
        <v>29840</v>
      </c>
      <c r="H197" s="41"/>
      <c r="I197" s="42">
        <v>16740</v>
      </c>
      <c r="J197" s="94"/>
      <c r="K197" s="238">
        <v>0</v>
      </c>
      <c r="L197" s="238">
        <v>8000</v>
      </c>
      <c r="M197" s="255">
        <f t="shared" si="77"/>
        <v>5100</v>
      </c>
      <c r="N197" s="238"/>
      <c r="O197" s="238"/>
      <c r="P197" s="238"/>
      <c r="Q197" s="247">
        <f t="shared" si="78"/>
        <v>5100</v>
      </c>
      <c r="R197" s="249">
        <f>+GETPIVOTDATA("Somme de MONTANT",MPTF3!$E$1,"PRODUIT","COUT OP")</f>
        <v>105.32</v>
      </c>
      <c r="S197" s="250">
        <v>3565</v>
      </c>
      <c r="T197" s="251">
        <f t="shared" si="79"/>
        <v>3670.32</v>
      </c>
      <c r="U197" s="36"/>
    </row>
    <row r="198" spans="2:22" ht="39.75" customHeight="1" thickBot="1" x14ac:dyDescent="0.4">
      <c r="B198" s="1"/>
      <c r="C198" s="45" t="s">
        <v>20</v>
      </c>
      <c r="D198" s="43">
        <v>46000</v>
      </c>
      <c r="E198" s="43">
        <v>13000</v>
      </c>
      <c r="F198" s="43"/>
      <c r="G198" s="40">
        <f t="shared" si="76"/>
        <v>59000</v>
      </c>
      <c r="H198" s="41">
        <v>0</v>
      </c>
      <c r="I198" s="42">
        <f>SUM(D198-J198)</f>
        <v>991</v>
      </c>
      <c r="J198" s="94">
        <v>45009</v>
      </c>
      <c r="K198" s="238">
        <f>(55094-27000)</f>
        <v>28094</v>
      </c>
      <c r="L198" s="238">
        <v>0</v>
      </c>
      <c r="M198" s="235">
        <f t="shared" si="77"/>
        <v>41094</v>
      </c>
      <c r="N198" s="238"/>
      <c r="O198" s="238"/>
      <c r="P198" s="238"/>
      <c r="Q198" s="247">
        <f t="shared" si="78"/>
        <v>86103</v>
      </c>
      <c r="R198" s="249">
        <f>+GETPIVOTDATA("montant",MPTF4!$I$3,"produit","eval")+GETPIVOTDATA("montant",MPTF4!$I$3,"produit","suivi")</f>
        <v>39406.089999999997</v>
      </c>
      <c r="S198" s="250">
        <v>23174</v>
      </c>
      <c r="T198" s="251">
        <f t="shared" si="79"/>
        <v>62580.09</v>
      </c>
      <c r="U198" s="36"/>
    </row>
    <row r="199" spans="2:22" ht="33.75" customHeight="1" x14ac:dyDescent="0.35">
      <c r="B199" s="1"/>
      <c r="C199" s="44" t="s">
        <v>21</v>
      </c>
      <c r="D199" s="43">
        <v>6000</v>
      </c>
      <c r="E199" s="43">
        <v>7500</v>
      </c>
      <c r="F199" s="43"/>
      <c r="G199" s="40">
        <f t="shared" si="76"/>
        <v>13500</v>
      </c>
      <c r="H199" s="41">
        <f>SUM(J199-D199)</f>
        <v>5968</v>
      </c>
      <c r="I199" s="42"/>
      <c r="J199" s="94">
        <v>11968</v>
      </c>
      <c r="K199" s="239">
        <v>2500</v>
      </c>
      <c r="L199" s="239">
        <v>5000</v>
      </c>
      <c r="M199" s="255">
        <f t="shared" si="77"/>
        <v>5000</v>
      </c>
      <c r="N199" s="238"/>
      <c r="O199" s="238"/>
      <c r="P199" s="238"/>
      <c r="Q199" s="247">
        <f t="shared" si="78"/>
        <v>16968</v>
      </c>
      <c r="R199" s="249">
        <f>+GETPIVOTDATA("MONTANT",MPTF5!$G$2,"PROD","suivi")</f>
        <v>117</v>
      </c>
      <c r="S199" s="250">
        <v>5465.36</v>
      </c>
      <c r="T199" s="251">
        <f t="shared" si="79"/>
        <v>5582.36</v>
      </c>
      <c r="U199" s="36"/>
    </row>
    <row r="200" spans="2:22" ht="18.75" customHeight="1" x14ac:dyDescent="0.35">
      <c r="B200" s="1"/>
      <c r="C200" s="44" t="s">
        <v>22</v>
      </c>
      <c r="D200" s="43">
        <v>0</v>
      </c>
      <c r="E200" s="43">
        <v>0</v>
      </c>
      <c r="F200" s="43"/>
      <c r="G200" s="40">
        <f t="shared" si="76"/>
        <v>0</v>
      </c>
      <c r="H200" s="41"/>
      <c r="I200" s="42"/>
      <c r="J200" s="94">
        <v>0</v>
      </c>
      <c r="K200" s="239">
        <v>0</v>
      </c>
      <c r="L200" s="239">
        <v>0</v>
      </c>
      <c r="M200" s="235">
        <f t="shared" si="77"/>
        <v>0</v>
      </c>
      <c r="N200" s="238"/>
      <c r="O200" s="238"/>
      <c r="P200" s="238"/>
      <c r="Q200" s="247">
        <f t="shared" si="78"/>
        <v>0</v>
      </c>
      <c r="R200" s="249"/>
      <c r="S200" s="250"/>
      <c r="T200" s="251">
        <f t="shared" si="79"/>
        <v>0</v>
      </c>
      <c r="U200" s="36"/>
    </row>
    <row r="201" spans="2:22" ht="42.75" customHeight="1" x14ac:dyDescent="0.35">
      <c r="B201" s="1"/>
      <c r="C201" s="44" t="s">
        <v>23</v>
      </c>
      <c r="D201" s="43">
        <f>43830</f>
        <v>43830</v>
      </c>
      <c r="E201" s="43">
        <f>17700+2165.16</f>
        <v>19865.16</v>
      </c>
      <c r="F201" s="43"/>
      <c r="G201" s="40">
        <f t="shared" si="76"/>
        <v>63695.16</v>
      </c>
      <c r="H201" s="41">
        <f>SUM(J201-D201)</f>
        <v>6978</v>
      </c>
      <c r="I201" s="42"/>
      <c r="J201" s="94">
        <v>50808</v>
      </c>
      <c r="K201" s="238">
        <v>0</v>
      </c>
      <c r="L201" s="238">
        <v>15501.16</v>
      </c>
      <c r="M201" s="235">
        <f t="shared" si="77"/>
        <v>4364</v>
      </c>
      <c r="N201" s="238"/>
      <c r="O201" s="238"/>
      <c r="P201" s="238"/>
      <c r="Q201" s="247">
        <f t="shared" si="78"/>
        <v>55172</v>
      </c>
      <c r="R201" s="249">
        <f>+GETPIVOTDATA("MONTANT",MPTF7!$H$4,"PRODUIT","Suivi")+GETPIVOTDATA("MONTANT",MPTF7!$H$4,"PRODUIT","COUT OP")</f>
        <v>43972.679999999993</v>
      </c>
      <c r="S201" s="250">
        <v>7632</v>
      </c>
      <c r="T201" s="251">
        <f t="shared" si="79"/>
        <v>51604.679999999993</v>
      </c>
      <c r="U201" s="36"/>
    </row>
    <row r="202" spans="2:22" ht="18.75" customHeight="1" thickBot="1" x14ac:dyDescent="0.4">
      <c r="B202" s="1"/>
      <c r="C202" s="47" t="s">
        <v>24</v>
      </c>
      <c r="D202" s="81">
        <f>SUM(D195:D201)</f>
        <v>269920</v>
      </c>
      <c r="E202" s="81">
        <f>SUM(E195:E201)</f>
        <v>141559.16</v>
      </c>
      <c r="F202" s="81">
        <f>SUM(F195:F201)</f>
        <v>0</v>
      </c>
      <c r="G202" s="82">
        <f t="shared" si="76"/>
        <v>411479.16000000003</v>
      </c>
      <c r="H202" s="51">
        <f>SUM(H195:H201)</f>
        <v>41262</v>
      </c>
      <c r="I202" s="52">
        <f>SUM(I195:I201)</f>
        <v>17731</v>
      </c>
      <c r="J202" s="240">
        <f>D202+H202-I202</f>
        <v>293451</v>
      </c>
      <c r="K202" s="243">
        <f>SUM(K195:K201)</f>
        <v>30594</v>
      </c>
      <c r="L202" s="243">
        <f>SUM(L195:L201)</f>
        <v>69595.16</v>
      </c>
      <c r="M202" s="243">
        <f>+E202+K202-L202</f>
        <v>102558</v>
      </c>
      <c r="N202" s="243">
        <f>SUM(N195:N201)</f>
        <v>0</v>
      </c>
      <c r="O202" s="243"/>
      <c r="P202" s="243"/>
      <c r="Q202" s="242">
        <f>J202+M202</f>
        <v>396009</v>
      </c>
      <c r="R202" s="233">
        <f>SUM(R195:R201)</f>
        <v>269494.04000000004</v>
      </c>
      <c r="S202" s="248">
        <f>SUM(S195:S201)</f>
        <v>91866.08</v>
      </c>
      <c r="T202" s="234">
        <f>SUM(T195:T201)</f>
        <v>361360.12</v>
      </c>
      <c r="U202" s="88"/>
      <c r="V202" s="89"/>
    </row>
    <row r="203" spans="2:22" ht="18.75" customHeight="1" thickBot="1" x14ac:dyDescent="0.4">
      <c r="B203" s="1"/>
      <c r="C203" s="472"/>
      <c r="D203" s="472"/>
      <c r="E203" s="472"/>
      <c r="F203" s="472"/>
      <c r="G203" s="472"/>
      <c r="H203" s="472"/>
      <c r="I203" s="472"/>
      <c r="J203" s="472"/>
      <c r="K203" s="472"/>
      <c r="L203" s="472"/>
      <c r="M203" s="472"/>
      <c r="N203" s="472"/>
      <c r="O203" s="472"/>
      <c r="P203" s="472"/>
      <c r="Q203" s="472"/>
      <c r="R203" s="472"/>
      <c r="S203" s="472"/>
      <c r="T203" s="472"/>
      <c r="U203" s="473"/>
      <c r="V203" s="89"/>
    </row>
    <row r="204" spans="2:22" ht="18.75" customHeight="1" thickBot="1" x14ac:dyDescent="0.4">
      <c r="B204" s="1"/>
      <c r="C204" s="463" t="s">
        <v>63</v>
      </c>
      <c r="D204" s="464"/>
      <c r="E204" s="464"/>
      <c r="F204" s="464"/>
      <c r="G204" s="465"/>
      <c r="H204" s="454" t="s">
        <v>64</v>
      </c>
      <c r="I204" s="455"/>
      <c r="J204" s="455"/>
      <c r="K204" s="455"/>
      <c r="L204" s="455"/>
      <c r="M204" s="455"/>
      <c r="N204" s="455"/>
      <c r="O204" s="232"/>
      <c r="P204" s="232"/>
      <c r="Q204" s="466" t="s">
        <v>65</v>
      </c>
      <c r="R204" s="429" t="s">
        <v>172</v>
      </c>
      <c r="S204" s="430"/>
      <c r="T204" s="431"/>
      <c r="U204" s="36"/>
    </row>
    <row r="205" spans="2:22" ht="35.25" customHeight="1" x14ac:dyDescent="0.35">
      <c r="B205" s="1"/>
      <c r="C205" s="90"/>
      <c r="D205" s="91" t="s">
        <v>5</v>
      </c>
      <c r="E205" s="92" t="s">
        <v>6</v>
      </c>
      <c r="F205" s="92" t="s">
        <v>7</v>
      </c>
      <c r="G205" s="468" t="s">
        <v>66</v>
      </c>
      <c r="H205" s="470" t="s">
        <v>67</v>
      </c>
      <c r="I205" s="471"/>
      <c r="J205" s="471" t="s">
        <v>68</v>
      </c>
      <c r="K205" s="471" t="s">
        <v>69</v>
      </c>
      <c r="L205" s="471"/>
      <c r="M205" s="471" t="s">
        <v>70</v>
      </c>
      <c r="N205" s="300" t="s">
        <v>7</v>
      </c>
      <c r="O205" s="300"/>
      <c r="P205" s="300"/>
      <c r="Q205" s="467"/>
      <c r="R205" s="432" t="s">
        <v>10</v>
      </c>
      <c r="S205" s="435" t="s">
        <v>9</v>
      </c>
      <c r="T205" s="438" t="s">
        <v>173</v>
      </c>
      <c r="U205" s="36"/>
    </row>
    <row r="206" spans="2:22" ht="18.75" customHeight="1" x14ac:dyDescent="0.35">
      <c r="B206" s="1"/>
      <c r="C206" s="93"/>
      <c r="D206" s="62" t="str">
        <f>'[2]1) Tableau budgétaire 1'!D13</f>
        <v>OIM</v>
      </c>
      <c r="E206" s="62" t="s">
        <v>9</v>
      </c>
      <c r="F206" s="62"/>
      <c r="G206" s="469"/>
      <c r="H206" s="94" t="s">
        <v>12</v>
      </c>
      <c r="I206" s="95" t="s">
        <v>13</v>
      </c>
      <c r="J206" s="471"/>
      <c r="K206" s="96" t="s">
        <v>12</v>
      </c>
      <c r="L206" s="96" t="s">
        <v>13</v>
      </c>
      <c r="M206" s="471"/>
      <c r="N206" s="235"/>
      <c r="O206" s="235"/>
      <c r="P206" s="235"/>
      <c r="Q206" s="467"/>
      <c r="R206" s="434"/>
      <c r="S206" s="437"/>
      <c r="T206" s="440"/>
      <c r="U206" s="36"/>
    </row>
    <row r="207" spans="2:22" ht="18.75" customHeight="1" x14ac:dyDescent="0.35">
      <c r="B207" s="1"/>
      <c r="C207" s="97" t="s">
        <v>17</v>
      </c>
      <c r="D207" s="98">
        <f t="shared" ref="D207:F213" si="80">SUM(D184,D173,D162,D151,D139,D128,D117,D106,D94,D83,D72,D61,D49,D38,D27,D16,D195)</f>
        <v>157350</v>
      </c>
      <c r="E207" s="99">
        <f t="shared" si="80"/>
        <v>86094</v>
      </c>
      <c r="F207" s="99">
        <f t="shared" si="80"/>
        <v>0</v>
      </c>
      <c r="G207" s="40">
        <f t="shared" ref="G207:G214" si="81">SUM(D207:F207)</f>
        <v>243444</v>
      </c>
      <c r="H207" s="41">
        <f>SUM(H195+H184+H139+H128+H117+H106+H94+H83+H72+H61+H27+H16)</f>
        <v>28316</v>
      </c>
      <c r="I207" s="42">
        <f t="shared" ref="H207:I213" si="82">SUM(I195+I184+I139+I128+I117+I106+I94+I83+I72+I61+I27+I16)</f>
        <v>0</v>
      </c>
      <c r="J207" s="301">
        <f t="shared" ref="J207:J212" si="83">+D207+H207-I207</f>
        <v>185666</v>
      </c>
      <c r="K207" s="57"/>
      <c r="L207" s="57">
        <v>41094</v>
      </c>
      <c r="M207" s="302">
        <f>E207+K207-L207</f>
        <v>45000</v>
      </c>
      <c r="N207" s="147"/>
      <c r="O207" s="147"/>
      <c r="P207" s="147"/>
      <c r="Q207" s="257">
        <f t="shared" ref="Q207:Q213" si="84">SUM(M207+J207)</f>
        <v>230666</v>
      </c>
      <c r="R207" s="299">
        <f>SUM(R195+R184+R139+R128+R117+R106+R94+R83+R72+R61+R27+R16)</f>
        <v>185892.95</v>
      </c>
      <c r="S207" s="266">
        <f>S195</f>
        <v>49551</v>
      </c>
      <c r="T207" s="257">
        <f>+R207+S207</f>
        <v>235443.95</v>
      </c>
      <c r="U207" s="36"/>
    </row>
    <row r="208" spans="2:22" ht="18.75" customHeight="1" x14ac:dyDescent="0.35">
      <c r="B208" s="1"/>
      <c r="C208" s="100" t="s">
        <v>18</v>
      </c>
      <c r="D208" s="98">
        <f t="shared" si="80"/>
        <v>0</v>
      </c>
      <c r="E208" s="99">
        <f t="shared" si="80"/>
        <v>2000</v>
      </c>
      <c r="F208" s="99">
        <f t="shared" si="80"/>
        <v>0</v>
      </c>
      <c r="G208" s="40">
        <f t="shared" si="81"/>
        <v>2000</v>
      </c>
      <c r="H208" s="41">
        <f t="shared" si="82"/>
        <v>0</v>
      </c>
      <c r="I208" s="42">
        <f t="shared" si="82"/>
        <v>0</v>
      </c>
      <c r="J208" s="301">
        <f t="shared" si="83"/>
        <v>0</v>
      </c>
      <c r="K208" s="57">
        <v>0</v>
      </c>
      <c r="L208" s="57">
        <v>0</v>
      </c>
      <c r="M208" s="302">
        <f t="shared" ref="M208:M213" si="85">E208+K208-L208</f>
        <v>2000</v>
      </c>
      <c r="N208" s="147"/>
      <c r="O208" s="147"/>
      <c r="P208" s="147"/>
      <c r="Q208" s="257">
        <f t="shared" si="84"/>
        <v>2000</v>
      </c>
      <c r="R208" s="299">
        <v>0</v>
      </c>
      <c r="S208" s="266">
        <f>S196</f>
        <v>2478.7199999999998</v>
      </c>
      <c r="T208" s="257">
        <f t="shared" ref="T208:T213" si="86">+R208+S208</f>
        <v>2478.7199999999998</v>
      </c>
      <c r="U208" s="36"/>
    </row>
    <row r="209" spans="2:22" ht="36.75" customHeight="1" x14ac:dyDescent="0.35">
      <c r="B209" s="1"/>
      <c r="C209" s="100" t="s">
        <v>19</v>
      </c>
      <c r="D209" s="98">
        <f t="shared" si="80"/>
        <v>16740</v>
      </c>
      <c r="E209" s="99">
        <f t="shared" si="80"/>
        <v>13100</v>
      </c>
      <c r="F209" s="99">
        <f t="shared" si="80"/>
        <v>0</v>
      </c>
      <c r="G209" s="40">
        <f t="shared" si="81"/>
        <v>29840</v>
      </c>
      <c r="H209" s="41">
        <f t="shared" si="82"/>
        <v>10348</v>
      </c>
      <c r="I209" s="42">
        <f t="shared" si="82"/>
        <v>16740</v>
      </c>
      <c r="J209" s="301">
        <f>+D209+H209-I209</f>
        <v>10348</v>
      </c>
      <c r="K209" s="57">
        <v>0</v>
      </c>
      <c r="L209" s="57"/>
      <c r="M209" s="302">
        <f>E209+K209-L209</f>
        <v>13100</v>
      </c>
      <c r="N209" s="65"/>
      <c r="O209" s="65"/>
      <c r="P209" s="65"/>
      <c r="Q209" s="257">
        <f t="shared" si="84"/>
        <v>23448</v>
      </c>
      <c r="R209" s="299">
        <f t="shared" ref="R209:R213" si="87">SUM(R197+R186+R141+R130+R119+R108+R96+R85+R74+R63+R29+R18)</f>
        <v>30788.03</v>
      </c>
      <c r="S209" s="266">
        <f>S141+S197</f>
        <v>14027.94</v>
      </c>
      <c r="T209" s="257">
        <f t="shared" si="86"/>
        <v>44815.97</v>
      </c>
      <c r="U209" s="36"/>
      <c r="V209" t="s">
        <v>148</v>
      </c>
    </row>
    <row r="210" spans="2:22" ht="39.75" customHeight="1" x14ac:dyDescent="0.35">
      <c r="B210" s="1"/>
      <c r="C210" s="101" t="s">
        <v>20</v>
      </c>
      <c r="D210" s="98">
        <f t="shared" si="80"/>
        <v>46000</v>
      </c>
      <c r="E210" s="99">
        <f t="shared" si="80"/>
        <v>211050</v>
      </c>
      <c r="F210" s="99">
        <f t="shared" si="80"/>
        <v>0</v>
      </c>
      <c r="G210" s="40">
        <f t="shared" si="81"/>
        <v>257050</v>
      </c>
      <c r="H210" s="41">
        <f t="shared" si="82"/>
        <v>98733</v>
      </c>
      <c r="I210" s="42">
        <f t="shared" si="82"/>
        <v>991</v>
      </c>
      <c r="J210" s="301">
        <f t="shared" si="83"/>
        <v>143742</v>
      </c>
      <c r="K210" s="57">
        <v>95674</v>
      </c>
      <c r="L210" s="57">
        <v>88950</v>
      </c>
      <c r="M210" s="302">
        <f>E210+K210-L210</f>
        <v>217774</v>
      </c>
      <c r="N210" s="65"/>
      <c r="O210" s="65"/>
      <c r="P210" s="65"/>
      <c r="Q210" s="257">
        <f t="shared" si="84"/>
        <v>361516</v>
      </c>
      <c r="R210" s="299">
        <f t="shared" si="87"/>
        <v>114547.15999999984</v>
      </c>
      <c r="S210" s="266">
        <f>S30+S75+S131+S142+S198</f>
        <v>63222</v>
      </c>
      <c r="T210" s="257">
        <f t="shared" si="86"/>
        <v>177769.15999999986</v>
      </c>
      <c r="U210" s="36"/>
    </row>
    <row r="211" spans="2:22" ht="36" customHeight="1" x14ac:dyDescent="0.35">
      <c r="B211" s="1"/>
      <c r="C211" s="100" t="s">
        <v>21</v>
      </c>
      <c r="D211" s="98">
        <f t="shared" si="80"/>
        <v>6000</v>
      </c>
      <c r="E211" s="99">
        <f t="shared" si="80"/>
        <v>7500</v>
      </c>
      <c r="F211" s="99">
        <f t="shared" si="80"/>
        <v>0</v>
      </c>
      <c r="G211" s="40">
        <f t="shared" si="81"/>
        <v>13500</v>
      </c>
      <c r="H211" s="41">
        <f t="shared" si="82"/>
        <v>20518</v>
      </c>
      <c r="I211" s="42">
        <f t="shared" si="82"/>
        <v>0</v>
      </c>
      <c r="J211" s="301">
        <f t="shared" si="83"/>
        <v>26518</v>
      </c>
      <c r="K211" s="46">
        <v>7500</v>
      </c>
      <c r="L211" s="46">
        <v>0</v>
      </c>
      <c r="M211" s="302">
        <f t="shared" si="85"/>
        <v>15000</v>
      </c>
      <c r="N211" s="65"/>
      <c r="O211" s="65"/>
      <c r="P211" s="65"/>
      <c r="Q211" s="257">
        <f t="shared" si="84"/>
        <v>41518</v>
      </c>
      <c r="R211" s="299">
        <f t="shared" si="87"/>
        <v>36395.210000000181</v>
      </c>
      <c r="S211" s="266">
        <f>S20+S110+S132+S199</f>
        <v>15831</v>
      </c>
      <c r="T211" s="257">
        <f t="shared" si="86"/>
        <v>52226.210000000181</v>
      </c>
      <c r="U211" s="36"/>
      <c r="V211" s="102"/>
    </row>
    <row r="212" spans="2:22" ht="18.75" customHeight="1" x14ac:dyDescent="0.35">
      <c r="B212" s="1"/>
      <c r="C212" s="100" t="s">
        <v>22</v>
      </c>
      <c r="D212" s="98">
        <f t="shared" si="80"/>
        <v>391200</v>
      </c>
      <c r="E212" s="99">
        <f t="shared" si="80"/>
        <v>309630</v>
      </c>
      <c r="F212" s="99">
        <f t="shared" si="80"/>
        <v>0</v>
      </c>
      <c r="G212" s="40">
        <f t="shared" si="81"/>
        <v>700830</v>
      </c>
      <c r="H212" s="41">
        <f t="shared" si="82"/>
        <v>23953</v>
      </c>
      <c r="I212" s="42">
        <f t="shared" si="82"/>
        <v>89200</v>
      </c>
      <c r="J212" s="301">
        <f t="shared" si="83"/>
        <v>325953</v>
      </c>
      <c r="K212" s="46">
        <v>88950</v>
      </c>
      <c r="L212" s="46">
        <v>62080</v>
      </c>
      <c r="M212" s="302">
        <f t="shared" si="85"/>
        <v>336500</v>
      </c>
      <c r="N212" s="65"/>
      <c r="O212" s="65"/>
      <c r="P212" s="65"/>
      <c r="Q212" s="257">
        <f t="shared" si="84"/>
        <v>662453</v>
      </c>
      <c r="R212" s="299">
        <f t="shared" si="87"/>
        <v>280426.55</v>
      </c>
      <c r="S212" s="266">
        <f>S21+S77</f>
        <v>210767.19</v>
      </c>
      <c r="T212" s="257">
        <f t="shared" si="86"/>
        <v>491193.74</v>
      </c>
      <c r="U212" s="36"/>
    </row>
    <row r="213" spans="2:22" ht="36.75" customHeight="1" x14ac:dyDescent="0.35">
      <c r="B213" s="1"/>
      <c r="C213" s="100" t="s">
        <v>23</v>
      </c>
      <c r="D213" s="99">
        <f t="shared" si="80"/>
        <v>130480</v>
      </c>
      <c r="E213" s="99">
        <f t="shared" si="80"/>
        <v>24725.16</v>
      </c>
      <c r="F213" s="99">
        <f t="shared" si="80"/>
        <v>0</v>
      </c>
      <c r="G213" s="40">
        <f t="shared" si="81"/>
        <v>155205.16</v>
      </c>
      <c r="H213" s="41">
        <f t="shared" si="82"/>
        <v>9678</v>
      </c>
      <c r="I213" s="42">
        <f t="shared" si="82"/>
        <v>84615</v>
      </c>
      <c r="J213" s="301">
        <f>+D213+H213-I213</f>
        <v>55543</v>
      </c>
      <c r="K213" s="43">
        <v>0</v>
      </c>
      <c r="L213" s="43">
        <v>0</v>
      </c>
      <c r="M213" s="302">
        <f t="shared" si="85"/>
        <v>24725.16</v>
      </c>
      <c r="N213" s="65"/>
      <c r="O213" s="65"/>
      <c r="P213" s="65"/>
      <c r="Q213" s="257">
        <f t="shared" si="84"/>
        <v>80268.160000000003</v>
      </c>
      <c r="R213" s="299">
        <f t="shared" si="87"/>
        <v>54806.649999999994</v>
      </c>
      <c r="S213" s="266">
        <f>S22+S78+S112+S134+S201+S145</f>
        <v>26822.510000000002</v>
      </c>
      <c r="T213" s="257">
        <f t="shared" si="86"/>
        <v>81629.16</v>
      </c>
      <c r="U213" s="36"/>
    </row>
    <row r="214" spans="2:22" ht="18.75" customHeight="1" x14ac:dyDescent="0.35">
      <c r="B214" s="1"/>
      <c r="C214" s="103" t="s">
        <v>71</v>
      </c>
      <c r="D214" s="104">
        <f>SUM(D207:D213)</f>
        <v>747770</v>
      </c>
      <c r="E214" s="105">
        <f>SUM(E207:E213)</f>
        <v>654099.16</v>
      </c>
      <c r="F214" s="105">
        <f>SUM(F207:F213)</f>
        <v>0</v>
      </c>
      <c r="G214" s="106">
        <f t="shared" si="81"/>
        <v>1401869.1600000001</v>
      </c>
      <c r="H214" s="286">
        <f>SUM(H207:H213)</f>
        <v>191546</v>
      </c>
      <c r="I214" s="269">
        <f>SUM(I207:I213)</f>
        <v>191546</v>
      </c>
      <c r="J214" s="268">
        <f>D214+H214-I214</f>
        <v>747770</v>
      </c>
      <c r="K214" s="287">
        <f>SUM(K207:K213)</f>
        <v>192124</v>
      </c>
      <c r="L214" s="287">
        <f>SUM(L207:L213)</f>
        <v>192124</v>
      </c>
      <c r="M214" s="287">
        <f>+E214+K214-L214</f>
        <v>654099.16</v>
      </c>
      <c r="N214" s="271">
        <f>SUM(N207:N213)</f>
        <v>0</v>
      </c>
      <c r="O214" s="271"/>
      <c r="P214" s="271"/>
      <c r="Q214" s="303">
        <f>SUM(Q207:Q213)</f>
        <v>1401869.16</v>
      </c>
      <c r="R214" s="286">
        <f>SUM(R207:R213)</f>
        <v>702856.55</v>
      </c>
      <c r="S214" s="315">
        <f>SUM(S207:S213)</f>
        <v>382700.36</v>
      </c>
      <c r="T214" s="303">
        <f>SUM(T207:T213)</f>
        <v>1085556.9099999999</v>
      </c>
      <c r="U214" s="36"/>
    </row>
    <row r="215" spans="2:22" ht="16" thickBot="1" x14ac:dyDescent="0.4">
      <c r="B215" s="1"/>
      <c r="C215" s="103" t="s">
        <v>72</v>
      </c>
      <c r="D215" s="107">
        <f>D214*0.07</f>
        <v>52343.9</v>
      </c>
      <c r="E215" s="108">
        <f t="shared" ref="E215:G215" si="88">E214*0.07</f>
        <v>45786.941200000008</v>
      </c>
      <c r="F215" s="108">
        <f t="shared" si="88"/>
        <v>0</v>
      </c>
      <c r="G215" s="109">
        <f t="shared" si="88"/>
        <v>98130.841200000024</v>
      </c>
      <c r="H215" s="304">
        <f>H214*0.07</f>
        <v>13408.220000000001</v>
      </c>
      <c r="I215" s="305">
        <f>I214*0.07</f>
        <v>13408.220000000001</v>
      </c>
      <c r="J215" s="306">
        <f>J214*0.07</f>
        <v>52343.9</v>
      </c>
      <c r="K215" s="307">
        <f t="shared" ref="K215:N215" si="89">K214*0.07</f>
        <v>13448.680000000002</v>
      </c>
      <c r="L215" s="307">
        <f t="shared" si="89"/>
        <v>13448.680000000002</v>
      </c>
      <c r="M215" s="307">
        <f t="shared" si="89"/>
        <v>45786.941200000008</v>
      </c>
      <c r="N215" s="308">
        <f t="shared" si="89"/>
        <v>0</v>
      </c>
      <c r="O215" s="308"/>
      <c r="P215" s="308"/>
      <c r="Q215" s="309">
        <f>Q214*0.07</f>
        <v>98130.84120000001</v>
      </c>
      <c r="R215" s="304">
        <f>R214*0.07</f>
        <v>49199.958500000008</v>
      </c>
      <c r="S215" s="316">
        <v>21207.45</v>
      </c>
      <c r="T215" s="309">
        <f>+R215+S215</f>
        <v>70407.408500000005</v>
      </c>
      <c r="U215" s="36"/>
    </row>
    <row r="216" spans="2:22" ht="18.75" customHeight="1" thickBot="1" x14ac:dyDescent="0.4">
      <c r="B216" s="1"/>
      <c r="C216" s="110" t="s">
        <v>73</v>
      </c>
      <c r="D216" s="111">
        <f>SUM(D214:D215)</f>
        <v>800113.9</v>
      </c>
      <c r="E216" s="112">
        <f t="shared" ref="E216:G216" si="90">SUM(E214:E215)</f>
        <v>699886.10120000003</v>
      </c>
      <c r="F216" s="112">
        <f t="shared" si="90"/>
        <v>0</v>
      </c>
      <c r="G216" s="113">
        <f t="shared" si="90"/>
        <v>1500000.0012000003</v>
      </c>
      <c r="H216" s="310">
        <f>SUM(H214:H215)</f>
        <v>204954.22</v>
      </c>
      <c r="I216" s="311">
        <f>SUM(I214:I215)</f>
        <v>204954.22</v>
      </c>
      <c r="J216" s="312">
        <f>SUM(J214:J215)</f>
        <v>800113.9</v>
      </c>
      <c r="K216" s="312">
        <f t="shared" ref="K216:N216" si="91">SUM(K214:K215)</f>
        <v>205572.68</v>
      </c>
      <c r="L216" s="312">
        <f t="shared" si="91"/>
        <v>205572.68</v>
      </c>
      <c r="M216" s="312">
        <f t="shared" si="91"/>
        <v>699886.10120000003</v>
      </c>
      <c r="N216" s="313">
        <f t="shared" si="91"/>
        <v>0</v>
      </c>
      <c r="O216" s="313"/>
      <c r="P216" s="313"/>
      <c r="Q216" s="314">
        <f>SUM(Q214:Q215)</f>
        <v>1500000.0011999998</v>
      </c>
      <c r="R216" s="310">
        <f>SUM(R214:R215)</f>
        <v>752056.5085</v>
      </c>
      <c r="S216" s="310">
        <f>S214+S215</f>
        <v>403907.81</v>
      </c>
      <c r="T216" s="349">
        <f>+R216+S216</f>
        <v>1155964.3185000001</v>
      </c>
      <c r="U216" s="114"/>
    </row>
    <row r="221" spans="2:22" x14ac:dyDescent="0.35">
      <c r="R221" s="432" t="s">
        <v>10</v>
      </c>
      <c r="S221" s="435" t="s">
        <v>9</v>
      </c>
      <c r="T221" s="438" t="s">
        <v>173</v>
      </c>
    </row>
    <row r="222" spans="2:22" x14ac:dyDescent="0.35">
      <c r="R222" s="433"/>
      <c r="S222" s="436"/>
      <c r="T222" s="439"/>
    </row>
    <row r="223" spans="2:22" x14ac:dyDescent="0.35">
      <c r="R223" s="434"/>
      <c r="S223" s="437"/>
      <c r="T223" s="440"/>
    </row>
    <row r="228" spans="20:20" x14ac:dyDescent="0.35">
      <c r="T228" s="346"/>
    </row>
  </sheetData>
  <mergeCells count="64">
    <mergeCell ref="C69:U69"/>
    <mergeCell ref="C14:G14"/>
    <mergeCell ref="C24:U24"/>
    <mergeCell ref="C25:Q25"/>
    <mergeCell ref="D35:U35"/>
    <mergeCell ref="U12:U14"/>
    <mergeCell ref="C36:Q36"/>
    <mergeCell ref="C46:U46"/>
    <mergeCell ref="C47:Q47"/>
    <mergeCell ref="B58:U58"/>
    <mergeCell ref="C59:Q59"/>
    <mergeCell ref="H12:J14"/>
    <mergeCell ref="R12:R14"/>
    <mergeCell ref="S12:S14"/>
    <mergeCell ref="Q12:Q14"/>
    <mergeCell ref="K12:M14"/>
    <mergeCell ref="C136:U136"/>
    <mergeCell ref="C70:Q70"/>
    <mergeCell ref="C80:U80"/>
    <mergeCell ref="C81:Q81"/>
    <mergeCell ref="C91:U91"/>
    <mergeCell ref="C92:Q92"/>
    <mergeCell ref="B103:U103"/>
    <mergeCell ref="C104:Q104"/>
    <mergeCell ref="C114:U114"/>
    <mergeCell ref="C115:Q115"/>
    <mergeCell ref="C125:U125"/>
    <mergeCell ref="C126:Q126"/>
    <mergeCell ref="C203:U203"/>
    <mergeCell ref="C137:Q137"/>
    <mergeCell ref="B148:U148"/>
    <mergeCell ref="C149:Q149"/>
    <mergeCell ref="C159:U159"/>
    <mergeCell ref="C160:Q160"/>
    <mergeCell ref="C170:U170"/>
    <mergeCell ref="C171:Q171"/>
    <mergeCell ref="C181:U181"/>
    <mergeCell ref="C182:Q182"/>
    <mergeCell ref="C192:U192"/>
    <mergeCell ref="C193:U193"/>
    <mergeCell ref="C204:G204"/>
    <mergeCell ref="H204:N204"/>
    <mergeCell ref="Q204:Q206"/>
    <mergeCell ref="G205:G206"/>
    <mergeCell ref="H205:I205"/>
    <mergeCell ref="J205:J206"/>
    <mergeCell ref="K205:L205"/>
    <mergeCell ref="M205:M206"/>
    <mergeCell ref="T12:T14"/>
    <mergeCell ref="R11:T11"/>
    <mergeCell ref="C1:S1"/>
    <mergeCell ref="C4:S4"/>
    <mergeCell ref="C5:S7"/>
    <mergeCell ref="C9:S9"/>
    <mergeCell ref="H11:Q11"/>
    <mergeCell ref="B13:G13"/>
    <mergeCell ref="D11:G11"/>
    <mergeCell ref="R204:T204"/>
    <mergeCell ref="R221:R223"/>
    <mergeCell ref="S221:S223"/>
    <mergeCell ref="T221:T223"/>
    <mergeCell ref="R205:R206"/>
    <mergeCell ref="S205:S206"/>
    <mergeCell ref="T205:T206"/>
  </mergeCells>
  <conditionalFormatting sqref="G45">
    <cfRule type="cellIs" dxfId="22" priority="10" operator="notEqual">
      <formula>$H$38</formula>
    </cfRule>
  </conditionalFormatting>
  <conditionalFormatting sqref="G56">
    <cfRule type="cellIs" dxfId="21" priority="9" operator="notEqual">
      <formula>$H$49</formula>
    </cfRule>
  </conditionalFormatting>
  <conditionalFormatting sqref="G90">
    <cfRule type="cellIs" dxfId="20" priority="8" operator="notEqual">
      <formula>$H$83</formula>
    </cfRule>
  </conditionalFormatting>
  <conditionalFormatting sqref="G101">
    <cfRule type="cellIs" dxfId="19" priority="7" operator="notEqual">
      <formula>$H$94</formula>
    </cfRule>
  </conditionalFormatting>
  <conditionalFormatting sqref="G158">
    <cfRule type="cellIs" dxfId="18" priority="6" operator="notEqual">
      <formula>$H$151</formula>
    </cfRule>
  </conditionalFormatting>
  <conditionalFormatting sqref="G169">
    <cfRule type="cellIs" dxfId="17" priority="5" operator="notEqual">
      <formula>$H$162</formula>
    </cfRule>
  </conditionalFormatting>
  <conditionalFormatting sqref="G180">
    <cfRule type="cellIs" dxfId="16" priority="4" operator="notEqual">
      <formula>$H$162</formula>
    </cfRule>
  </conditionalFormatting>
  <conditionalFormatting sqref="G191">
    <cfRule type="cellIs" dxfId="15" priority="3" operator="notEqual">
      <formula>$H$184</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0 C22 C33 C44 C55 C67 C78 C89 C100 C112 C123 C134 C145 C157 C168 C179 C201 C213"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9 C21 C32 C43 C54 C66 C77 C88 C99 C111 C122 C133 C144 C156 C167 C178 C200 C212" xr:uid="{00000000-0002-0000-0100-000001000000}"/>
    <dataValidation allowBlank="1" showInputMessage="1" showErrorMessage="1" prompt="Services contracted by an organization which follow the normal procurement processes." sqref="C187 C19 C30 C41 C52 C64 C75 C86 C97 C109 C120 C131 C142 C154 C165 C176 C198 C210" xr:uid="{00000000-0002-0000-0100-000002000000}"/>
    <dataValidation allowBlank="1" showInputMessage="1" showErrorMessage="1" prompt="Includes staff and non-staff travel paid for by the organization directly related to a project." sqref="C188 C20 C31 C42 C53 C65 C76 C87 C98 C110 C121 C132 C143 C155 C166 C177 C199 C211"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6 C18 C29 C40 C51 C63 C74 C85 C96 C108 C119 C130 C141 C153 C164 C175 C197 C209"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5 C17 C28 C39 C50 C62 C73 C84 C95 C107 C118 C129 C140 C152 C163 C174 C196 C208" xr:uid="{00000000-0002-0000-0100-000005000000}"/>
    <dataValidation allowBlank="1" showInputMessage="1" showErrorMessage="1" prompt="Includes all related staff and temporary staff costs including base salary, post adjustment and all staff entitlements." sqref="C184 C16 C27 C38 C49 C61 C72 C83 C94 C106 C117 C128 C139 C151 C162 C173 C195 C207" xr:uid="{00000000-0002-0000-0100-000006000000}"/>
    <dataValidation allowBlank="1" showInputMessage="1" showErrorMessage="1" prompt="Output totals must match the original total from Table 1, and will show as red if not. " sqref="G23 Q56:T56 Q34:T34 Q45:T45 Q146:T146 Q23:T23 Q68:T68 Q90:T90 Q101:T101 Q79:T79 Q113:T113 Q135:T135 Q124:T124 Q158:T158 Q169:T169 Q180:T180 Q191:T191 Q202:T202" xr:uid="{00000000-0002-0000-0100-000007000000}"/>
  </dataValidations>
  <pageMargins left="0.70866141732283472" right="0.70866141732283472" top="0.74803149606299213" bottom="0.74803149606299213" header="0.31496062992125984" footer="0.31496062992125984"/>
  <pageSetup paperSize="9" scale="42" fitToHeight="4"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ellIs" priority="2" operator="notEqual" id="{67750196-5625-443F-B6B2-44491E8AF101}">
            <xm:f>'\Users\ICT_PROVIDER\Documents\00. Hanitriniony RASON\00. PBF 2020\00. PRODOC\06. Guildelines &amp; templates PBSO\01. Templates PBSO\[Copy of 3. PBF Project Document Template 2019- Annex D- Project Budget (FRENCH).xlsx]1) Tableau budgétaire 1'!#REF!</xm:f>
            <x14:dxf>
              <font>
                <color rgb="FF9C0006"/>
              </font>
              <fill>
                <patternFill>
                  <bgColor rgb="FFFFC7CE"/>
                </patternFill>
              </fill>
            </x14:dxf>
          </x14:cfRule>
          <xm:sqref>G216</xm:sqref>
        </x14:conditionalFormatting>
        <x14:conditionalFormatting xmlns:xm="http://schemas.microsoft.com/office/excel/2006/main">
          <x14:cfRule type="cellIs" priority="1" operator="notEqual" id="{0842A3BA-4AE0-49C4-A734-C5C3B5BB4D34}">
            <xm:f>'\Users\ICT_PROVIDER\Documents\00. Hanitriniony RASON\00. PBF 2020\00. PRODOC\06. Guildelines &amp; templates PBSO\01. Templates PBSO\[Copy of 3. PBF Project Document Template 2019- Annex D- Project Budget (FRENCH).xlsx]1) Tableau budgétaire 1'!#REF!</xm:f>
            <x14:dxf>
              <font>
                <color rgb="FF9C0006"/>
              </font>
              <fill>
                <patternFill>
                  <bgColor rgb="FFFFC7CE"/>
                </patternFill>
              </fill>
            </x14:dxf>
          </x14:cfRule>
          <xm:sqref>Q216 T216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
  <sheetViews>
    <sheetView zoomScale="71" workbookViewId="0">
      <selection activeCell="O11" sqref="O11"/>
    </sheetView>
  </sheetViews>
  <sheetFormatPr baseColWidth="10" defaultColWidth="9.1796875" defaultRowHeight="15.5" x14ac:dyDescent="0.35"/>
  <cols>
    <col min="1" max="1" width="46.54296875" style="325" customWidth="1"/>
    <col min="2" max="7" width="19.1796875" style="325" customWidth="1"/>
    <col min="8" max="16384" width="9.1796875" style="325"/>
  </cols>
  <sheetData>
    <row r="1" spans="1:11" ht="21" x14ac:dyDescent="0.5">
      <c r="A1" s="343" t="s">
        <v>164</v>
      </c>
      <c r="B1" s="197"/>
      <c r="C1" s="197"/>
      <c r="D1" s="197"/>
    </row>
    <row r="2" spans="1:11" x14ac:dyDescent="0.35">
      <c r="A2" s="197"/>
      <c r="B2" s="197"/>
      <c r="C2" s="197"/>
      <c r="D2" s="197"/>
    </row>
    <row r="3" spans="1:11" ht="16" thickBot="1" x14ac:dyDescent="0.4"/>
    <row r="4" spans="1:11" ht="26.25" customHeight="1" x14ac:dyDescent="0.35">
      <c r="A4" s="500" t="s">
        <v>165</v>
      </c>
      <c r="B4" s="502" t="s">
        <v>10</v>
      </c>
      <c r="C4" s="503"/>
      <c r="D4" s="504" t="s">
        <v>9</v>
      </c>
      <c r="E4" s="505"/>
      <c r="F4" s="502" t="s">
        <v>166</v>
      </c>
      <c r="G4" s="503"/>
    </row>
    <row r="5" spans="1:11" x14ac:dyDescent="0.35">
      <c r="A5" s="501"/>
      <c r="B5" s="326" t="s">
        <v>167</v>
      </c>
      <c r="C5" s="327" t="s">
        <v>168</v>
      </c>
      <c r="D5" s="328" t="s">
        <v>167</v>
      </c>
      <c r="E5" s="329" t="s">
        <v>168</v>
      </c>
      <c r="F5" s="330" t="s">
        <v>167</v>
      </c>
      <c r="G5" s="327" t="s">
        <v>168</v>
      </c>
    </row>
    <row r="6" spans="1:11" ht="31.5" customHeight="1" x14ac:dyDescent="0.35">
      <c r="A6" s="331" t="s">
        <v>17</v>
      </c>
      <c r="B6" s="318">
        <f>+'2) Tableau budgetaire 2'!J207</f>
        <v>185666</v>
      </c>
      <c r="C6" s="319">
        <f>+'[4]Financial Report Template'!$E$20</f>
        <v>185892.95000000004</v>
      </c>
      <c r="D6" s="317">
        <f>+'2) Tableau budgetaire 2'!M207</f>
        <v>45000</v>
      </c>
      <c r="E6" s="320">
        <f>+'2) Tableau budgetaire 2'!S207</f>
        <v>49551</v>
      </c>
      <c r="F6" s="318">
        <f>+B6+D6</f>
        <v>230666</v>
      </c>
      <c r="G6" s="319">
        <f>+C6+E6</f>
        <v>235443.95000000004</v>
      </c>
    </row>
    <row r="7" spans="1:11" ht="31.5" customHeight="1" x14ac:dyDescent="0.35">
      <c r="A7" s="331" t="s">
        <v>18</v>
      </c>
      <c r="B7" s="318">
        <f>+'2) Tableau budgetaire 2'!J208</f>
        <v>0</v>
      </c>
      <c r="C7" s="319">
        <f>+'2) Tableau budgetaire 2'!R208</f>
        <v>0</v>
      </c>
      <c r="D7" s="317">
        <f>+'2) Tableau budgetaire 2'!M208</f>
        <v>2000</v>
      </c>
      <c r="E7" s="320">
        <f>+'2) Tableau budgetaire 2'!S208</f>
        <v>2478.7199999999998</v>
      </c>
      <c r="F7" s="318">
        <f t="shared" ref="F7:F15" si="0">+B7+D7</f>
        <v>2000</v>
      </c>
      <c r="G7" s="319">
        <f t="shared" ref="G7:G12" si="1">+C7+E7</f>
        <v>2478.7199999999998</v>
      </c>
    </row>
    <row r="8" spans="1:11" ht="31.5" customHeight="1" x14ac:dyDescent="0.35">
      <c r="A8" s="331" t="s">
        <v>19</v>
      </c>
      <c r="B8" s="318">
        <f>+'2) Tableau budgetaire 2'!J209</f>
        <v>10348</v>
      </c>
      <c r="C8" s="319">
        <f>+'[4]Financial Report Template'!$E$22</f>
        <v>30788.03</v>
      </c>
      <c r="D8" s="317">
        <f>+'2) Tableau budgetaire 2'!M209</f>
        <v>13100</v>
      </c>
      <c r="E8" s="320">
        <f>+'2) Tableau budgetaire 2'!S209</f>
        <v>14027.94</v>
      </c>
      <c r="F8" s="318">
        <f t="shared" si="0"/>
        <v>23448</v>
      </c>
      <c r="G8" s="319">
        <f t="shared" si="1"/>
        <v>44815.97</v>
      </c>
    </row>
    <row r="9" spans="1:11" ht="31.5" customHeight="1" x14ac:dyDescent="0.35">
      <c r="A9" s="331" t="s">
        <v>20</v>
      </c>
      <c r="B9" s="318">
        <f>+'2) Tableau budgetaire 2'!J210</f>
        <v>143742</v>
      </c>
      <c r="C9" s="319">
        <f>+'[4]Financial Report Template'!$E$23+2047.28</f>
        <v>114547.16</v>
      </c>
      <c r="D9" s="317">
        <f>+'2) Tableau budgetaire 2'!M210</f>
        <v>217774</v>
      </c>
      <c r="E9" s="320">
        <f>+'2) Tableau budgetaire 2'!S210</f>
        <v>63222</v>
      </c>
      <c r="F9" s="318">
        <f t="shared" si="0"/>
        <v>361516</v>
      </c>
      <c r="G9" s="319">
        <f t="shared" si="1"/>
        <v>177769.16</v>
      </c>
    </row>
    <row r="10" spans="1:11" ht="31.5" customHeight="1" x14ac:dyDescent="0.35">
      <c r="A10" s="331" t="s">
        <v>21</v>
      </c>
      <c r="B10" s="318">
        <f>+'2) Tableau budgetaire 2'!J211</f>
        <v>26518</v>
      </c>
      <c r="C10" s="319">
        <f>+'[4]Financial Report Template'!$E$24</f>
        <v>36395.21</v>
      </c>
      <c r="D10" s="317">
        <f>+'2) Tableau budgetaire 2'!M211</f>
        <v>15000</v>
      </c>
      <c r="E10" s="320">
        <f>+'2) Tableau budgetaire 2'!S211</f>
        <v>15831</v>
      </c>
      <c r="F10" s="318">
        <f t="shared" si="0"/>
        <v>41518</v>
      </c>
      <c r="G10" s="319">
        <f>+C10+E10</f>
        <v>52226.21</v>
      </c>
      <c r="K10" s="332"/>
    </row>
    <row r="11" spans="1:11" ht="31.5" customHeight="1" x14ac:dyDescent="0.35">
      <c r="A11" s="331" t="s">
        <v>22</v>
      </c>
      <c r="B11" s="318">
        <f>+'2) Tableau budgetaire 2'!J212</f>
        <v>325953</v>
      </c>
      <c r="C11" s="319">
        <f>281030.18-603.63</f>
        <v>280426.55</v>
      </c>
      <c r="D11" s="317">
        <f>+'2) Tableau budgetaire 2'!M212</f>
        <v>336500</v>
      </c>
      <c r="E11" s="320">
        <f>+'2) Tableau budgetaire 2'!S212</f>
        <v>210767.19</v>
      </c>
      <c r="F11" s="318">
        <f t="shared" si="0"/>
        <v>662453</v>
      </c>
      <c r="G11" s="319">
        <f t="shared" si="1"/>
        <v>491193.74</v>
      </c>
    </row>
    <row r="12" spans="1:11" ht="31.5" customHeight="1" x14ac:dyDescent="0.35">
      <c r="A12" s="331" t="s">
        <v>23</v>
      </c>
      <c r="B12" s="318">
        <f>+'2) Tableau budgetaire 2'!J213</f>
        <v>55543</v>
      </c>
      <c r="C12" s="319">
        <v>54806.65</v>
      </c>
      <c r="D12" s="317">
        <f>+'2) Tableau budgetaire 2'!M213</f>
        <v>24725.16</v>
      </c>
      <c r="E12" s="320">
        <f>+'2) Tableau budgetaire 2'!S213</f>
        <v>26822.510000000002</v>
      </c>
      <c r="F12" s="318">
        <f t="shared" si="0"/>
        <v>80268.160000000003</v>
      </c>
      <c r="G12" s="319">
        <f t="shared" si="1"/>
        <v>81629.16</v>
      </c>
    </row>
    <row r="13" spans="1:11" ht="31.5" customHeight="1" x14ac:dyDescent="0.35">
      <c r="A13" s="333" t="s">
        <v>169</v>
      </c>
      <c r="B13" s="334">
        <f>SUM(B6:B12)</f>
        <v>747770</v>
      </c>
      <c r="C13" s="335">
        <f>SUM(C6:C12)</f>
        <v>702856.55</v>
      </c>
      <c r="D13" s="334">
        <f>+'2) Tableau budgetaire 2'!M214</f>
        <v>654099.16</v>
      </c>
      <c r="E13" s="335">
        <f>+'2) Tableau budgetaire 2'!S214</f>
        <v>382700.36</v>
      </c>
      <c r="F13" s="334">
        <f t="shared" si="0"/>
        <v>1401869.1600000001</v>
      </c>
      <c r="G13" s="336">
        <f>SUM(G6:G12)</f>
        <v>1085556.9099999999</v>
      </c>
    </row>
    <row r="14" spans="1:11" ht="31.5" customHeight="1" x14ac:dyDescent="0.35">
      <c r="A14" s="331" t="s">
        <v>170</v>
      </c>
      <c r="B14" s="337">
        <v>52343.9</v>
      </c>
      <c r="C14" s="321">
        <f>C13*7%</f>
        <v>49199.958500000008</v>
      </c>
      <c r="D14" s="322">
        <f>+'2) Tableau budgetaire 2'!M215</f>
        <v>45786.941200000008</v>
      </c>
      <c r="E14" s="323">
        <f>+'2) Tableau budgetaire 2'!S215</f>
        <v>21207.45</v>
      </c>
      <c r="F14" s="324">
        <f t="shared" si="0"/>
        <v>98130.84120000001</v>
      </c>
      <c r="G14" s="338">
        <f>+C14+E14</f>
        <v>70407.408500000005</v>
      </c>
    </row>
    <row r="15" spans="1:11" ht="31.5" customHeight="1" thickBot="1" x14ac:dyDescent="0.4">
      <c r="A15" s="339" t="s">
        <v>73</v>
      </c>
      <c r="B15" s="340">
        <f>+B13+B14</f>
        <v>800113.9</v>
      </c>
      <c r="C15" s="341">
        <f>SUM(C13:C14)</f>
        <v>752056.5085</v>
      </c>
      <c r="D15" s="340">
        <f>+'2) Tableau budgetaire 2'!M216</f>
        <v>699886.10120000003</v>
      </c>
      <c r="E15" s="351">
        <f>+'2) Tableau budgetaire 2'!S216</f>
        <v>403907.81</v>
      </c>
      <c r="F15" s="340">
        <f t="shared" si="0"/>
        <v>1500000.0012000001</v>
      </c>
      <c r="G15" s="350">
        <f>+G13+G14</f>
        <v>1155964.3184999998</v>
      </c>
    </row>
    <row r="16" spans="1:11" x14ac:dyDescent="0.35">
      <c r="C16" s="342"/>
    </row>
    <row r="19" spans="7:7" x14ac:dyDescent="0.35">
      <c r="G19" s="332"/>
    </row>
  </sheetData>
  <mergeCells count="4">
    <mergeCell ref="A4:A5"/>
    <mergeCell ref="B4:C4"/>
    <mergeCell ref="D4:E4"/>
    <mergeCell ref="F4:G4"/>
  </mergeCells>
  <pageMargins left="0.7" right="0.7" top="0.75" bottom="0.75" header="0.3" footer="0.3"/>
  <pageSetup orientation="portrait" r:id="rId1"/>
  <ignoredErrors>
    <ignoredError sqref="G1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B4702-5831-4DF9-9D68-AAECD174B308}">
  <sheetPr filterMode="1"/>
  <dimension ref="A1:Z44"/>
  <sheetViews>
    <sheetView workbookViewId="0">
      <selection activeCell="E53" sqref="E53"/>
    </sheetView>
  </sheetViews>
  <sheetFormatPr baseColWidth="10" defaultColWidth="11.453125" defaultRowHeight="14.5" x14ac:dyDescent="0.35"/>
  <cols>
    <col min="1" max="1" width="34.54296875" bestFit="1" customWidth="1"/>
  </cols>
  <sheetData>
    <row r="1" spans="1:26" x14ac:dyDescent="0.35">
      <c r="A1" t="s">
        <v>194</v>
      </c>
      <c r="B1" t="s">
        <v>307</v>
      </c>
      <c r="C1" t="s">
        <v>195</v>
      </c>
      <c r="D1" t="s">
        <v>196</v>
      </c>
      <c r="E1" t="s">
        <v>197</v>
      </c>
      <c r="F1" t="s">
        <v>198</v>
      </c>
      <c r="G1" t="s">
        <v>199</v>
      </c>
      <c r="H1" t="s">
        <v>200</v>
      </c>
      <c r="I1" t="s">
        <v>201</v>
      </c>
      <c r="J1" t="s">
        <v>202</v>
      </c>
      <c r="K1" t="s">
        <v>203</v>
      </c>
      <c r="L1" t="s">
        <v>204</v>
      </c>
      <c r="M1" t="s">
        <v>205</v>
      </c>
      <c r="N1" t="s">
        <v>206</v>
      </c>
      <c r="O1" t="s">
        <v>207</v>
      </c>
      <c r="P1" t="s">
        <v>208</v>
      </c>
      <c r="Q1" t="s">
        <v>209</v>
      </c>
      <c r="R1" t="s">
        <v>210</v>
      </c>
      <c r="S1" t="s">
        <v>210</v>
      </c>
      <c r="T1" t="s">
        <v>210</v>
      </c>
      <c r="U1" t="s">
        <v>210</v>
      </c>
      <c r="V1" t="s">
        <v>210</v>
      </c>
      <c r="W1" t="s">
        <v>210</v>
      </c>
      <c r="X1" t="s">
        <v>210</v>
      </c>
      <c r="Y1" t="s">
        <v>210</v>
      </c>
      <c r="Z1" t="s">
        <v>210</v>
      </c>
    </row>
    <row r="2" spans="1:26" hidden="1" x14ac:dyDescent="0.35">
      <c r="A2" t="s">
        <v>214</v>
      </c>
      <c r="B2" t="s">
        <v>308</v>
      </c>
      <c r="C2" t="s">
        <v>215</v>
      </c>
      <c r="D2" t="s">
        <v>211</v>
      </c>
      <c r="E2">
        <v>40032</v>
      </c>
      <c r="F2">
        <v>0</v>
      </c>
      <c r="G2">
        <v>42866.32</v>
      </c>
      <c r="H2">
        <v>0</v>
      </c>
      <c r="I2">
        <v>0</v>
      </c>
      <c r="J2">
        <v>-2834.32</v>
      </c>
      <c r="K2">
        <v>-2834.32</v>
      </c>
      <c r="L2" s="360">
        <v>1.07</v>
      </c>
      <c r="M2" t="s">
        <v>216</v>
      </c>
      <c r="N2" s="360">
        <v>1.07</v>
      </c>
      <c r="O2" s="360">
        <v>1.07</v>
      </c>
      <c r="P2" t="s">
        <v>212</v>
      </c>
      <c r="Q2" t="s">
        <v>213</v>
      </c>
    </row>
    <row r="3" spans="1:26" hidden="1" x14ac:dyDescent="0.35">
      <c r="A3" t="s">
        <v>217</v>
      </c>
      <c r="B3" t="s">
        <v>308</v>
      </c>
      <c r="C3" t="s">
        <v>218</v>
      </c>
      <c r="D3" t="s">
        <v>211</v>
      </c>
      <c r="E3">
        <v>86472</v>
      </c>
      <c r="F3">
        <v>0</v>
      </c>
      <c r="G3">
        <v>91206.43</v>
      </c>
      <c r="H3">
        <v>0</v>
      </c>
      <c r="I3">
        <v>0</v>
      </c>
      <c r="J3">
        <v>-4734.43</v>
      </c>
      <c r="K3">
        <v>-4734.43</v>
      </c>
      <c r="L3" s="360">
        <v>1.05</v>
      </c>
      <c r="M3" t="s">
        <v>219</v>
      </c>
      <c r="N3" s="360">
        <v>1.05</v>
      </c>
      <c r="O3" s="360">
        <v>1.05</v>
      </c>
      <c r="P3" t="s">
        <v>212</v>
      </c>
      <c r="Q3" t="s">
        <v>213</v>
      </c>
    </row>
    <row r="4" spans="1:26" hidden="1" x14ac:dyDescent="0.35">
      <c r="A4" t="s">
        <v>220</v>
      </c>
      <c r="B4" t="s">
        <v>308</v>
      </c>
      <c r="C4" t="s">
        <v>221</v>
      </c>
      <c r="D4" t="s">
        <v>211</v>
      </c>
      <c r="E4">
        <v>30585.72</v>
      </c>
      <c r="F4">
        <v>0</v>
      </c>
      <c r="G4">
        <v>27362.59</v>
      </c>
      <c r="H4">
        <v>0</v>
      </c>
      <c r="I4">
        <v>0</v>
      </c>
      <c r="J4">
        <v>3223.13</v>
      </c>
      <c r="K4">
        <v>3223.13</v>
      </c>
      <c r="L4" s="360">
        <v>0.89</v>
      </c>
      <c r="M4" s="360">
        <v>0.11</v>
      </c>
      <c r="N4" s="360">
        <v>0.89</v>
      </c>
      <c r="O4" s="360">
        <v>0.89</v>
      </c>
      <c r="P4" t="s">
        <v>212</v>
      </c>
      <c r="Q4" t="s">
        <v>213</v>
      </c>
    </row>
    <row r="5" spans="1:26" hidden="1" x14ac:dyDescent="0.35">
      <c r="A5" t="s">
        <v>222</v>
      </c>
      <c r="B5" t="s">
        <v>308</v>
      </c>
      <c r="C5" t="s">
        <v>223</v>
      </c>
      <c r="D5" t="s">
        <v>211</v>
      </c>
      <c r="E5">
        <v>13805.66</v>
      </c>
      <c r="F5">
        <v>0</v>
      </c>
      <c r="G5">
        <v>12906.58</v>
      </c>
      <c r="H5">
        <v>0</v>
      </c>
      <c r="I5">
        <v>0</v>
      </c>
      <c r="J5">
        <v>899.08</v>
      </c>
      <c r="K5">
        <v>899.08</v>
      </c>
      <c r="L5" s="360">
        <v>0.93</v>
      </c>
      <c r="M5" s="360">
        <v>7.0000000000000007E-2</v>
      </c>
      <c r="N5" s="360">
        <v>0.93</v>
      </c>
      <c r="O5" s="360">
        <v>0.93</v>
      </c>
      <c r="P5" t="s">
        <v>212</v>
      </c>
      <c r="Q5" t="s">
        <v>213</v>
      </c>
    </row>
    <row r="6" spans="1:26" hidden="1" x14ac:dyDescent="0.35">
      <c r="A6" t="s">
        <v>224</v>
      </c>
      <c r="B6" t="s">
        <v>308</v>
      </c>
      <c r="C6" t="s">
        <v>225</v>
      </c>
      <c r="D6" t="s">
        <v>211</v>
      </c>
      <c r="E6">
        <v>5400</v>
      </c>
      <c r="F6">
        <v>0</v>
      </c>
      <c r="G6">
        <v>4237</v>
      </c>
      <c r="H6">
        <v>0</v>
      </c>
      <c r="I6">
        <v>0</v>
      </c>
      <c r="J6">
        <v>1163</v>
      </c>
      <c r="K6">
        <v>1163</v>
      </c>
      <c r="L6" s="360">
        <v>0.78</v>
      </c>
      <c r="M6" s="360">
        <v>0.22</v>
      </c>
      <c r="N6" s="360">
        <v>0.78</v>
      </c>
      <c r="O6" s="360">
        <v>0.78</v>
      </c>
      <c r="P6" t="s">
        <v>212</v>
      </c>
      <c r="Q6" t="s">
        <v>213</v>
      </c>
    </row>
    <row r="7" spans="1:26" hidden="1" x14ac:dyDescent="0.35">
      <c r="A7" t="s">
        <v>226</v>
      </c>
      <c r="B7" t="s">
        <v>308</v>
      </c>
      <c r="C7" t="s">
        <v>227</v>
      </c>
      <c r="D7" t="s">
        <v>211</v>
      </c>
      <c r="E7">
        <v>7970.4</v>
      </c>
      <c r="F7">
        <v>0</v>
      </c>
      <c r="G7">
        <v>6013.55</v>
      </c>
      <c r="H7">
        <v>0</v>
      </c>
      <c r="I7">
        <v>0</v>
      </c>
      <c r="J7">
        <v>1956.85</v>
      </c>
      <c r="K7">
        <v>1956.85</v>
      </c>
      <c r="L7" s="360">
        <v>0.75</v>
      </c>
      <c r="M7" s="360">
        <v>0.25</v>
      </c>
      <c r="N7" s="360">
        <v>0.75</v>
      </c>
      <c r="O7" s="360">
        <v>0.75</v>
      </c>
      <c r="P7" t="s">
        <v>212</v>
      </c>
      <c r="Q7" t="s">
        <v>213</v>
      </c>
    </row>
    <row r="8" spans="1:26" hidden="1" x14ac:dyDescent="0.35">
      <c r="A8" t="s">
        <v>228</v>
      </c>
      <c r="B8" t="s">
        <v>308</v>
      </c>
      <c r="C8" t="s">
        <v>229</v>
      </c>
      <c r="D8" t="s">
        <v>211</v>
      </c>
      <c r="E8">
        <v>1399.68</v>
      </c>
      <c r="F8">
        <v>0</v>
      </c>
      <c r="G8">
        <v>1300.48</v>
      </c>
      <c r="H8">
        <v>0</v>
      </c>
      <c r="I8">
        <v>0</v>
      </c>
      <c r="J8">
        <v>99.2</v>
      </c>
      <c r="K8">
        <v>99.2</v>
      </c>
      <c r="L8" s="360">
        <v>0.93</v>
      </c>
      <c r="M8" s="360">
        <v>7.0000000000000007E-2</v>
      </c>
      <c r="N8" s="360">
        <v>0.93</v>
      </c>
      <c r="O8" s="360">
        <v>0.93</v>
      </c>
      <c r="P8" t="s">
        <v>212</v>
      </c>
      <c r="Q8" t="s">
        <v>213</v>
      </c>
    </row>
    <row r="9" spans="1:26" hidden="1" x14ac:dyDescent="0.35">
      <c r="A9" t="s">
        <v>230</v>
      </c>
      <c r="B9" t="s">
        <v>309</v>
      </c>
      <c r="C9" t="s">
        <v>231</v>
      </c>
      <c r="D9" t="s">
        <v>211</v>
      </c>
      <c r="E9">
        <v>14646</v>
      </c>
      <c r="F9">
        <v>0</v>
      </c>
      <c r="G9">
        <v>15603.06</v>
      </c>
      <c r="H9">
        <v>0</v>
      </c>
      <c r="I9">
        <v>0</v>
      </c>
      <c r="J9">
        <v>-957.06</v>
      </c>
      <c r="K9">
        <v>-957.06</v>
      </c>
      <c r="L9" s="360">
        <v>1.07</v>
      </c>
      <c r="M9" t="s">
        <v>216</v>
      </c>
      <c r="N9" s="360">
        <v>1.07</v>
      </c>
      <c r="O9" s="360">
        <v>1.07</v>
      </c>
      <c r="P9" t="s">
        <v>212</v>
      </c>
      <c r="Q9" t="s">
        <v>213</v>
      </c>
    </row>
    <row r="10" spans="1:26" hidden="1" x14ac:dyDescent="0.35">
      <c r="A10" t="s">
        <v>232</v>
      </c>
      <c r="B10" t="s">
        <v>309</v>
      </c>
      <c r="C10" t="s">
        <v>233</v>
      </c>
      <c r="D10" t="s">
        <v>211</v>
      </c>
      <c r="E10">
        <v>3388.8</v>
      </c>
      <c r="F10">
        <v>0</v>
      </c>
      <c r="G10">
        <v>3385.73</v>
      </c>
      <c r="H10">
        <v>0</v>
      </c>
      <c r="I10">
        <v>0</v>
      </c>
      <c r="J10">
        <v>3.07</v>
      </c>
      <c r="K10">
        <v>3.07</v>
      </c>
      <c r="L10" s="360">
        <v>1</v>
      </c>
      <c r="M10" s="360">
        <v>0</v>
      </c>
      <c r="N10" s="360">
        <v>1</v>
      </c>
      <c r="O10" s="360">
        <v>1</v>
      </c>
      <c r="P10" t="s">
        <v>212</v>
      </c>
      <c r="Q10" t="s">
        <v>213</v>
      </c>
    </row>
    <row r="11" spans="1:26" hidden="1" x14ac:dyDescent="0.35">
      <c r="A11" t="s">
        <v>234</v>
      </c>
      <c r="B11" t="s">
        <v>309</v>
      </c>
      <c r="C11" t="s">
        <v>235</v>
      </c>
      <c r="D11" t="s">
        <v>211</v>
      </c>
      <c r="E11">
        <v>10800</v>
      </c>
      <c r="F11">
        <v>0</v>
      </c>
      <c r="G11">
        <v>7832.42</v>
      </c>
      <c r="H11">
        <v>0</v>
      </c>
      <c r="I11">
        <v>127.69</v>
      </c>
      <c r="J11">
        <v>2839.89</v>
      </c>
      <c r="K11">
        <v>2839.89</v>
      </c>
      <c r="L11" s="360">
        <v>0.74</v>
      </c>
      <c r="M11" s="360">
        <v>0.26</v>
      </c>
      <c r="N11" s="360">
        <v>0.73</v>
      </c>
      <c r="O11" s="360">
        <v>0.74</v>
      </c>
      <c r="P11" t="s">
        <v>212</v>
      </c>
      <c r="Q11" t="s">
        <v>213</v>
      </c>
    </row>
    <row r="12" spans="1:26" hidden="1" x14ac:dyDescent="0.35">
      <c r="A12" t="s">
        <v>236</v>
      </c>
      <c r="B12" t="s">
        <v>309</v>
      </c>
      <c r="C12" t="s">
        <v>237</v>
      </c>
      <c r="D12" t="s">
        <v>211</v>
      </c>
      <c r="E12">
        <v>5130</v>
      </c>
      <c r="F12">
        <v>0</v>
      </c>
      <c r="G12">
        <v>1807.99</v>
      </c>
      <c r="H12">
        <v>0</v>
      </c>
      <c r="I12">
        <v>0</v>
      </c>
      <c r="J12">
        <v>3322.01</v>
      </c>
      <c r="K12">
        <v>3322.01</v>
      </c>
      <c r="L12" s="360">
        <v>0.35</v>
      </c>
      <c r="M12" s="360">
        <v>0.65</v>
      </c>
      <c r="N12" s="360">
        <v>0.35</v>
      </c>
      <c r="O12" s="360">
        <v>0.35</v>
      </c>
      <c r="P12" t="s">
        <v>212</v>
      </c>
      <c r="Q12" t="s">
        <v>213</v>
      </c>
    </row>
    <row r="13" spans="1:26" hidden="1" x14ac:dyDescent="0.35">
      <c r="A13" t="s">
        <v>238</v>
      </c>
      <c r="B13" t="s">
        <v>309</v>
      </c>
      <c r="C13" t="s">
        <v>239</v>
      </c>
      <c r="D13" t="s">
        <v>211</v>
      </c>
      <c r="E13">
        <v>5940</v>
      </c>
      <c r="F13">
        <v>0</v>
      </c>
      <c r="G13">
        <v>6468.99</v>
      </c>
      <c r="H13">
        <v>0</v>
      </c>
      <c r="I13">
        <v>0</v>
      </c>
      <c r="J13">
        <v>-528.99</v>
      </c>
      <c r="K13">
        <v>-528.99</v>
      </c>
      <c r="L13" s="360">
        <v>1.0900000000000001</v>
      </c>
      <c r="M13" t="s">
        <v>240</v>
      </c>
      <c r="N13" s="360">
        <v>1.0900000000000001</v>
      </c>
      <c r="O13" s="360">
        <v>1.0900000000000001</v>
      </c>
      <c r="P13" t="s">
        <v>212</v>
      </c>
      <c r="Q13" t="s">
        <v>213</v>
      </c>
    </row>
    <row r="14" spans="1:26" hidden="1" x14ac:dyDescent="0.35">
      <c r="A14" t="s">
        <v>241</v>
      </c>
      <c r="B14" t="s">
        <v>309</v>
      </c>
      <c r="C14" t="s">
        <v>242</v>
      </c>
      <c r="D14" t="s">
        <v>211</v>
      </c>
      <c r="E14">
        <v>3000.14</v>
      </c>
      <c r="F14">
        <v>0</v>
      </c>
      <c r="G14">
        <v>117</v>
      </c>
      <c r="H14">
        <v>0</v>
      </c>
      <c r="I14">
        <v>0</v>
      </c>
      <c r="J14">
        <v>2883.14</v>
      </c>
      <c r="K14">
        <v>2883.14</v>
      </c>
      <c r="L14" s="360">
        <v>0.04</v>
      </c>
      <c r="M14" s="360">
        <v>0.96</v>
      </c>
      <c r="N14" s="360">
        <v>0.04</v>
      </c>
      <c r="O14" s="360">
        <v>0.04</v>
      </c>
      <c r="P14" t="s">
        <v>212</v>
      </c>
      <c r="Q14" t="s">
        <v>213</v>
      </c>
    </row>
    <row r="15" spans="1:26" hidden="1" x14ac:dyDescent="0.35">
      <c r="A15" t="s">
        <v>243</v>
      </c>
      <c r="B15" t="s">
        <v>309</v>
      </c>
      <c r="C15" t="s">
        <v>244</v>
      </c>
      <c r="D15" t="s">
        <v>211</v>
      </c>
      <c r="E15">
        <v>11289.6</v>
      </c>
      <c r="F15">
        <v>0</v>
      </c>
      <c r="G15">
        <v>8594.59</v>
      </c>
      <c r="H15">
        <v>0</v>
      </c>
      <c r="I15">
        <v>0</v>
      </c>
      <c r="J15">
        <v>2695.01</v>
      </c>
      <c r="K15">
        <v>2695.01</v>
      </c>
      <c r="L15" s="360">
        <v>0.76</v>
      </c>
      <c r="M15" s="360">
        <v>0.24</v>
      </c>
      <c r="N15" s="360">
        <v>0.76</v>
      </c>
      <c r="O15" s="360">
        <v>0.76</v>
      </c>
      <c r="P15" t="s">
        <v>212</v>
      </c>
      <c r="Q15" t="s">
        <v>213</v>
      </c>
    </row>
    <row r="16" spans="1:26" hidden="1" x14ac:dyDescent="0.35">
      <c r="A16" t="s">
        <v>245</v>
      </c>
      <c r="B16" t="s">
        <v>326</v>
      </c>
      <c r="C16" t="s">
        <v>246</v>
      </c>
      <c r="D16" t="s">
        <v>211</v>
      </c>
      <c r="E16">
        <v>84000</v>
      </c>
      <c r="F16">
        <v>0</v>
      </c>
      <c r="G16">
        <v>74294.69</v>
      </c>
      <c r="H16">
        <v>0</v>
      </c>
      <c r="I16">
        <v>0</v>
      </c>
      <c r="J16">
        <v>9705.31</v>
      </c>
      <c r="K16">
        <v>9705.31</v>
      </c>
      <c r="L16" s="360">
        <v>0.88</v>
      </c>
      <c r="M16" s="360">
        <v>0.12</v>
      </c>
      <c r="N16" s="360">
        <v>0.88</v>
      </c>
      <c r="O16" s="360">
        <v>0.88</v>
      </c>
      <c r="P16" t="s">
        <v>212</v>
      </c>
      <c r="Q16" t="s">
        <v>213</v>
      </c>
    </row>
    <row r="17" spans="1:17" hidden="1" x14ac:dyDescent="0.35">
      <c r="A17" t="s">
        <v>247</v>
      </c>
      <c r="B17" t="s">
        <v>317</v>
      </c>
      <c r="C17" t="s">
        <v>248</v>
      </c>
      <c r="D17" t="s">
        <v>211</v>
      </c>
      <c r="E17">
        <v>150000</v>
      </c>
      <c r="F17">
        <v>0</v>
      </c>
      <c r="G17">
        <v>137026.68</v>
      </c>
      <c r="H17">
        <v>0</v>
      </c>
      <c r="I17">
        <v>0</v>
      </c>
      <c r="J17">
        <v>12973.32</v>
      </c>
      <c r="K17">
        <v>12973.32</v>
      </c>
      <c r="L17" s="360">
        <v>0.91</v>
      </c>
      <c r="M17" s="360">
        <v>0.09</v>
      </c>
      <c r="N17" s="360">
        <v>0.91</v>
      </c>
      <c r="O17" s="360">
        <v>0.91</v>
      </c>
      <c r="P17" t="s">
        <v>212</v>
      </c>
      <c r="Q17" t="s">
        <v>213</v>
      </c>
    </row>
    <row r="18" spans="1:17" hidden="1" x14ac:dyDescent="0.35">
      <c r="A18" t="s">
        <v>249</v>
      </c>
      <c r="B18" t="s">
        <v>314</v>
      </c>
      <c r="C18" t="s">
        <v>250</v>
      </c>
      <c r="D18" t="s">
        <v>211</v>
      </c>
      <c r="E18">
        <v>63000</v>
      </c>
      <c r="F18">
        <v>0</v>
      </c>
      <c r="G18">
        <v>60375.07</v>
      </c>
      <c r="H18">
        <v>0</v>
      </c>
      <c r="I18">
        <v>0</v>
      </c>
      <c r="J18">
        <v>2624.93</v>
      </c>
      <c r="K18">
        <v>2624.93</v>
      </c>
      <c r="L18" s="360">
        <v>0.96</v>
      </c>
      <c r="M18" s="360">
        <v>0.04</v>
      </c>
      <c r="N18" s="360">
        <v>0.96</v>
      </c>
      <c r="O18" s="360">
        <v>0.96</v>
      </c>
      <c r="P18" t="s">
        <v>212</v>
      </c>
      <c r="Q18" t="s">
        <v>213</v>
      </c>
    </row>
    <row r="19" spans="1:17" hidden="1" x14ac:dyDescent="0.35">
      <c r="A19" t="s">
        <v>251</v>
      </c>
      <c r="B19" t="s">
        <v>314</v>
      </c>
      <c r="C19" t="s">
        <v>252</v>
      </c>
      <c r="D19" t="s">
        <v>211</v>
      </c>
      <c r="E19">
        <v>2000</v>
      </c>
      <c r="F19">
        <v>0</v>
      </c>
      <c r="G19">
        <v>1437.84</v>
      </c>
      <c r="H19">
        <v>0</v>
      </c>
      <c r="I19">
        <v>0</v>
      </c>
      <c r="J19">
        <v>562.16</v>
      </c>
      <c r="K19">
        <v>562.16</v>
      </c>
      <c r="L19" s="360">
        <v>0.72</v>
      </c>
      <c r="M19" s="360">
        <v>0.28000000000000003</v>
      </c>
      <c r="N19" s="360">
        <v>0.72</v>
      </c>
      <c r="O19" s="360">
        <v>0.72</v>
      </c>
      <c r="P19" t="s">
        <v>212</v>
      </c>
      <c r="Q19" t="s">
        <v>213</v>
      </c>
    </row>
    <row r="20" spans="1:17" hidden="1" x14ac:dyDescent="0.35">
      <c r="A20" t="s">
        <v>253</v>
      </c>
      <c r="B20" t="s">
        <v>313</v>
      </c>
      <c r="C20" t="s">
        <v>254</v>
      </c>
      <c r="D20" t="s">
        <v>211</v>
      </c>
      <c r="E20">
        <v>9807</v>
      </c>
      <c r="F20">
        <v>0</v>
      </c>
      <c r="G20">
        <v>9737.57</v>
      </c>
      <c r="H20">
        <v>0</v>
      </c>
      <c r="I20">
        <v>0</v>
      </c>
      <c r="J20">
        <v>69.430000000000007</v>
      </c>
      <c r="K20">
        <v>69.430000000000007</v>
      </c>
      <c r="L20" s="360">
        <v>0.99</v>
      </c>
      <c r="M20" s="360">
        <v>0.01</v>
      </c>
      <c r="N20" s="360">
        <v>0.99</v>
      </c>
      <c r="O20" s="360">
        <v>0.99</v>
      </c>
      <c r="P20" t="s">
        <v>212</v>
      </c>
      <c r="Q20" t="s">
        <v>213</v>
      </c>
    </row>
    <row r="21" spans="1:17" hidden="1" x14ac:dyDescent="0.35">
      <c r="A21" t="s">
        <v>255</v>
      </c>
      <c r="B21" t="s">
        <v>313</v>
      </c>
      <c r="C21" t="s">
        <v>256</v>
      </c>
      <c r="D21" t="s">
        <v>211</v>
      </c>
      <c r="E21">
        <v>30393</v>
      </c>
      <c r="F21">
        <v>0</v>
      </c>
      <c r="G21">
        <v>29114.2</v>
      </c>
      <c r="H21">
        <v>0</v>
      </c>
      <c r="I21">
        <v>0</v>
      </c>
      <c r="J21">
        <v>1278.8</v>
      </c>
      <c r="K21">
        <v>1278.8</v>
      </c>
      <c r="L21" s="360">
        <v>0.96</v>
      </c>
      <c r="M21" s="360">
        <v>0.04</v>
      </c>
      <c r="N21" s="360">
        <v>0.96</v>
      </c>
      <c r="O21" s="360">
        <v>0.96</v>
      </c>
      <c r="P21" t="s">
        <v>212</v>
      </c>
      <c r="Q21" t="s">
        <v>213</v>
      </c>
    </row>
    <row r="22" spans="1:17" hidden="1" x14ac:dyDescent="0.35">
      <c r="A22" t="s">
        <v>257</v>
      </c>
      <c r="B22" t="s">
        <v>312</v>
      </c>
      <c r="C22" t="s">
        <v>258</v>
      </c>
      <c r="D22" t="s">
        <v>211</v>
      </c>
      <c r="E22">
        <v>4903</v>
      </c>
      <c r="F22">
        <v>0</v>
      </c>
      <c r="G22">
        <v>4903.26</v>
      </c>
      <c r="H22">
        <v>0</v>
      </c>
      <c r="I22">
        <v>0</v>
      </c>
      <c r="J22">
        <v>-0.26</v>
      </c>
      <c r="K22">
        <v>-0.26</v>
      </c>
      <c r="L22" s="360">
        <v>1</v>
      </c>
      <c r="M22" s="360">
        <v>0</v>
      </c>
      <c r="N22" s="360">
        <v>1</v>
      </c>
      <c r="O22" s="360">
        <v>1</v>
      </c>
      <c r="P22" t="s">
        <v>212</v>
      </c>
      <c r="Q22" t="s">
        <v>213</v>
      </c>
    </row>
    <row r="23" spans="1:17" hidden="1" x14ac:dyDescent="0.35">
      <c r="A23" t="s">
        <v>259</v>
      </c>
      <c r="B23" t="s">
        <v>325</v>
      </c>
      <c r="C23" t="s">
        <v>260</v>
      </c>
      <c r="D23" t="s">
        <v>211</v>
      </c>
      <c r="E23">
        <v>500</v>
      </c>
      <c r="F23">
        <v>0</v>
      </c>
      <c r="G23">
        <v>2.31</v>
      </c>
      <c r="H23">
        <v>0</v>
      </c>
      <c r="I23">
        <v>0</v>
      </c>
      <c r="J23">
        <v>497.69</v>
      </c>
      <c r="K23">
        <v>497.69</v>
      </c>
      <c r="L23" s="360">
        <v>0</v>
      </c>
      <c r="M23" s="360">
        <v>1</v>
      </c>
      <c r="N23" s="360">
        <v>0</v>
      </c>
      <c r="O23" s="360">
        <v>0</v>
      </c>
      <c r="P23" t="s">
        <v>212</v>
      </c>
      <c r="Q23" t="s">
        <v>213</v>
      </c>
    </row>
    <row r="24" spans="1:17" hidden="1" x14ac:dyDescent="0.35">
      <c r="A24" t="s">
        <v>261</v>
      </c>
      <c r="B24" t="s">
        <v>323</v>
      </c>
      <c r="C24" t="s">
        <v>262</v>
      </c>
      <c r="D24" t="s">
        <v>211</v>
      </c>
      <c r="E24">
        <v>1000</v>
      </c>
      <c r="F24">
        <v>0</v>
      </c>
      <c r="G24">
        <v>6393.28</v>
      </c>
      <c r="H24">
        <v>0</v>
      </c>
      <c r="I24">
        <v>0</v>
      </c>
      <c r="J24">
        <v>-5393.28</v>
      </c>
      <c r="K24">
        <v>-5393.28</v>
      </c>
      <c r="L24" s="360">
        <v>6.39</v>
      </c>
      <c r="M24" t="s">
        <v>263</v>
      </c>
      <c r="N24" s="360">
        <v>6.39</v>
      </c>
      <c r="O24" s="360">
        <v>6.39</v>
      </c>
      <c r="P24" t="s">
        <v>212</v>
      </c>
      <c r="Q24" t="s">
        <v>213</v>
      </c>
    </row>
    <row r="25" spans="1:17" hidden="1" x14ac:dyDescent="0.35">
      <c r="A25" t="s">
        <v>264</v>
      </c>
      <c r="B25" t="s">
        <v>315</v>
      </c>
      <c r="C25" t="s">
        <v>265</v>
      </c>
      <c r="D25" t="s">
        <v>211</v>
      </c>
      <c r="E25">
        <v>550</v>
      </c>
      <c r="F25">
        <v>0</v>
      </c>
      <c r="G25">
        <v>550</v>
      </c>
      <c r="H25">
        <v>0</v>
      </c>
      <c r="I25">
        <v>0</v>
      </c>
      <c r="J25">
        <v>0</v>
      </c>
      <c r="K25">
        <v>0</v>
      </c>
      <c r="L25" s="360">
        <v>1</v>
      </c>
      <c r="M25" s="360">
        <v>0</v>
      </c>
      <c r="N25" s="360">
        <v>1</v>
      </c>
      <c r="O25" s="360">
        <v>1</v>
      </c>
      <c r="P25" t="s">
        <v>212</v>
      </c>
      <c r="Q25" t="s">
        <v>213</v>
      </c>
    </row>
    <row r="26" spans="1:17" hidden="1" x14ac:dyDescent="0.35">
      <c r="A26" t="s">
        <v>266</v>
      </c>
      <c r="B26" t="s">
        <v>315</v>
      </c>
      <c r="C26" t="s">
        <v>267</v>
      </c>
      <c r="D26" t="s">
        <v>211</v>
      </c>
      <c r="E26">
        <v>3050</v>
      </c>
      <c r="F26">
        <v>0</v>
      </c>
      <c r="G26">
        <v>3000.33</v>
      </c>
      <c r="H26">
        <v>0</v>
      </c>
      <c r="I26">
        <v>0</v>
      </c>
      <c r="J26">
        <v>49.67</v>
      </c>
      <c r="K26">
        <v>49.67</v>
      </c>
      <c r="L26" s="360">
        <v>0.98</v>
      </c>
      <c r="M26" s="360">
        <v>0.02</v>
      </c>
      <c r="N26" s="360">
        <v>0.98</v>
      </c>
      <c r="O26" s="360">
        <v>0.98</v>
      </c>
      <c r="P26" t="s">
        <v>212</v>
      </c>
      <c r="Q26" t="s">
        <v>213</v>
      </c>
    </row>
    <row r="27" spans="1:17" hidden="1" x14ac:dyDescent="0.35">
      <c r="A27" t="s">
        <v>268</v>
      </c>
      <c r="B27" t="s">
        <v>323</v>
      </c>
      <c r="C27" t="s">
        <v>269</v>
      </c>
      <c r="D27" t="s">
        <v>211</v>
      </c>
      <c r="E27">
        <v>7000</v>
      </c>
      <c r="F27">
        <v>0</v>
      </c>
      <c r="G27">
        <v>8746.25</v>
      </c>
      <c r="H27">
        <v>0</v>
      </c>
      <c r="I27">
        <v>0</v>
      </c>
      <c r="J27">
        <v>-1746.25</v>
      </c>
      <c r="K27">
        <v>-1746.25</v>
      </c>
      <c r="L27" s="360">
        <v>1.25</v>
      </c>
      <c r="M27" t="s">
        <v>270</v>
      </c>
      <c r="N27" s="360">
        <v>1.25</v>
      </c>
      <c r="O27" s="360">
        <v>1.25</v>
      </c>
      <c r="P27" t="s">
        <v>212</v>
      </c>
      <c r="Q27" t="s">
        <v>213</v>
      </c>
    </row>
    <row r="28" spans="1:17" hidden="1" x14ac:dyDescent="0.35">
      <c r="A28" t="s">
        <v>271</v>
      </c>
      <c r="B28" t="s">
        <v>323</v>
      </c>
      <c r="C28" t="s">
        <v>272</v>
      </c>
      <c r="D28" t="s">
        <v>211</v>
      </c>
      <c r="E28">
        <v>1300</v>
      </c>
      <c r="F28">
        <v>0</v>
      </c>
      <c r="G28">
        <v>3519.03</v>
      </c>
      <c r="H28">
        <v>0</v>
      </c>
      <c r="I28">
        <v>0</v>
      </c>
      <c r="J28">
        <v>-2219.0300000000002</v>
      </c>
      <c r="K28">
        <v>-2219.0300000000002</v>
      </c>
      <c r="L28" s="360">
        <v>2.71</v>
      </c>
      <c r="M28" t="s">
        <v>273</v>
      </c>
      <c r="N28" s="360">
        <v>2.71</v>
      </c>
      <c r="O28" s="360">
        <v>2.71</v>
      </c>
      <c r="P28" t="s">
        <v>212</v>
      </c>
      <c r="Q28" t="s">
        <v>213</v>
      </c>
    </row>
    <row r="29" spans="1:17" hidden="1" x14ac:dyDescent="0.35">
      <c r="A29" t="s">
        <v>274</v>
      </c>
      <c r="B29" t="s">
        <v>325</v>
      </c>
      <c r="C29" t="s">
        <v>275</v>
      </c>
      <c r="D29" t="s">
        <v>211</v>
      </c>
      <c r="E29">
        <v>700</v>
      </c>
      <c r="F29">
        <v>0</v>
      </c>
      <c r="G29">
        <v>36.630000000000003</v>
      </c>
      <c r="H29">
        <v>0</v>
      </c>
      <c r="I29">
        <v>0</v>
      </c>
      <c r="J29">
        <v>663.37</v>
      </c>
      <c r="K29">
        <v>663.37</v>
      </c>
      <c r="L29" s="360">
        <v>0.05</v>
      </c>
      <c r="M29" s="360">
        <v>0.95</v>
      </c>
      <c r="N29" s="360">
        <v>0.05</v>
      </c>
      <c r="O29" s="360">
        <v>0.05</v>
      </c>
      <c r="P29" t="s">
        <v>212</v>
      </c>
      <c r="Q29" t="s">
        <v>213</v>
      </c>
    </row>
    <row r="30" spans="1:17" hidden="1" x14ac:dyDescent="0.35">
      <c r="A30" t="s">
        <v>276</v>
      </c>
      <c r="B30" t="s">
        <v>322</v>
      </c>
      <c r="C30" t="s">
        <v>277</v>
      </c>
      <c r="D30" t="s">
        <v>211</v>
      </c>
      <c r="E30">
        <v>6000</v>
      </c>
      <c r="F30">
        <v>0</v>
      </c>
      <c r="G30">
        <v>5767.75</v>
      </c>
      <c r="H30">
        <v>0</v>
      </c>
      <c r="I30">
        <v>0</v>
      </c>
      <c r="J30">
        <v>232.25</v>
      </c>
      <c r="K30">
        <v>232.25</v>
      </c>
      <c r="L30" s="360">
        <v>0.96</v>
      </c>
      <c r="M30" s="360">
        <v>0.04</v>
      </c>
      <c r="N30" s="360">
        <v>0.96</v>
      </c>
      <c r="O30" s="360">
        <v>0.96</v>
      </c>
      <c r="P30" t="s">
        <v>212</v>
      </c>
      <c r="Q30" t="s">
        <v>213</v>
      </c>
    </row>
    <row r="31" spans="1:17" hidden="1" x14ac:dyDescent="0.35">
      <c r="A31" t="s">
        <v>278</v>
      </c>
      <c r="B31" t="s">
        <v>321</v>
      </c>
      <c r="C31" t="s">
        <v>279</v>
      </c>
      <c r="D31" t="s">
        <v>211</v>
      </c>
      <c r="E31">
        <v>48250</v>
      </c>
      <c r="F31">
        <v>0</v>
      </c>
      <c r="G31">
        <v>42057.75</v>
      </c>
      <c r="H31">
        <v>0</v>
      </c>
      <c r="I31">
        <v>0</v>
      </c>
      <c r="J31">
        <v>6192.25</v>
      </c>
      <c r="K31">
        <v>6192.25</v>
      </c>
      <c r="L31" s="360">
        <v>0.87</v>
      </c>
      <c r="M31" s="360">
        <v>0.13</v>
      </c>
      <c r="N31" s="360">
        <v>0.87</v>
      </c>
      <c r="O31" s="360">
        <v>0.87</v>
      </c>
      <c r="P31" t="s">
        <v>212</v>
      </c>
      <c r="Q31" t="s">
        <v>213</v>
      </c>
    </row>
    <row r="32" spans="1:17" hidden="1" x14ac:dyDescent="0.35">
      <c r="A32" t="s">
        <v>280</v>
      </c>
      <c r="B32" t="s">
        <v>319</v>
      </c>
      <c r="C32" t="s">
        <v>281</v>
      </c>
      <c r="D32" t="s">
        <v>211</v>
      </c>
      <c r="E32">
        <v>10600</v>
      </c>
      <c r="F32">
        <v>0</v>
      </c>
      <c r="G32">
        <v>7319.6</v>
      </c>
      <c r="H32">
        <v>0</v>
      </c>
      <c r="I32">
        <v>0</v>
      </c>
      <c r="J32">
        <v>3280.4</v>
      </c>
      <c r="K32">
        <v>3280.4</v>
      </c>
      <c r="L32" s="360">
        <v>0.69</v>
      </c>
      <c r="M32" s="360">
        <v>0.31</v>
      </c>
      <c r="N32" s="360">
        <v>0.69</v>
      </c>
      <c r="O32" s="360">
        <v>0.69</v>
      </c>
      <c r="P32" t="s">
        <v>212</v>
      </c>
      <c r="Q32" t="s">
        <v>213</v>
      </c>
    </row>
    <row r="33" spans="1:17" hidden="1" x14ac:dyDescent="0.35">
      <c r="A33" t="s">
        <v>282</v>
      </c>
      <c r="B33" t="s">
        <v>319</v>
      </c>
      <c r="C33" t="s">
        <v>283</v>
      </c>
      <c r="D33" t="s">
        <v>211</v>
      </c>
      <c r="E33">
        <v>10348</v>
      </c>
      <c r="F33">
        <v>0</v>
      </c>
      <c r="G33">
        <v>10370.42</v>
      </c>
      <c r="H33">
        <v>0</v>
      </c>
      <c r="I33">
        <v>0</v>
      </c>
      <c r="J33">
        <v>-22.42</v>
      </c>
      <c r="K33">
        <v>-22.42</v>
      </c>
      <c r="L33" s="360">
        <v>1</v>
      </c>
      <c r="M33" s="360">
        <v>0</v>
      </c>
      <c r="N33" s="360">
        <v>1</v>
      </c>
      <c r="O33" s="360">
        <v>1</v>
      </c>
      <c r="P33" t="s">
        <v>212</v>
      </c>
      <c r="Q33" t="s">
        <v>213</v>
      </c>
    </row>
    <row r="34" spans="1:17" hidden="1" x14ac:dyDescent="0.35">
      <c r="A34" t="s">
        <v>284</v>
      </c>
      <c r="B34" t="s">
        <v>319</v>
      </c>
      <c r="C34" t="s">
        <v>285</v>
      </c>
      <c r="D34" t="s">
        <v>211</v>
      </c>
      <c r="E34">
        <v>1235</v>
      </c>
      <c r="F34">
        <v>0</v>
      </c>
      <c r="G34">
        <v>1183.29</v>
      </c>
      <c r="H34">
        <v>0</v>
      </c>
      <c r="I34">
        <v>0</v>
      </c>
      <c r="J34">
        <v>51.71</v>
      </c>
      <c r="K34">
        <v>51.71</v>
      </c>
      <c r="L34" s="360">
        <v>0.96</v>
      </c>
      <c r="M34" s="360">
        <v>0.04</v>
      </c>
      <c r="N34" s="360">
        <v>0.96</v>
      </c>
      <c r="O34" s="360">
        <v>0.96</v>
      </c>
      <c r="P34" t="s">
        <v>212</v>
      </c>
      <c r="Q34" t="s">
        <v>213</v>
      </c>
    </row>
    <row r="35" spans="1:17" hidden="1" x14ac:dyDescent="0.35">
      <c r="A35" t="s">
        <v>286</v>
      </c>
      <c r="B35" t="s">
        <v>319</v>
      </c>
      <c r="C35" t="s">
        <v>287</v>
      </c>
      <c r="D35" t="s">
        <v>211</v>
      </c>
      <c r="E35">
        <v>1183</v>
      </c>
      <c r="F35">
        <v>0</v>
      </c>
      <c r="G35">
        <v>1542.23</v>
      </c>
      <c r="H35">
        <v>0</v>
      </c>
      <c r="I35">
        <v>0</v>
      </c>
      <c r="J35">
        <v>-359.23</v>
      </c>
      <c r="K35">
        <v>-359.23</v>
      </c>
      <c r="L35" s="360">
        <v>1.3</v>
      </c>
      <c r="M35" t="s">
        <v>288</v>
      </c>
      <c r="N35" s="360">
        <v>1.3</v>
      </c>
      <c r="O35" s="360">
        <v>1.3</v>
      </c>
      <c r="P35" t="s">
        <v>212</v>
      </c>
      <c r="Q35" t="s">
        <v>213</v>
      </c>
    </row>
    <row r="36" spans="1:17" hidden="1" x14ac:dyDescent="0.35">
      <c r="A36" t="s">
        <v>289</v>
      </c>
      <c r="B36" t="s">
        <v>320</v>
      </c>
      <c r="C36" t="s">
        <v>290</v>
      </c>
      <c r="D36" t="s">
        <v>211</v>
      </c>
      <c r="E36">
        <v>52343.92</v>
      </c>
      <c r="F36">
        <v>0</v>
      </c>
      <c r="G36">
        <v>45981.73</v>
      </c>
      <c r="H36">
        <v>0</v>
      </c>
      <c r="I36">
        <v>1767.9</v>
      </c>
      <c r="J36">
        <v>4594.29</v>
      </c>
      <c r="K36">
        <v>4594.29</v>
      </c>
      <c r="L36" s="360">
        <v>0.91</v>
      </c>
      <c r="M36" s="360">
        <v>0.09</v>
      </c>
      <c r="N36" s="360">
        <v>0.88</v>
      </c>
      <c r="O36" s="360">
        <v>0.91</v>
      </c>
      <c r="P36" t="s">
        <v>212</v>
      </c>
      <c r="Q36" t="s">
        <v>213</v>
      </c>
    </row>
    <row r="37" spans="1:17" hidden="1" x14ac:dyDescent="0.35">
      <c r="A37" t="s">
        <v>291</v>
      </c>
      <c r="B37" t="s">
        <v>310</v>
      </c>
      <c r="C37" t="s">
        <v>292</v>
      </c>
      <c r="D37" t="s">
        <v>211</v>
      </c>
      <c r="E37">
        <v>11623</v>
      </c>
      <c r="F37">
        <v>0</v>
      </c>
      <c r="G37">
        <v>10788.13</v>
      </c>
      <c r="H37">
        <v>0</v>
      </c>
      <c r="I37">
        <v>0</v>
      </c>
      <c r="J37">
        <v>834.87</v>
      </c>
      <c r="K37">
        <v>834.87</v>
      </c>
      <c r="L37" s="360">
        <v>0.93</v>
      </c>
      <c r="M37" s="360">
        <v>7.0000000000000007E-2</v>
      </c>
      <c r="N37" s="360">
        <v>0.93</v>
      </c>
      <c r="O37" s="360">
        <v>0.93</v>
      </c>
      <c r="P37" t="s">
        <v>212</v>
      </c>
      <c r="Q37" t="s">
        <v>213</v>
      </c>
    </row>
    <row r="38" spans="1:17" hidden="1" x14ac:dyDescent="0.35">
      <c r="A38" t="s">
        <v>293</v>
      </c>
      <c r="B38" t="s">
        <v>310</v>
      </c>
      <c r="C38" t="s">
        <v>294</v>
      </c>
      <c r="D38" t="s">
        <v>211</v>
      </c>
      <c r="E38">
        <v>11968</v>
      </c>
      <c r="F38">
        <v>0</v>
      </c>
      <c r="G38">
        <v>11878.63</v>
      </c>
      <c r="H38">
        <v>0</v>
      </c>
      <c r="I38">
        <v>0</v>
      </c>
      <c r="J38">
        <v>89.37</v>
      </c>
      <c r="K38">
        <v>89.37</v>
      </c>
      <c r="L38" s="360">
        <v>0.99</v>
      </c>
      <c r="M38" s="360">
        <v>0.01</v>
      </c>
      <c r="N38" s="360">
        <v>0.99</v>
      </c>
      <c r="O38" s="360">
        <v>0.99</v>
      </c>
      <c r="P38" t="s">
        <v>212</v>
      </c>
      <c r="Q38" t="s">
        <v>213</v>
      </c>
    </row>
    <row r="39" spans="1:17" hidden="1" x14ac:dyDescent="0.35">
      <c r="A39" t="s">
        <v>295</v>
      </c>
      <c r="B39" t="s">
        <v>318</v>
      </c>
      <c r="C39" t="s">
        <v>296</v>
      </c>
      <c r="D39" t="s">
        <v>211</v>
      </c>
      <c r="E39">
        <v>4000</v>
      </c>
      <c r="F39">
        <v>0</v>
      </c>
      <c r="G39">
        <v>1951.41</v>
      </c>
      <c r="H39">
        <v>0</v>
      </c>
      <c r="I39">
        <v>0</v>
      </c>
      <c r="J39">
        <v>2048.59</v>
      </c>
      <c r="K39">
        <v>2048.59</v>
      </c>
      <c r="L39" s="360">
        <v>0.49</v>
      </c>
      <c r="M39" s="360">
        <v>0.51</v>
      </c>
      <c r="N39" s="360">
        <v>0.49</v>
      </c>
      <c r="O39" s="360">
        <v>0.49</v>
      </c>
      <c r="P39" t="s">
        <v>212</v>
      </c>
      <c r="Q39" t="s">
        <v>213</v>
      </c>
    </row>
    <row r="40" spans="1:17" hidden="1" x14ac:dyDescent="0.35">
      <c r="A40" t="s">
        <v>297</v>
      </c>
      <c r="B40" t="s">
        <v>318</v>
      </c>
      <c r="C40" t="s">
        <v>298</v>
      </c>
      <c r="D40" t="s">
        <v>211</v>
      </c>
      <c r="E40">
        <v>10200</v>
      </c>
      <c r="F40">
        <v>0</v>
      </c>
      <c r="G40">
        <v>10594.04</v>
      </c>
      <c r="H40">
        <v>0</v>
      </c>
      <c r="I40">
        <v>0</v>
      </c>
      <c r="J40">
        <v>-394.04</v>
      </c>
      <c r="K40">
        <v>-394.04</v>
      </c>
      <c r="L40" s="360">
        <v>1.04</v>
      </c>
      <c r="M40" t="s">
        <v>299</v>
      </c>
      <c r="N40" s="360">
        <v>1.04</v>
      </c>
      <c r="O40" s="360">
        <v>1.04</v>
      </c>
      <c r="P40" t="s">
        <v>212</v>
      </c>
      <c r="Q40" t="s">
        <v>213</v>
      </c>
    </row>
    <row r="41" spans="1:17" hidden="1" x14ac:dyDescent="0.35">
      <c r="A41" t="s">
        <v>300</v>
      </c>
      <c r="B41" t="s">
        <v>318</v>
      </c>
      <c r="C41" t="s">
        <v>301</v>
      </c>
      <c r="D41" t="s">
        <v>211</v>
      </c>
      <c r="E41">
        <v>800</v>
      </c>
      <c r="F41">
        <v>0</v>
      </c>
      <c r="G41">
        <v>10.6</v>
      </c>
      <c r="H41">
        <v>0</v>
      </c>
      <c r="I41">
        <v>0</v>
      </c>
      <c r="J41">
        <v>789.4</v>
      </c>
      <c r="K41">
        <v>789.4</v>
      </c>
      <c r="L41" s="360">
        <v>0.01</v>
      </c>
      <c r="M41" s="360">
        <v>0.99</v>
      </c>
      <c r="N41" s="360">
        <v>0.01</v>
      </c>
      <c r="O41" s="360">
        <v>0.01</v>
      </c>
      <c r="P41" t="s">
        <v>212</v>
      </c>
      <c r="Q41" t="s">
        <v>213</v>
      </c>
    </row>
    <row r="42" spans="1:17" hidden="1" x14ac:dyDescent="0.35">
      <c r="A42" t="s">
        <v>302</v>
      </c>
      <c r="B42" t="s">
        <v>324</v>
      </c>
      <c r="C42" t="s">
        <v>303</v>
      </c>
      <c r="D42" t="s">
        <v>211</v>
      </c>
      <c r="E42">
        <v>500</v>
      </c>
      <c r="F42">
        <v>0</v>
      </c>
      <c r="G42">
        <v>491.22</v>
      </c>
      <c r="H42">
        <v>0</v>
      </c>
      <c r="I42">
        <v>0</v>
      </c>
      <c r="J42">
        <v>8.7799999999999994</v>
      </c>
      <c r="K42">
        <v>8.7799999999999994</v>
      </c>
      <c r="L42" s="360">
        <v>0.98</v>
      </c>
      <c r="M42" s="360">
        <v>0.02</v>
      </c>
      <c r="N42" s="360">
        <v>0.98</v>
      </c>
      <c r="O42" s="360">
        <v>0.98</v>
      </c>
      <c r="P42" t="s">
        <v>212</v>
      </c>
      <c r="Q42" t="s">
        <v>213</v>
      </c>
    </row>
    <row r="43" spans="1:17" x14ac:dyDescent="0.35">
      <c r="A43" t="s">
        <v>190</v>
      </c>
      <c r="B43" t="s">
        <v>311</v>
      </c>
      <c r="C43" t="s">
        <v>304</v>
      </c>
      <c r="D43" t="s">
        <v>211</v>
      </c>
      <c r="E43">
        <v>30000</v>
      </c>
      <c r="F43">
        <v>0</v>
      </c>
      <c r="G43">
        <v>3839.7</v>
      </c>
      <c r="H43">
        <v>0</v>
      </c>
      <c r="I43">
        <v>25128</v>
      </c>
      <c r="J43">
        <v>1032.3</v>
      </c>
      <c r="K43">
        <v>1032.3</v>
      </c>
      <c r="L43" s="360">
        <v>0.97</v>
      </c>
      <c r="M43" s="360">
        <v>0.03</v>
      </c>
      <c r="N43" s="360">
        <v>0.13</v>
      </c>
      <c r="O43" s="360">
        <v>0.97</v>
      </c>
      <c r="P43" t="s">
        <v>212</v>
      </c>
      <c r="Q43" t="s">
        <v>213</v>
      </c>
    </row>
    <row r="44" spans="1:17" hidden="1" x14ac:dyDescent="0.35">
      <c r="A44" t="s">
        <v>305</v>
      </c>
      <c r="B44" t="s">
        <v>316</v>
      </c>
      <c r="C44" t="s">
        <v>306</v>
      </c>
      <c r="D44" t="s">
        <v>211</v>
      </c>
      <c r="E44">
        <v>3000</v>
      </c>
      <c r="F44">
        <v>0</v>
      </c>
      <c r="G44">
        <v>0</v>
      </c>
      <c r="H44">
        <v>0</v>
      </c>
      <c r="I44">
        <v>0</v>
      </c>
      <c r="J44">
        <v>3000</v>
      </c>
      <c r="K44">
        <v>3000</v>
      </c>
      <c r="L44" s="360">
        <v>0</v>
      </c>
      <c r="M44" s="360">
        <v>1</v>
      </c>
      <c r="N44" s="360">
        <v>0</v>
      </c>
      <c r="O44" s="360">
        <v>0</v>
      </c>
      <c r="P44" t="s">
        <v>212</v>
      </c>
      <c r="Q44" t="s">
        <v>213</v>
      </c>
    </row>
  </sheetData>
  <autoFilter ref="A1:Z44" xr:uid="{8E5B4702-5831-4DF9-9D68-AAECD174B308}">
    <filterColumn colId="0">
      <filters>
        <filter val="CS.1041.MG10.Q2.03.001"/>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3B7CC-CCE6-47E7-BA9B-C9319A257DE1}">
  <dimension ref="A3:B22"/>
  <sheetViews>
    <sheetView topLeftCell="A4" workbookViewId="0">
      <selection activeCell="D19" sqref="D19"/>
    </sheetView>
  </sheetViews>
  <sheetFormatPr baseColWidth="10" defaultColWidth="11.453125" defaultRowHeight="14.5" x14ac:dyDescent="0.35"/>
  <cols>
    <col min="1" max="1" width="19.54296875" bestFit="1" customWidth="1"/>
    <col min="2" max="2" width="23.1796875" bestFit="1" customWidth="1"/>
  </cols>
  <sheetData>
    <row r="3" spans="1:2" x14ac:dyDescent="0.35">
      <c r="A3" s="361" t="s">
        <v>327</v>
      </c>
      <c r="B3" t="s">
        <v>329</v>
      </c>
    </row>
    <row r="4" spans="1:2" x14ac:dyDescent="0.35">
      <c r="A4" s="362" t="s">
        <v>312</v>
      </c>
      <c r="B4" s="363">
        <v>4903.26</v>
      </c>
    </row>
    <row r="5" spans="1:2" x14ac:dyDescent="0.35">
      <c r="A5" s="362" t="s">
        <v>313</v>
      </c>
      <c r="B5" s="363">
        <v>38851.770000000004</v>
      </c>
    </row>
    <row r="6" spans="1:2" x14ac:dyDescent="0.35">
      <c r="A6" s="362" t="s">
        <v>314</v>
      </c>
      <c r="B6" s="363">
        <v>61812.909999999996</v>
      </c>
    </row>
    <row r="7" spans="1:2" x14ac:dyDescent="0.35">
      <c r="A7" s="362" t="s">
        <v>315</v>
      </c>
      <c r="B7" s="363">
        <v>3550.33</v>
      </c>
    </row>
    <row r="8" spans="1:2" x14ac:dyDescent="0.35">
      <c r="A8" s="362" t="s">
        <v>316</v>
      </c>
      <c r="B8" s="363">
        <v>0</v>
      </c>
    </row>
    <row r="9" spans="1:2" x14ac:dyDescent="0.35">
      <c r="A9" s="362" t="s">
        <v>317</v>
      </c>
      <c r="B9" s="363">
        <v>137026.68</v>
      </c>
    </row>
    <row r="10" spans="1:2" x14ac:dyDescent="0.35">
      <c r="A10" s="362" t="s">
        <v>318</v>
      </c>
      <c r="B10" s="363">
        <v>12556.050000000001</v>
      </c>
    </row>
    <row r="11" spans="1:2" x14ac:dyDescent="0.35">
      <c r="A11" s="362" t="s">
        <v>319</v>
      </c>
      <c r="B11" s="363">
        <v>20415.54</v>
      </c>
    </row>
    <row r="12" spans="1:2" x14ac:dyDescent="0.35">
      <c r="A12" s="362" t="s">
        <v>321</v>
      </c>
      <c r="B12" s="363">
        <v>42057.75</v>
      </c>
    </row>
    <row r="13" spans="1:2" x14ac:dyDescent="0.35">
      <c r="A13" s="362" t="s">
        <v>322</v>
      </c>
      <c r="B13" s="363">
        <v>5767.75</v>
      </c>
    </row>
    <row r="14" spans="1:2" x14ac:dyDescent="0.35">
      <c r="A14" s="362" t="s">
        <v>323</v>
      </c>
      <c r="B14" s="363">
        <v>18658.559999999998</v>
      </c>
    </row>
    <row r="15" spans="1:2" x14ac:dyDescent="0.35">
      <c r="A15" s="362" t="s">
        <v>324</v>
      </c>
      <c r="B15" s="363">
        <v>491.22</v>
      </c>
    </row>
    <row r="16" spans="1:2" x14ac:dyDescent="0.35">
      <c r="A16" s="362" t="s">
        <v>325</v>
      </c>
      <c r="B16" s="363">
        <v>38.940000000000005</v>
      </c>
    </row>
    <row r="17" spans="1:2" x14ac:dyDescent="0.35">
      <c r="A17" s="362" t="s">
        <v>326</v>
      </c>
      <c r="B17" s="363">
        <v>74294.69</v>
      </c>
    </row>
    <row r="18" spans="1:2" x14ac:dyDescent="0.35">
      <c r="A18" s="362" t="s">
        <v>311</v>
      </c>
      <c r="B18" s="363">
        <v>28617.96</v>
      </c>
    </row>
    <row r="19" spans="1:2" x14ac:dyDescent="0.35">
      <c r="A19" s="362" t="s">
        <v>309</v>
      </c>
      <c r="B19" s="363">
        <v>43809.78</v>
      </c>
    </row>
    <row r="20" spans="1:2" x14ac:dyDescent="0.35">
      <c r="A20" s="362" t="s">
        <v>308</v>
      </c>
      <c r="B20" s="363">
        <v>185892.94999999998</v>
      </c>
    </row>
    <row r="21" spans="1:2" x14ac:dyDescent="0.35">
      <c r="A21" s="362" t="s">
        <v>310</v>
      </c>
      <c r="B21" s="363">
        <v>22666.76</v>
      </c>
    </row>
    <row r="22" spans="1:2" x14ac:dyDescent="0.35">
      <c r="A22" s="362" t="s">
        <v>328</v>
      </c>
      <c r="B22" s="363">
        <v>701412.89999999991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95074-8FE2-4A94-B92E-77FCE3FDAA56}">
  <dimension ref="A1:Z45"/>
  <sheetViews>
    <sheetView workbookViewId="0">
      <selection activeCell="B4" sqref="B4"/>
    </sheetView>
  </sheetViews>
  <sheetFormatPr baseColWidth="10" defaultColWidth="11.453125" defaultRowHeight="14.5" x14ac:dyDescent="0.35"/>
  <cols>
    <col min="7" max="7" width="12.453125" style="381" bestFit="1" customWidth="1"/>
  </cols>
  <sheetData>
    <row r="1" spans="1:26" x14ac:dyDescent="0.35">
      <c r="A1" t="s">
        <v>194</v>
      </c>
      <c r="B1" t="s">
        <v>414</v>
      </c>
      <c r="C1" t="s">
        <v>195</v>
      </c>
      <c r="D1" t="s">
        <v>196</v>
      </c>
      <c r="E1" t="s">
        <v>197</v>
      </c>
      <c r="F1" t="s">
        <v>198</v>
      </c>
      <c r="G1" s="381" t="s">
        <v>199</v>
      </c>
      <c r="H1" t="s">
        <v>200</v>
      </c>
      <c r="I1" t="s">
        <v>201</v>
      </c>
      <c r="J1" t="s">
        <v>202</v>
      </c>
      <c r="K1" t="s">
        <v>203</v>
      </c>
      <c r="L1" t="s">
        <v>204</v>
      </c>
      <c r="M1" t="s">
        <v>205</v>
      </c>
      <c r="N1" t="s">
        <v>206</v>
      </c>
      <c r="O1" t="s">
        <v>207</v>
      </c>
      <c r="P1" t="s">
        <v>208</v>
      </c>
      <c r="Q1" t="s">
        <v>209</v>
      </c>
      <c r="R1" t="s">
        <v>210</v>
      </c>
      <c r="S1" t="s">
        <v>210</v>
      </c>
      <c r="T1" t="s">
        <v>210</v>
      </c>
      <c r="U1" t="s">
        <v>210</v>
      </c>
      <c r="V1" t="s">
        <v>210</v>
      </c>
      <c r="W1" t="s">
        <v>210</v>
      </c>
      <c r="X1" t="s">
        <v>210</v>
      </c>
      <c r="Y1" t="s">
        <v>210</v>
      </c>
      <c r="Z1" t="s">
        <v>210</v>
      </c>
    </row>
    <row r="2" spans="1:26" x14ac:dyDescent="0.35">
      <c r="A2" t="s">
        <v>214</v>
      </c>
      <c r="B2" t="str">
        <f>VLOOKUP(A2,zdsr!A:B,2,FALSE)</f>
        <v>staff</v>
      </c>
      <c r="C2" t="s">
        <v>215</v>
      </c>
      <c r="D2" t="s">
        <v>211</v>
      </c>
      <c r="E2" t="s">
        <v>331</v>
      </c>
      <c r="F2" t="s">
        <v>330</v>
      </c>
      <c r="G2" s="381">
        <v>42866.32</v>
      </c>
      <c r="H2" t="s">
        <v>330</v>
      </c>
      <c r="I2" t="s">
        <v>330</v>
      </c>
      <c r="J2" t="s">
        <v>332</v>
      </c>
      <c r="K2" t="s">
        <v>332</v>
      </c>
      <c r="L2" s="360">
        <v>1.07</v>
      </c>
      <c r="M2" t="s">
        <v>216</v>
      </c>
      <c r="N2" s="360">
        <v>1.07</v>
      </c>
      <c r="O2" s="360">
        <v>1.07</v>
      </c>
      <c r="P2" t="s">
        <v>212</v>
      </c>
      <c r="Q2" t="s">
        <v>213</v>
      </c>
    </row>
    <row r="3" spans="1:26" x14ac:dyDescent="0.35">
      <c r="A3" t="s">
        <v>217</v>
      </c>
      <c r="B3" t="str">
        <f>VLOOKUP(A3,zdsr!A:B,2,FALSE)</f>
        <v>staff</v>
      </c>
      <c r="C3" t="s">
        <v>218</v>
      </c>
      <c r="D3" t="s">
        <v>211</v>
      </c>
      <c r="E3" t="s">
        <v>333</v>
      </c>
      <c r="F3" t="s">
        <v>330</v>
      </c>
      <c r="G3" s="381">
        <v>91206.43</v>
      </c>
      <c r="H3" t="s">
        <v>330</v>
      </c>
      <c r="I3" t="s">
        <v>330</v>
      </c>
      <c r="J3" t="s">
        <v>334</v>
      </c>
      <c r="K3" t="s">
        <v>334</v>
      </c>
      <c r="L3" s="360">
        <v>1.05</v>
      </c>
      <c r="M3" t="s">
        <v>219</v>
      </c>
      <c r="N3" s="360">
        <v>1.05</v>
      </c>
      <c r="O3" s="360">
        <v>1.05</v>
      </c>
      <c r="P3" t="s">
        <v>212</v>
      </c>
      <c r="Q3" t="s">
        <v>213</v>
      </c>
    </row>
    <row r="4" spans="1:26" x14ac:dyDescent="0.35">
      <c r="A4" t="s">
        <v>220</v>
      </c>
      <c r="B4" t="str">
        <f>VLOOKUP(A4,zdsr!A:B,2,FALSE)</f>
        <v>staff</v>
      </c>
      <c r="C4" t="s">
        <v>221</v>
      </c>
      <c r="D4" t="s">
        <v>211</v>
      </c>
      <c r="E4" t="s">
        <v>335</v>
      </c>
      <c r="F4" t="s">
        <v>330</v>
      </c>
      <c r="G4" s="381">
        <v>27362.59</v>
      </c>
      <c r="H4" t="s">
        <v>330</v>
      </c>
      <c r="I4" t="s">
        <v>330</v>
      </c>
      <c r="J4" t="s">
        <v>336</v>
      </c>
      <c r="K4" t="s">
        <v>336</v>
      </c>
      <c r="L4" s="360">
        <v>0.89</v>
      </c>
      <c r="M4" s="360">
        <v>0.11</v>
      </c>
      <c r="N4" s="360">
        <v>0.89</v>
      </c>
      <c r="O4" s="360">
        <v>0.89</v>
      </c>
      <c r="P4" t="s">
        <v>212</v>
      </c>
      <c r="Q4" t="s">
        <v>213</v>
      </c>
    </row>
    <row r="5" spans="1:26" x14ac:dyDescent="0.35">
      <c r="A5" t="s">
        <v>222</v>
      </c>
      <c r="B5" t="str">
        <f>VLOOKUP(A5,zdsr!A:B,2,FALSE)</f>
        <v>staff</v>
      </c>
      <c r="C5" t="s">
        <v>223</v>
      </c>
      <c r="D5" t="s">
        <v>211</v>
      </c>
      <c r="E5" t="s">
        <v>337</v>
      </c>
      <c r="F5" t="s">
        <v>330</v>
      </c>
      <c r="G5" s="381">
        <v>12906.58</v>
      </c>
      <c r="H5" t="s">
        <v>330</v>
      </c>
      <c r="I5" t="s">
        <v>330</v>
      </c>
      <c r="J5" t="s">
        <v>338</v>
      </c>
      <c r="K5" t="s">
        <v>338</v>
      </c>
      <c r="L5" s="360">
        <v>0.93</v>
      </c>
      <c r="M5" s="360">
        <v>7.0000000000000007E-2</v>
      </c>
      <c r="N5" s="360">
        <v>0.93</v>
      </c>
      <c r="O5" s="360">
        <v>0.93</v>
      </c>
      <c r="P5" t="s">
        <v>212</v>
      </c>
      <c r="Q5" t="s">
        <v>213</v>
      </c>
    </row>
    <row r="6" spans="1:26" x14ac:dyDescent="0.35">
      <c r="A6" t="s">
        <v>224</v>
      </c>
      <c r="B6" t="str">
        <f>VLOOKUP(A6,zdsr!A:B,2,FALSE)</f>
        <v>staff</v>
      </c>
      <c r="C6" t="s">
        <v>225</v>
      </c>
      <c r="D6" t="s">
        <v>211</v>
      </c>
      <c r="E6" t="s">
        <v>339</v>
      </c>
      <c r="F6" t="s">
        <v>330</v>
      </c>
      <c r="G6" s="381">
        <v>4237</v>
      </c>
      <c r="H6" t="s">
        <v>330</v>
      </c>
      <c r="I6" t="s">
        <v>330</v>
      </c>
      <c r="J6" t="s">
        <v>340</v>
      </c>
      <c r="K6" t="s">
        <v>340</v>
      </c>
      <c r="L6" s="360">
        <v>0.78</v>
      </c>
      <c r="M6" s="360">
        <v>0.22</v>
      </c>
      <c r="N6" s="360">
        <v>0.78</v>
      </c>
      <c r="O6" s="360">
        <v>0.78</v>
      </c>
      <c r="P6" t="s">
        <v>212</v>
      </c>
      <c r="Q6" t="s">
        <v>213</v>
      </c>
    </row>
    <row r="7" spans="1:26" x14ac:dyDescent="0.35">
      <c r="A7" t="s">
        <v>226</v>
      </c>
      <c r="B7" t="str">
        <f>VLOOKUP(A7,zdsr!A:B,2,FALSE)</f>
        <v>staff</v>
      </c>
      <c r="C7" t="s">
        <v>227</v>
      </c>
      <c r="D7" t="s">
        <v>211</v>
      </c>
      <c r="E7" t="s">
        <v>341</v>
      </c>
      <c r="F7" t="s">
        <v>330</v>
      </c>
      <c r="G7" s="381">
        <v>6013.55</v>
      </c>
      <c r="H7" t="s">
        <v>330</v>
      </c>
      <c r="I7" t="s">
        <v>330</v>
      </c>
      <c r="J7" t="s">
        <v>342</v>
      </c>
      <c r="K7" t="s">
        <v>342</v>
      </c>
      <c r="L7" s="360">
        <v>0.75</v>
      </c>
      <c r="M7" s="360">
        <v>0.25</v>
      </c>
      <c r="N7" s="360">
        <v>0.75</v>
      </c>
      <c r="O7" s="360">
        <v>0.75</v>
      </c>
      <c r="P7" t="s">
        <v>212</v>
      </c>
      <c r="Q7" t="s">
        <v>213</v>
      </c>
    </row>
    <row r="8" spans="1:26" x14ac:dyDescent="0.35">
      <c r="A8" t="s">
        <v>228</v>
      </c>
      <c r="B8" t="str">
        <f>VLOOKUP(A8,zdsr!A:B,2,FALSE)</f>
        <v>staff</v>
      </c>
      <c r="C8" t="s">
        <v>229</v>
      </c>
      <c r="D8" t="s">
        <v>211</v>
      </c>
      <c r="E8" t="s">
        <v>343</v>
      </c>
      <c r="F8" t="s">
        <v>330</v>
      </c>
      <c r="G8" s="381">
        <v>1300.48</v>
      </c>
      <c r="H8" t="s">
        <v>330</v>
      </c>
      <c r="I8" t="s">
        <v>330</v>
      </c>
      <c r="J8" t="s">
        <v>344</v>
      </c>
      <c r="K8" t="s">
        <v>344</v>
      </c>
      <c r="L8" s="360">
        <v>0.93</v>
      </c>
      <c r="M8" s="360">
        <v>7.0000000000000007E-2</v>
      </c>
      <c r="N8" s="360">
        <v>0.93</v>
      </c>
      <c r="O8" s="360">
        <v>0.93</v>
      </c>
      <c r="P8" t="s">
        <v>212</v>
      </c>
      <c r="Q8" t="s">
        <v>213</v>
      </c>
    </row>
    <row r="9" spans="1:26" x14ac:dyDescent="0.35">
      <c r="A9" t="s">
        <v>230</v>
      </c>
      <c r="B9" t="str">
        <f>VLOOKUP(A9,zdsr!A:B,2,FALSE)</f>
        <v>office</v>
      </c>
      <c r="C9" t="s">
        <v>231</v>
      </c>
      <c r="D9" t="s">
        <v>211</v>
      </c>
      <c r="E9" t="s">
        <v>345</v>
      </c>
      <c r="F9" t="s">
        <v>330</v>
      </c>
      <c r="G9" s="381">
        <v>15603.06</v>
      </c>
      <c r="H9" t="s">
        <v>330</v>
      </c>
      <c r="I9" t="s">
        <v>330</v>
      </c>
      <c r="J9" t="s">
        <v>346</v>
      </c>
      <c r="K9" t="s">
        <v>346</v>
      </c>
      <c r="L9" s="360">
        <v>1.07</v>
      </c>
      <c r="M9" t="s">
        <v>216</v>
      </c>
      <c r="N9" s="360">
        <v>1.07</v>
      </c>
      <c r="O9" s="360">
        <v>1.07</v>
      </c>
      <c r="P9" t="s">
        <v>212</v>
      </c>
      <c r="Q9" t="s">
        <v>213</v>
      </c>
    </row>
    <row r="10" spans="1:26" x14ac:dyDescent="0.35">
      <c r="A10" t="s">
        <v>232</v>
      </c>
      <c r="B10" t="str">
        <f>VLOOKUP(A10,zdsr!A:B,2,FALSE)</f>
        <v>office</v>
      </c>
      <c r="C10" t="s">
        <v>233</v>
      </c>
      <c r="D10" t="s">
        <v>211</v>
      </c>
      <c r="E10" t="s">
        <v>347</v>
      </c>
      <c r="F10" t="s">
        <v>330</v>
      </c>
      <c r="G10" s="381">
        <v>3385.73</v>
      </c>
      <c r="H10" t="s">
        <v>330</v>
      </c>
      <c r="I10" t="s">
        <v>330</v>
      </c>
      <c r="J10" t="s">
        <v>348</v>
      </c>
      <c r="K10" t="s">
        <v>348</v>
      </c>
      <c r="L10" s="360">
        <v>1</v>
      </c>
      <c r="M10" s="360">
        <v>0</v>
      </c>
      <c r="N10" s="360">
        <v>1</v>
      </c>
      <c r="O10" s="360">
        <v>1</v>
      </c>
      <c r="P10" t="s">
        <v>212</v>
      </c>
      <c r="Q10" t="s">
        <v>213</v>
      </c>
    </row>
    <row r="11" spans="1:26" x14ac:dyDescent="0.35">
      <c r="A11" t="s">
        <v>234</v>
      </c>
      <c r="B11" t="str">
        <f>VLOOKUP(A11,zdsr!A:B,2,FALSE)</f>
        <v>office</v>
      </c>
      <c r="C11" t="s">
        <v>235</v>
      </c>
      <c r="D11" t="s">
        <v>211</v>
      </c>
      <c r="E11" t="s">
        <v>349</v>
      </c>
      <c r="F11" t="s">
        <v>330</v>
      </c>
      <c r="G11" s="381">
        <v>7832.42</v>
      </c>
      <c r="H11" t="s">
        <v>330</v>
      </c>
      <c r="I11" t="s">
        <v>330</v>
      </c>
      <c r="J11" t="s">
        <v>350</v>
      </c>
      <c r="K11" t="s">
        <v>350</v>
      </c>
      <c r="L11" s="360">
        <v>0.73</v>
      </c>
      <c r="M11" s="360">
        <v>0.27</v>
      </c>
      <c r="N11" s="360">
        <v>0.73</v>
      </c>
      <c r="O11" s="360">
        <v>0.73</v>
      </c>
      <c r="P11" t="s">
        <v>212</v>
      </c>
      <c r="Q11" t="s">
        <v>213</v>
      </c>
    </row>
    <row r="12" spans="1:26" x14ac:dyDescent="0.35">
      <c r="A12" t="s">
        <v>236</v>
      </c>
      <c r="B12" t="str">
        <f>VLOOKUP(A12,zdsr!A:B,2,FALSE)</f>
        <v>office</v>
      </c>
      <c r="C12" t="s">
        <v>237</v>
      </c>
      <c r="D12" t="s">
        <v>211</v>
      </c>
      <c r="E12" t="s">
        <v>351</v>
      </c>
      <c r="F12" t="s">
        <v>330</v>
      </c>
      <c r="G12" s="381">
        <v>1807.99</v>
      </c>
      <c r="H12" t="s">
        <v>330</v>
      </c>
      <c r="I12" t="s">
        <v>330</v>
      </c>
      <c r="J12" t="s">
        <v>352</v>
      </c>
      <c r="K12" t="s">
        <v>352</v>
      </c>
      <c r="L12" s="360">
        <v>0.35</v>
      </c>
      <c r="M12" s="360">
        <v>0.65</v>
      </c>
      <c r="N12" s="360">
        <v>0.35</v>
      </c>
      <c r="O12" s="360">
        <v>0.35</v>
      </c>
      <c r="P12" t="s">
        <v>212</v>
      </c>
      <c r="Q12" t="s">
        <v>213</v>
      </c>
    </row>
    <row r="13" spans="1:26" x14ac:dyDescent="0.35">
      <c r="A13" t="s">
        <v>238</v>
      </c>
      <c r="B13" t="str">
        <f>VLOOKUP(A13,zdsr!A:B,2,FALSE)</f>
        <v>office</v>
      </c>
      <c r="C13" t="s">
        <v>239</v>
      </c>
      <c r="D13" t="s">
        <v>211</v>
      </c>
      <c r="E13" t="s">
        <v>353</v>
      </c>
      <c r="F13" t="s">
        <v>330</v>
      </c>
      <c r="G13" s="381">
        <v>6468.99</v>
      </c>
      <c r="H13" t="s">
        <v>330</v>
      </c>
      <c r="I13" t="s">
        <v>330</v>
      </c>
      <c r="J13" t="s">
        <v>354</v>
      </c>
      <c r="K13" t="s">
        <v>354</v>
      </c>
      <c r="L13" s="360">
        <v>1.0900000000000001</v>
      </c>
      <c r="M13" t="s">
        <v>240</v>
      </c>
      <c r="N13" s="360">
        <v>1.0900000000000001</v>
      </c>
      <c r="O13" s="360">
        <v>1.0900000000000001</v>
      </c>
      <c r="P13" t="s">
        <v>212</v>
      </c>
      <c r="Q13" t="s">
        <v>213</v>
      </c>
    </row>
    <row r="14" spans="1:26" x14ac:dyDescent="0.35">
      <c r="A14" t="s">
        <v>241</v>
      </c>
      <c r="B14" t="str">
        <f>VLOOKUP(A14,zdsr!A:B,2,FALSE)</f>
        <v>office</v>
      </c>
      <c r="C14" t="s">
        <v>242</v>
      </c>
      <c r="D14" t="s">
        <v>211</v>
      </c>
      <c r="E14" t="s">
        <v>355</v>
      </c>
      <c r="F14" t="s">
        <v>330</v>
      </c>
      <c r="G14" s="381">
        <v>117</v>
      </c>
      <c r="H14" t="s">
        <v>330</v>
      </c>
      <c r="I14" t="s">
        <v>330</v>
      </c>
      <c r="J14" t="s">
        <v>356</v>
      </c>
      <c r="K14" t="s">
        <v>356</v>
      </c>
      <c r="L14" s="360">
        <v>0.04</v>
      </c>
      <c r="M14" s="360">
        <v>0.96</v>
      </c>
      <c r="N14" s="360">
        <v>0.04</v>
      </c>
      <c r="O14" s="360">
        <v>0.04</v>
      </c>
      <c r="P14" t="s">
        <v>212</v>
      </c>
      <c r="Q14" t="s">
        <v>213</v>
      </c>
    </row>
    <row r="15" spans="1:26" x14ac:dyDescent="0.35">
      <c r="A15" t="s">
        <v>243</v>
      </c>
      <c r="B15" t="str">
        <f>VLOOKUP(A15,zdsr!A:B,2,FALSE)</f>
        <v>office</v>
      </c>
      <c r="C15" t="s">
        <v>244</v>
      </c>
      <c r="D15" t="s">
        <v>211</v>
      </c>
      <c r="E15" t="s">
        <v>357</v>
      </c>
      <c r="F15" t="s">
        <v>330</v>
      </c>
      <c r="G15" s="381">
        <v>8594.59</v>
      </c>
      <c r="H15" t="s">
        <v>330</v>
      </c>
      <c r="I15" t="s">
        <v>330</v>
      </c>
      <c r="J15" t="s">
        <v>358</v>
      </c>
      <c r="K15" t="s">
        <v>358</v>
      </c>
      <c r="L15" s="360">
        <v>0.76</v>
      </c>
      <c r="M15" s="360">
        <v>0.24</v>
      </c>
      <c r="N15" s="360">
        <v>0.76</v>
      </c>
      <c r="O15" s="360">
        <v>0.76</v>
      </c>
      <c r="P15" t="s">
        <v>212</v>
      </c>
      <c r="Q15" t="s">
        <v>213</v>
      </c>
    </row>
    <row r="16" spans="1:26" x14ac:dyDescent="0.35">
      <c r="A16" t="s">
        <v>245</v>
      </c>
      <c r="B16" t="str">
        <f>VLOOKUP(A16,zdsr!A:B,2,FALSE)</f>
        <v>Activite 3.4.3</v>
      </c>
      <c r="C16" t="s">
        <v>246</v>
      </c>
      <c r="D16" t="s">
        <v>211</v>
      </c>
      <c r="E16" t="s">
        <v>359</v>
      </c>
      <c r="F16" t="s">
        <v>330</v>
      </c>
      <c r="G16" s="381">
        <v>74294.69</v>
      </c>
      <c r="H16" t="s">
        <v>330</v>
      </c>
      <c r="I16" t="s">
        <v>330</v>
      </c>
      <c r="J16" t="s">
        <v>360</v>
      </c>
      <c r="K16" t="s">
        <v>360</v>
      </c>
      <c r="L16" s="360">
        <v>0.88</v>
      </c>
      <c r="M16" s="360">
        <v>0.12</v>
      </c>
      <c r="N16" s="360">
        <v>0.88</v>
      </c>
      <c r="O16" s="360">
        <v>0.88</v>
      </c>
      <c r="P16" t="s">
        <v>212</v>
      </c>
      <c r="Q16" t="s">
        <v>213</v>
      </c>
    </row>
    <row r="17" spans="1:17" x14ac:dyDescent="0.35">
      <c r="A17" t="s">
        <v>247</v>
      </c>
      <c r="B17" t="str">
        <f>VLOOKUP(A17,zdsr!A:B,2,FALSE)</f>
        <v>Activite 2.1.3</v>
      </c>
      <c r="C17" t="s">
        <v>248</v>
      </c>
      <c r="D17" t="s">
        <v>211</v>
      </c>
      <c r="E17" t="s">
        <v>361</v>
      </c>
      <c r="F17" t="s">
        <v>330</v>
      </c>
      <c r="G17" s="381">
        <v>137026.68</v>
      </c>
      <c r="H17" t="s">
        <v>330</v>
      </c>
      <c r="I17" t="s">
        <v>330</v>
      </c>
      <c r="J17" t="s">
        <v>362</v>
      </c>
      <c r="K17" t="s">
        <v>362</v>
      </c>
      <c r="L17" s="360">
        <v>0.91</v>
      </c>
      <c r="M17" s="360">
        <v>0.09</v>
      </c>
      <c r="N17" s="360">
        <v>0.91</v>
      </c>
      <c r="O17" s="360">
        <v>0.91</v>
      </c>
      <c r="P17" t="s">
        <v>212</v>
      </c>
      <c r="Q17" t="s">
        <v>213</v>
      </c>
    </row>
    <row r="18" spans="1:17" x14ac:dyDescent="0.35">
      <c r="A18" t="s">
        <v>249</v>
      </c>
      <c r="B18" t="str">
        <f>VLOOKUP(A18,zdsr!A:B,2,FALSE)</f>
        <v>Activite 1.1.3</v>
      </c>
      <c r="C18" t="s">
        <v>250</v>
      </c>
      <c r="D18" t="s">
        <v>211</v>
      </c>
      <c r="E18" t="s">
        <v>363</v>
      </c>
      <c r="F18" t="s">
        <v>330</v>
      </c>
      <c r="G18" s="381">
        <v>60375.07</v>
      </c>
      <c r="H18" t="s">
        <v>330</v>
      </c>
      <c r="I18" t="s">
        <v>330</v>
      </c>
      <c r="J18" t="s">
        <v>364</v>
      </c>
      <c r="K18" t="s">
        <v>364</v>
      </c>
      <c r="L18" s="360">
        <v>0.96</v>
      </c>
      <c r="M18" s="360">
        <v>0.04</v>
      </c>
      <c r="N18" s="360">
        <v>0.96</v>
      </c>
      <c r="O18" s="360">
        <v>0.96</v>
      </c>
      <c r="P18" t="s">
        <v>212</v>
      </c>
      <c r="Q18" t="s">
        <v>213</v>
      </c>
    </row>
    <row r="19" spans="1:17" x14ac:dyDescent="0.35">
      <c r="A19" t="s">
        <v>251</v>
      </c>
      <c r="B19" t="str">
        <f>VLOOKUP(A19,zdsr!A:B,2,FALSE)</f>
        <v>Activite 1.1.3</v>
      </c>
      <c r="C19" t="s">
        <v>252</v>
      </c>
      <c r="D19" t="s">
        <v>211</v>
      </c>
      <c r="E19" t="s">
        <v>365</v>
      </c>
      <c r="F19" t="s">
        <v>330</v>
      </c>
      <c r="G19" s="381">
        <v>1437.84</v>
      </c>
      <c r="H19" t="s">
        <v>330</v>
      </c>
      <c r="I19" t="s">
        <v>330</v>
      </c>
      <c r="J19" t="s">
        <v>366</v>
      </c>
      <c r="K19" t="s">
        <v>366</v>
      </c>
      <c r="L19" s="360">
        <v>0.72</v>
      </c>
      <c r="M19" s="360">
        <v>0.28000000000000003</v>
      </c>
      <c r="N19" s="360">
        <v>0.72</v>
      </c>
      <c r="O19" s="360">
        <v>0.72</v>
      </c>
      <c r="P19" t="s">
        <v>212</v>
      </c>
      <c r="Q19" t="s">
        <v>213</v>
      </c>
    </row>
    <row r="20" spans="1:17" x14ac:dyDescent="0.35">
      <c r="A20" t="s">
        <v>253</v>
      </c>
      <c r="B20" t="str">
        <f>VLOOKUP(A20,zdsr!A:B,2,FALSE)</f>
        <v>Activite 1.1.2</v>
      </c>
      <c r="C20" t="s">
        <v>254</v>
      </c>
      <c r="D20" t="s">
        <v>211</v>
      </c>
      <c r="E20" t="s">
        <v>367</v>
      </c>
      <c r="F20" t="s">
        <v>330</v>
      </c>
      <c r="G20" s="381">
        <v>9737.57</v>
      </c>
      <c r="H20" t="s">
        <v>330</v>
      </c>
      <c r="I20" t="s">
        <v>330</v>
      </c>
      <c r="J20" t="s">
        <v>368</v>
      </c>
      <c r="K20" t="s">
        <v>368</v>
      </c>
      <c r="L20" s="360">
        <v>0.99</v>
      </c>
      <c r="M20" s="360">
        <v>0.01</v>
      </c>
      <c r="N20" s="360">
        <v>0.99</v>
      </c>
      <c r="O20" s="360">
        <v>0.99</v>
      </c>
      <c r="P20" t="s">
        <v>212</v>
      </c>
      <c r="Q20" t="s">
        <v>213</v>
      </c>
    </row>
    <row r="21" spans="1:17" x14ac:dyDescent="0.35">
      <c r="A21" t="s">
        <v>255</v>
      </c>
      <c r="B21" t="str">
        <f>VLOOKUP(A21,zdsr!A:B,2,FALSE)</f>
        <v>Activite 1.1.2</v>
      </c>
      <c r="C21" t="s">
        <v>256</v>
      </c>
      <c r="D21" t="s">
        <v>211</v>
      </c>
      <c r="E21" t="s">
        <v>369</v>
      </c>
      <c r="F21" t="s">
        <v>330</v>
      </c>
      <c r="G21" s="381">
        <v>29114.2</v>
      </c>
      <c r="H21" t="s">
        <v>330</v>
      </c>
      <c r="I21" t="s">
        <v>330</v>
      </c>
      <c r="J21" t="s">
        <v>370</v>
      </c>
      <c r="K21" t="s">
        <v>370</v>
      </c>
      <c r="L21" s="360">
        <v>0.96</v>
      </c>
      <c r="M21" s="360">
        <v>0.04</v>
      </c>
      <c r="N21" s="360">
        <v>0.96</v>
      </c>
      <c r="O21" s="360">
        <v>0.96</v>
      </c>
      <c r="P21" t="s">
        <v>212</v>
      </c>
      <c r="Q21" t="s">
        <v>213</v>
      </c>
    </row>
    <row r="22" spans="1:17" x14ac:dyDescent="0.35">
      <c r="A22" t="s">
        <v>257</v>
      </c>
      <c r="B22" t="str">
        <f>VLOOKUP(A22,zdsr!A:B,2,FALSE)</f>
        <v>Activite 1.1.1</v>
      </c>
      <c r="C22" t="s">
        <v>258</v>
      </c>
      <c r="D22" t="s">
        <v>211</v>
      </c>
      <c r="E22" t="s">
        <v>371</v>
      </c>
      <c r="F22" t="s">
        <v>330</v>
      </c>
      <c r="G22" s="381">
        <v>4903.26</v>
      </c>
      <c r="H22" t="s">
        <v>330</v>
      </c>
      <c r="I22" t="s">
        <v>330</v>
      </c>
      <c r="J22" t="s">
        <v>372</v>
      </c>
      <c r="K22" t="s">
        <v>372</v>
      </c>
      <c r="L22" s="360">
        <v>1</v>
      </c>
      <c r="M22" s="360">
        <v>0</v>
      </c>
      <c r="N22" s="360">
        <v>1</v>
      </c>
      <c r="O22" s="360">
        <v>1</v>
      </c>
      <c r="P22" t="s">
        <v>212</v>
      </c>
      <c r="Q22" t="s">
        <v>213</v>
      </c>
    </row>
    <row r="23" spans="1:17" x14ac:dyDescent="0.35">
      <c r="A23" t="s">
        <v>259</v>
      </c>
      <c r="B23" t="str">
        <f>VLOOKUP(A23,zdsr!A:B,2,FALSE)</f>
        <v>Activite 3.4.1</v>
      </c>
      <c r="C23" t="s">
        <v>260</v>
      </c>
      <c r="D23" t="s">
        <v>211</v>
      </c>
      <c r="E23" t="s">
        <v>373</v>
      </c>
      <c r="F23" t="s">
        <v>330</v>
      </c>
      <c r="G23" s="381">
        <v>2.31</v>
      </c>
      <c r="H23" t="s">
        <v>330</v>
      </c>
      <c r="I23" t="s">
        <v>330</v>
      </c>
      <c r="J23" t="s">
        <v>374</v>
      </c>
      <c r="K23" t="s">
        <v>374</v>
      </c>
      <c r="L23" s="360">
        <v>0</v>
      </c>
      <c r="M23" s="360">
        <v>1</v>
      </c>
      <c r="N23" s="360">
        <v>0</v>
      </c>
      <c r="O23" s="360">
        <v>0</v>
      </c>
      <c r="P23" t="s">
        <v>212</v>
      </c>
      <c r="Q23" t="s">
        <v>213</v>
      </c>
    </row>
    <row r="24" spans="1:17" x14ac:dyDescent="0.35">
      <c r="A24" t="s">
        <v>261</v>
      </c>
      <c r="B24" t="str">
        <f>VLOOKUP(A24,zdsr!A:B,2,FALSE)</f>
        <v>Activite 3.3.1</v>
      </c>
      <c r="C24" t="s">
        <v>262</v>
      </c>
      <c r="D24" t="s">
        <v>211</v>
      </c>
      <c r="E24" t="s">
        <v>375</v>
      </c>
      <c r="F24" t="s">
        <v>330</v>
      </c>
      <c r="G24" s="381">
        <v>6393.28</v>
      </c>
      <c r="H24" t="s">
        <v>330</v>
      </c>
      <c r="I24" t="s">
        <v>330</v>
      </c>
      <c r="J24" t="s">
        <v>376</v>
      </c>
      <c r="K24" t="s">
        <v>376</v>
      </c>
      <c r="L24" s="360">
        <v>6.39</v>
      </c>
      <c r="M24" t="s">
        <v>263</v>
      </c>
      <c r="N24" s="360">
        <v>6.39</v>
      </c>
      <c r="O24" s="360">
        <v>6.39</v>
      </c>
      <c r="P24" t="s">
        <v>212</v>
      </c>
      <c r="Q24" t="s">
        <v>213</v>
      </c>
    </row>
    <row r="25" spans="1:17" x14ac:dyDescent="0.35">
      <c r="A25" t="s">
        <v>264</v>
      </c>
      <c r="B25" t="str">
        <f>VLOOKUP(A25,zdsr!A:B,2,FALSE)</f>
        <v>Activite 2.1.1</v>
      </c>
      <c r="C25" t="s">
        <v>265</v>
      </c>
      <c r="D25" t="s">
        <v>211</v>
      </c>
      <c r="E25" t="s">
        <v>377</v>
      </c>
      <c r="F25" t="s">
        <v>330</v>
      </c>
      <c r="G25" s="381">
        <v>550</v>
      </c>
      <c r="H25" t="s">
        <v>330</v>
      </c>
      <c r="I25" t="s">
        <v>330</v>
      </c>
      <c r="J25" t="s">
        <v>330</v>
      </c>
      <c r="K25" t="s">
        <v>330</v>
      </c>
      <c r="L25" s="360">
        <v>1</v>
      </c>
      <c r="M25" s="360">
        <v>0</v>
      </c>
      <c r="N25" s="360">
        <v>1</v>
      </c>
      <c r="O25" s="360">
        <v>1</v>
      </c>
      <c r="P25" t="s">
        <v>212</v>
      </c>
      <c r="Q25" t="s">
        <v>213</v>
      </c>
    </row>
    <row r="26" spans="1:17" x14ac:dyDescent="0.35">
      <c r="A26" t="s">
        <v>266</v>
      </c>
      <c r="B26" t="str">
        <f>VLOOKUP(A26,zdsr!A:B,2,FALSE)</f>
        <v>Activite 2.1.1</v>
      </c>
      <c r="C26" t="s">
        <v>267</v>
      </c>
      <c r="D26" t="s">
        <v>211</v>
      </c>
      <c r="E26" t="s">
        <v>378</v>
      </c>
      <c r="F26" t="s">
        <v>330</v>
      </c>
      <c r="G26" s="381">
        <v>3000.33</v>
      </c>
      <c r="H26" t="s">
        <v>330</v>
      </c>
      <c r="I26" t="s">
        <v>330</v>
      </c>
      <c r="J26" t="s">
        <v>379</v>
      </c>
      <c r="K26" t="s">
        <v>379</v>
      </c>
      <c r="L26" s="360">
        <v>0.98</v>
      </c>
      <c r="M26" s="360">
        <v>0.02</v>
      </c>
      <c r="N26" s="360">
        <v>0.98</v>
      </c>
      <c r="O26" s="360">
        <v>0.98</v>
      </c>
      <c r="P26" t="s">
        <v>212</v>
      </c>
      <c r="Q26" t="s">
        <v>213</v>
      </c>
    </row>
    <row r="27" spans="1:17" x14ac:dyDescent="0.35">
      <c r="A27" t="s">
        <v>268</v>
      </c>
      <c r="B27" t="str">
        <f>VLOOKUP(A27,zdsr!A:B,2,FALSE)</f>
        <v>Activite 3.3.1</v>
      </c>
      <c r="C27" t="s">
        <v>269</v>
      </c>
      <c r="D27" t="s">
        <v>211</v>
      </c>
      <c r="E27" t="s">
        <v>380</v>
      </c>
      <c r="F27" t="s">
        <v>330</v>
      </c>
      <c r="G27" s="381">
        <v>8746.25</v>
      </c>
      <c r="H27" t="s">
        <v>330</v>
      </c>
      <c r="I27" t="s">
        <v>330</v>
      </c>
      <c r="J27" t="s">
        <v>381</v>
      </c>
      <c r="K27" t="s">
        <v>381</v>
      </c>
      <c r="L27" s="360">
        <v>1.25</v>
      </c>
      <c r="M27" t="s">
        <v>270</v>
      </c>
      <c r="N27" s="360">
        <v>1.25</v>
      </c>
      <c r="O27" s="360">
        <v>1.25</v>
      </c>
      <c r="P27" t="s">
        <v>212</v>
      </c>
      <c r="Q27" t="s">
        <v>213</v>
      </c>
    </row>
    <row r="28" spans="1:17" x14ac:dyDescent="0.35">
      <c r="A28" t="s">
        <v>271</v>
      </c>
      <c r="B28" t="str">
        <f>VLOOKUP(A28,zdsr!A:B,2,FALSE)</f>
        <v>Activite 3.3.1</v>
      </c>
      <c r="C28" t="s">
        <v>272</v>
      </c>
      <c r="D28" t="s">
        <v>211</v>
      </c>
      <c r="E28" t="s">
        <v>382</v>
      </c>
      <c r="F28" t="s">
        <v>330</v>
      </c>
      <c r="G28" s="381">
        <v>3519.03</v>
      </c>
      <c r="H28" t="s">
        <v>330</v>
      </c>
      <c r="I28" t="s">
        <v>330</v>
      </c>
      <c r="J28" t="s">
        <v>383</v>
      </c>
      <c r="K28" t="s">
        <v>383</v>
      </c>
      <c r="L28" s="360">
        <v>2.71</v>
      </c>
      <c r="M28" t="s">
        <v>273</v>
      </c>
      <c r="N28" s="360">
        <v>2.71</v>
      </c>
      <c r="O28" s="360">
        <v>2.71</v>
      </c>
      <c r="P28" t="s">
        <v>212</v>
      </c>
      <c r="Q28" t="s">
        <v>213</v>
      </c>
    </row>
    <row r="29" spans="1:17" x14ac:dyDescent="0.35">
      <c r="A29" t="s">
        <v>274</v>
      </c>
      <c r="B29" t="str">
        <f>VLOOKUP(A29,zdsr!A:B,2,FALSE)</f>
        <v>Activite 3.4.1</v>
      </c>
      <c r="C29" t="s">
        <v>275</v>
      </c>
      <c r="D29" t="s">
        <v>211</v>
      </c>
      <c r="E29" t="s">
        <v>384</v>
      </c>
      <c r="F29" t="s">
        <v>330</v>
      </c>
      <c r="G29" s="381">
        <v>36.630000000000003</v>
      </c>
      <c r="H29" t="s">
        <v>330</v>
      </c>
      <c r="I29" t="s">
        <v>330</v>
      </c>
      <c r="J29" t="s">
        <v>385</v>
      </c>
      <c r="K29" t="s">
        <v>385</v>
      </c>
      <c r="L29" s="360">
        <v>0.05</v>
      </c>
      <c r="M29" s="360">
        <v>0.95</v>
      </c>
      <c r="N29" s="360">
        <v>0.05</v>
      </c>
      <c r="O29" s="360">
        <v>0.05</v>
      </c>
      <c r="P29" t="s">
        <v>212</v>
      </c>
      <c r="Q29" t="s">
        <v>213</v>
      </c>
    </row>
    <row r="30" spans="1:17" x14ac:dyDescent="0.35">
      <c r="A30" t="s">
        <v>276</v>
      </c>
      <c r="B30" t="str">
        <f>VLOOKUP(A30,zdsr!A:B,2,FALSE)</f>
        <v>Activite 3.2.3</v>
      </c>
      <c r="C30" t="s">
        <v>277</v>
      </c>
      <c r="D30" t="s">
        <v>211</v>
      </c>
      <c r="E30" t="s">
        <v>386</v>
      </c>
      <c r="F30" t="s">
        <v>330</v>
      </c>
      <c r="G30" s="381">
        <v>5767.75</v>
      </c>
      <c r="H30" t="s">
        <v>330</v>
      </c>
      <c r="I30" t="s">
        <v>330</v>
      </c>
      <c r="J30" t="s">
        <v>387</v>
      </c>
      <c r="K30" t="s">
        <v>387</v>
      </c>
      <c r="L30" s="360">
        <v>0.96</v>
      </c>
      <c r="M30" s="360">
        <v>0.04</v>
      </c>
      <c r="N30" s="360">
        <v>0.96</v>
      </c>
      <c r="O30" s="360">
        <v>0.96</v>
      </c>
      <c r="P30" t="s">
        <v>212</v>
      </c>
      <c r="Q30" t="s">
        <v>213</v>
      </c>
    </row>
    <row r="31" spans="1:17" x14ac:dyDescent="0.35">
      <c r="A31" t="s">
        <v>278</v>
      </c>
      <c r="B31" t="str">
        <f>VLOOKUP(A31,zdsr!A:B,2,FALSE)</f>
        <v>Activite 3.2.2</v>
      </c>
      <c r="C31" t="s">
        <v>279</v>
      </c>
      <c r="D31" t="s">
        <v>211</v>
      </c>
      <c r="E31" t="s">
        <v>388</v>
      </c>
      <c r="F31" t="s">
        <v>330</v>
      </c>
      <c r="G31" s="381">
        <v>42057.75</v>
      </c>
      <c r="H31" t="s">
        <v>330</v>
      </c>
      <c r="I31" t="s">
        <v>330</v>
      </c>
      <c r="J31" t="s">
        <v>389</v>
      </c>
      <c r="K31" t="s">
        <v>389</v>
      </c>
      <c r="L31" s="360">
        <v>0.87</v>
      </c>
      <c r="M31" s="360">
        <v>0.13</v>
      </c>
      <c r="N31" s="360">
        <v>0.87</v>
      </c>
      <c r="O31" s="360">
        <v>0.87</v>
      </c>
      <c r="P31" t="s">
        <v>212</v>
      </c>
      <c r="Q31" t="s">
        <v>213</v>
      </c>
    </row>
    <row r="32" spans="1:17" x14ac:dyDescent="0.35">
      <c r="A32" t="s">
        <v>280</v>
      </c>
      <c r="B32" t="str">
        <f>VLOOKUP(A32,zdsr!A:B,2,FALSE)</f>
        <v>Activite 3.2.1</v>
      </c>
      <c r="C32" t="s">
        <v>281</v>
      </c>
      <c r="D32" t="s">
        <v>211</v>
      </c>
      <c r="E32" t="s">
        <v>390</v>
      </c>
      <c r="F32" t="s">
        <v>330</v>
      </c>
      <c r="G32" s="381">
        <v>7319.6</v>
      </c>
      <c r="H32" t="s">
        <v>330</v>
      </c>
      <c r="I32" t="s">
        <v>330</v>
      </c>
      <c r="J32" t="s">
        <v>391</v>
      </c>
      <c r="K32" t="s">
        <v>391</v>
      </c>
      <c r="L32" s="360">
        <v>0.69</v>
      </c>
      <c r="M32" s="360">
        <v>0.31</v>
      </c>
      <c r="N32" s="360">
        <v>0.69</v>
      </c>
      <c r="O32" s="360">
        <v>0.69</v>
      </c>
      <c r="P32" t="s">
        <v>212</v>
      </c>
      <c r="Q32" t="s">
        <v>213</v>
      </c>
    </row>
    <row r="33" spans="1:17" x14ac:dyDescent="0.35">
      <c r="A33" t="s">
        <v>282</v>
      </c>
      <c r="B33" t="str">
        <f>VLOOKUP(A33,zdsr!A:B,2,FALSE)</f>
        <v>Activite 3.2.1</v>
      </c>
      <c r="C33" t="s">
        <v>283</v>
      </c>
      <c r="D33" t="s">
        <v>211</v>
      </c>
      <c r="E33" t="s">
        <v>392</v>
      </c>
      <c r="F33" t="s">
        <v>330</v>
      </c>
      <c r="G33" s="381">
        <v>10370.42</v>
      </c>
      <c r="H33" t="s">
        <v>330</v>
      </c>
      <c r="I33" t="s">
        <v>330</v>
      </c>
      <c r="J33" t="s">
        <v>393</v>
      </c>
      <c r="K33" t="s">
        <v>393</v>
      </c>
      <c r="L33" s="360">
        <v>1</v>
      </c>
      <c r="M33" s="360">
        <v>0</v>
      </c>
      <c r="N33" s="360">
        <v>1</v>
      </c>
      <c r="O33" s="360">
        <v>1</v>
      </c>
      <c r="P33" t="s">
        <v>212</v>
      </c>
      <c r="Q33" t="s">
        <v>213</v>
      </c>
    </row>
    <row r="34" spans="1:17" x14ac:dyDescent="0.35">
      <c r="A34" t="s">
        <v>284</v>
      </c>
      <c r="B34" t="str">
        <f>VLOOKUP(A34,zdsr!A:B,2,FALSE)</f>
        <v>Activite 3.2.1</v>
      </c>
      <c r="C34" t="s">
        <v>285</v>
      </c>
      <c r="D34" t="s">
        <v>211</v>
      </c>
      <c r="E34" t="s">
        <v>394</v>
      </c>
      <c r="F34" t="s">
        <v>330</v>
      </c>
      <c r="G34" s="381">
        <v>1183.29</v>
      </c>
      <c r="H34" t="s">
        <v>330</v>
      </c>
      <c r="I34" t="s">
        <v>330</v>
      </c>
      <c r="J34" t="s">
        <v>395</v>
      </c>
      <c r="K34" t="s">
        <v>395</v>
      </c>
      <c r="L34" s="360">
        <v>0.96</v>
      </c>
      <c r="M34" s="360">
        <v>0.04</v>
      </c>
      <c r="N34" s="360">
        <v>0.96</v>
      </c>
      <c r="O34" s="360">
        <v>0.96</v>
      </c>
      <c r="P34" t="s">
        <v>212</v>
      </c>
      <c r="Q34" t="s">
        <v>213</v>
      </c>
    </row>
    <row r="35" spans="1:17" x14ac:dyDescent="0.35">
      <c r="A35" t="s">
        <v>286</v>
      </c>
      <c r="B35" t="str">
        <f>VLOOKUP(A35,zdsr!A:B,2,FALSE)</f>
        <v>Activite 3.2.1</v>
      </c>
      <c r="C35" t="s">
        <v>287</v>
      </c>
      <c r="D35" t="s">
        <v>211</v>
      </c>
      <c r="E35" t="s">
        <v>396</v>
      </c>
      <c r="F35" t="s">
        <v>330</v>
      </c>
      <c r="G35" s="381">
        <v>1542.23</v>
      </c>
      <c r="H35" t="s">
        <v>330</v>
      </c>
      <c r="I35" t="s">
        <v>330</v>
      </c>
      <c r="J35" t="s">
        <v>397</v>
      </c>
      <c r="K35" t="s">
        <v>397</v>
      </c>
      <c r="L35" s="360">
        <v>1.3</v>
      </c>
      <c r="M35" t="s">
        <v>288</v>
      </c>
      <c r="N35" s="360">
        <v>1.3</v>
      </c>
      <c r="O35" s="360">
        <v>1.3</v>
      </c>
      <c r="P35" t="s">
        <v>212</v>
      </c>
      <c r="Q35" t="s">
        <v>213</v>
      </c>
    </row>
    <row r="36" spans="1:17" x14ac:dyDescent="0.35">
      <c r="A36" t="s">
        <v>289</v>
      </c>
      <c r="B36" t="str">
        <f>VLOOKUP(A36,zdsr!A:B,2,FALSE)</f>
        <v>oh</v>
      </c>
      <c r="C36" t="s">
        <v>290</v>
      </c>
      <c r="D36" t="s">
        <v>211</v>
      </c>
      <c r="E36" t="s">
        <v>398</v>
      </c>
      <c r="F36" t="s">
        <v>330</v>
      </c>
      <c r="G36" s="381">
        <v>47364.42</v>
      </c>
      <c r="H36" t="s">
        <v>330</v>
      </c>
      <c r="I36" t="s">
        <v>330</v>
      </c>
      <c r="J36" t="s">
        <v>399</v>
      </c>
      <c r="K36" t="s">
        <v>399</v>
      </c>
      <c r="L36" s="360">
        <v>0.9</v>
      </c>
      <c r="M36" s="360">
        <v>0.1</v>
      </c>
      <c r="N36" s="360">
        <v>0.9</v>
      </c>
      <c r="O36" s="360">
        <v>0.9</v>
      </c>
      <c r="P36" t="s">
        <v>212</v>
      </c>
      <c r="Q36" t="s">
        <v>213</v>
      </c>
    </row>
    <row r="37" spans="1:17" x14ac:dyDescent="0.35">
      <c r="A37" t="s">
        <v>291</v>
      </c>
      <c r="B37" t="str">
        <f>VLOOKUP(A37,zdsr!A:B,2,FALSE)</f>
        <v>suivi</v>
      </c>
      <c r="C37" t="s">
        <v>292</v>
      </c>
      <c r="D37" t="s">
        <v>211</v>
      </c>
      <c r="E37" t="s">
        <v>400</v>
      </c>
      <c r="F37" t="s">
        <v>330</v>
      </c>
      <c r="G37" s="381">
        <v>10788.13</v>
      </c>
      <c r="H37" t="s">
        <v>330</v>
      </c>
      <c r="I37" t="s">
        <v>330</v>
      </c>
      <c r="J37" t="s">
        <v>401</v>
      </c>
      <c r="K37" t="s">
        <v>401</v>
      </c>
      <c r="L37" s="360">
        <v>0.93</v>
      </c>
      <c r="M37" s="360">
        <v>7.0000000000000007E-2</v>
      </c>
      <c r="N37" s="360">
        <v>0.93</v>
      </c>
      <c r="O37" s="360">
        <v>0.93</v>
      </c>
      <c r="P37" t="s">
        <v>212</v>
      </c>
      <c r="Q37" t="s">
        <v>213</v>
      </c>
    </row>
    <row r="38" spans="1:17" x14ac:dyDescent="0.35">
      <c r="A38" t="s">
        <v>293</v>
      </c>
      <c r="B38" t="str">
        <f>VLOOKUP(A38,zdsr!A:B,2,FALSE)</f>
        <v>suivi</v>
      </c>
      <c r="C38" t="s">
        <v>294</v>
      </c>
      <c r="D38" t="s">
        <v>211</v>
      </c>
      <c r="E38" t="s">
        <v>402</v>
      </c>
      <c r="F38" t="s">
        <v>330</v>
      </c>
      <c r="G38" s="381">
        <v>11878.63</v>
      </c>
      <c r="H38" t="s">
        <v>330</v>
      </c>
      <c r="I38" t="s">
        <v>330</v>
      </c>
      <c r="J38" t="s">
        <v>403</v>
      </c>
      <c r="K38" t="s">
        <v>403</v>
      </c>
      <c r="L38" s="360">
        <v>0.99</v>
      </c>
      <c r="M38" s="360">
        <v>0.01</v>
      </c>
      <c r="N38" s="360">
        <v>0.99</v>
      </c>
      <c r="O38" s="360">
        <v>0.99</v>
      </c>
      <c r="P38" t="s">
        <v>212</v>
      </c>
      <c r="Q38" t="s">
        <v>213</v>
      </c>
    </row>
    <row r="39" spans="1:17" x14ac:dyDescent="0.35">
      <c r="A39" t="s">
        <v>295</v>
      </c>
      <c r="B39" t="str">
        <f>VLOOKUP(A39,zdsr!A:B,2,FALSE)</f>
        <v>Activite 3.1.2</v>
      </c>
      <c r="C39" t="s">
        <v>296</v>
      </c>
      <c r="D39" t="s">
        <v>211</v>
      </c>
      <c r="E39" t="s">
        <v>404</v>
      </c>
      <c r="F39" t="s">
        <v>330</v>
      </c>
      <c r="G39" s="381">
        <v>1951.41</v>
      </c>
      <c r="H39" t="s">
        <v>330</v>
      </c>
      <c r="I39" t="s">
        <v>330</v>
      </c>
      <c r="J39" t="s">
        <v>405</v>
      </c>
      <c r="K39" t="s">
        <v>405</v>
      </c>
      <c r="L39" s="360">
        <v>0.49</v>
      </c>
      <c r="M39" s="360">
        <v>0.51</v>
      </c>
      <c r="N39" s="360">
        <v>0.49</v>
      </c>
      <c r="O39" s="360">
        <v>0.49</v>
      </c>
      <c r="P39" t="s">
        <v>212</v>
      </c>
      <c r="Q39" t="s">
        <v>213</v>
      </c>
    </row>
    <row r="40" spans="1:17" x14ac:dyDescent="0.35">
      <c r="A40" t="s">
        <v>297</v>
      </c>
      <c r="B40" t="str">
        <f>VLOOKUP(A40,zdsr!A:B,2,FALSE)</f>
        <v>Activite 3.1.2</v>
      </c>
      <c r="C40" t="s">
        <v>298</v>
      </c>
      <c r="D40" t="s">
        <v>211</v>
      </c>
      <c r="E40" t="s">
        <v>406</v>
      </c>
      <c r="F40" t="s">
        <v>330</v>
      </c>
      <c r="G40" s="381">
        <v>10594.04</v>
      </c>
      <c r="H40" t="s">
        <v>330</v>
      </c>
      <c r="I40" t="s">
        <v>330</v>
      </c>
      <c r="J40" t="s">
        <v>407</v>
      </c>
      <c r="K40" t="s">
        <v>407</v>
      </c>
      <c r="L40" s="360">
        <v>1.04</v>
      </c>
      <c r="M40" t="s">
        <v>299</v>
      </c>
      <c r="N40" s="360">
        <v>1.04</v>
      </c>
      <c r="O40" s="360">
        <v>1.04</v>
      </c>
      <c r="P40" t="s">
        <v>212</v>
      </c>
      <c r="Q40" t="s">
        <v>213</v>
      </c>
    </row>
    <row r="41" spans="1:17" x14ac:dyDescent="0.35">
      <c r="A41" t="s">
        <v>300</v>
      </c>
      <c r="B41" t="str">
        <f>VLOOKUP(A41,zdsr!A:B,2,FALSE)</f>
        <v>Activite 3.1.2</v>
      </c>
      <c r="C41" t="s">
        <v>301</v>
      </c>
      <c r="D41" t="s">
        <v>211</v>
      </c>
      <c r="E41" t="s">
        <v>408</v>
      </c>
      <c r="F41" t="s">
        <v>330</v>
      </c>
      <c r="G41" s="381">
        <v>10.6</v>
      </c>
      <c r="H41" t="s">
        <v>330</v>
      </c>
      <c r="I41" t="s">
        <v>330</v>
      </c>
      <c r="J41" t="s">
        <v>409</v>
      </c>
      <c r="K41" t="s">
        <v>409</v>
      </c>
      <c r="L41" s="360">
        <v>0.01</v>
      </c>
      <c r="M41" s="360">
        <v>0.99</v>
      </c>
      <c r="N41" s="360">
        <v>0.01</v>
      </c>
      <c r="O41" s="360">
        <v>0.01</v>
      </c>
      <c r="P41" t="s">
        <v>212</v>
      </c>
      <c r="Q41" t="s">
        <v>213</v>
      </c>
    </row>
    <row r="42" spans="1:17" x14ac:dyDescent="0.35">
      <c r="A42" t="s">
        <v>302</v>
      </c>
      <c r="B42" t="str">
        <f>VLOOKUP(A42,zdsr!A:B,2,FALSE)</f>
        <v>Activite 3.3.3</v>
      </c>
      <c r="C42" t="s">
        <v>303</v>
      </c>
      <c r="D42" t="s">
        <v>211</v>
      </c>
      <c r="E42" t="s">
        <v>373</v>
      </c>
      <c r="F42" t="s">
        <v>330</v>
      </c>
      <c r="G42" s="381">
        <v>491.22</v>
      </c>
      <c r="H42" t="s">
        <v>330</v>
      </c>
      <c r="I42" t="s">
        <v>330</v>
      </c>
      <c r="J42" t="s">
        <v>410</v>
      </c>
      <c r="K42" t="s">
        <v>410</v>
      </c>
      <c r="L42" s="360">
        <v>0.98</v>
      </c>
      <c r="M42" s="360">
        <v>0.02</v>
      </c>
      <c r="N42" s="360">
        <v>0.98</v>
      </c>
      <c r="O42" s="360">
        <v>0.98</v>
      </c>
      <c r="P42" t="s">
        <v>212</v>
      </c>
      <c r="Q42" t="s">
        <v>213</v>
      </c>
    </row>
    <row r="43" spans="1:17" x14ac:dyDescent="0.35">
      <c r="A43" t="s">
        <v>190</v>
      </c>
      <c r="B43" t="str">
        <f>VLOOKUP(A43,zdsr!A:B,2,FALSE)</f>
        <v>eval</v>
      </c>
      <c r="C43" t="s">
        <v>304</v>
      </c>
      <c r="D43" t="s">
        <v>211</v>
      </c>
      <c r="E43" t="s">
        <v>411</v>
      </c>
      <c r="F43" t="s">
        <v>330</v>
      </c>
      <c r="G43" s="381">
        <v>28617.96</v>
      </c>
      <c r="H43" t="s">
        <v>330</v>
      </c>
      <c r="I43" t="s">
        <v>330</v>
      </c>
      <c r="J43" t="s">
        <v>412</v>
      </c>
      <c r="K43" t="s">
        <v>412</v>
      </c>
      <c r="L43" s="360">
        <v>0.95</v>
      </c>
      <c r="M43" s="360">
        <v>0.05</v>
      </c>
      <c r="N43" s="360">
        <v>0.95</v>
      </c>
      <c r="O43" s="360">
        <v>0.95</v>
      </c>
      <c r="P43" t="s">
        <v>212</v>
      </c>
      <c r="Q43" t="s">
        <v>213</v>
      </c>
    </row>
    <row r="44" spans="1:17" x14ac:dyDescent="0.35">
      <c r="A44" t="s">
        <v>305</v>
      </c>
      <c r="B44" t="str">
        <f>VLOOKUP(A44,zdsr!A:B,2,FALSE)</f>
        <v>Activite 2.1.2</v>
      </c>
      <c r="C44" t="s">
        <v>306</v>
      </c>
      <c r="D44" t="s">
        <v>211</v>
      </c>
      <c r="E44" t="s">
        <v>413</v>
      </c>
      <c r="F44" t="s">
        <v>330</v>
      </c>
      <c r="G44" s="381">
        <v>0</v>
      </c>
      <c r="H44" t="s">
        <v>330</v>
      </c>
      <c r="I44" t="s">
        <v>330</v>
      </c>
      <c r="J44" t="s">
        <v>413</v>
      </c>
      <c r="K44" t="s">
        <v>413</v>
      </c>
      <c r="L44" s="360">
        <v>0</v>
      </c>
      <c r="M44" s="360">
        <v>1</v>
      </c>
      <c r="N44" s="360">
        <v>0</v>
      </c>
      <c r="O44" s="360">
        <v>0</v>
      </c>
      <c r="P44" t="s">
        <v>212</v>
      </c>
      <c r="Q44" t="s">
        <v>213</v>
      </c>
    </row>
    <row r="45" spans="1:17" x14ac:dyDescent="0.35">
      <c r="G45" s="381">
        <f>SUM(G2:G44)</f>
        <v>748777.32000000018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BAF3E-79CA-447A-90B4-EE6A0CA9B602}">
  <dimension ref="A1:Y6"/>
  <sheetViews>
    <sheetView topLeftCell="L1" workbookViewId="0">
      <selection activeCell="N9" sqref="N9"/>
    </sheetView>
  </sheetViews>
  <sheetFormatPr baseColWidth="10" defaultColWidth="11.453125" defaultRowHeight="14.5" x14ac:dyDescent="0.35"/>
  <cols>
    <col min="1" max="1" width="19.81640625" customWidth="1"/>
    <col min="2" max="2" width="21.453125" customWidth="1"/>
    <col min="3" max="3" width="26.7265625" customWidth="1"/>
    <col min="4" max="4" width="36.81640625" customWidth="1"/>
    <col min="5" max="5" width="29.1796875" customWidth="1"/>
    <col min="6" max="6" width="14" customWidth="1"/>
    <col min="7" max="7" width="16.54296875" customWidth="1"/>
    <col min="9" max="9" width="12.1796875" customWidth="1"/>
    <col min="10" max="10" width="15.7265625" customWidth="1"/>
    <col min="12" max="12" width="18.81640625" customWidth="1"/>
    <col min="13" max="13" width="27.54296875" customWidth="1"/>
    <col min="14" max="14" width="13" customWidth="1"/>
    <col min="15" max="15" width="13.453125" customWidth="1"/>
    <col min="16" max="16" width="19.54296875" customWidth="1"/>
    <col min="17" max="17" width="15.54296875" customWidth="1"/>
    <col min="18" max="18" width="20.453125" customWidth="1"/>
    <col min="19" max="19" width="19.54296875" customWidth="1"/>
    <col min="20" max="20" width="19.453125" customWidth="1"/>
    <col min="21" max="21" width="15.453125" customWidth="1"/>
    <col min="22" max="22" width="12" customWidth="1"/>
    <col min="23" max="23" width="11.453125" customWidth="1"/>
    <col min="24" max="24" width="21.26953125" customWidth="1"/>
    <col min="25" max="25" width="22.1796875" customWidth="1"/>
  </cols>
  <sheetData>
    <row r="1" spans="1:25" x14ac:dyDescent="0.35">
      <c r="A1" t="s">
        <v>420</v>
      </c>
      <c r="B1" t="s">
        <v>421</v>
      </c>
      <c r="C1" t="s">
        <v>422</v>
      </c>
      <c r="D1" t="s">
        <v>423</v>
      </c>
      <c r="E1" t="s">
        <v>424</v>
      </c>
      <c r="F1" t="s">
        <v>425</v>
      </c>
      <c r="G1" t="s">
        <v>426</v>
      </c>
      <c r="H1" t="s">
        <v>427</v>
      </c>
      <c r="I1" t="s">
        <v>428</v>
      </c>
      <c r="J1" t="s">
        <v>429</v>
      </c>
      <c r="K1" t="s">
        <v>430</v>
      </c>
      <c r="L1" t="s">
        <v>431</v>
      </c>
      <c r="M1" t="s">
        <v>432</v>
      </c>
      <c r="N1" t="s">
        <v>433</v>
      </c>
      <c r="O1" t="s">
        <v>434</v>
      </c>
      <c r="P1" t="s">
        <v>435</v>
      </c>
      <c r="Q1" t="s">
        <v>436</v>
      </c>
      <c r="R1" t="s">
        <v>437</v>
      </c>
      <c r="S1" t="s">
        <v>438</v>
      </c>
      <c r="T1" t="s">
        <v>439</v>
      </c>
      <c r="U1" t="s">
        <v>440</v>
      </c>
      <c r="V1" t="s">
        <v>441</v>
      </c>
      <c r="W1" t="s">
        <v>442</v>
      </c>
      <c r="X1" t="s">
        <v>443</v>
      </c>
      <c r="Y1" t="s">
        <v>444</v>
      </c>
    </row>
    <row r="2" spans="1:25" x14ac:dyDescent="0.35">
      <c r="F2" t="s">
        <v>416</v>
      </c>
      <c r="P2">
        <v>411.34</v>
      </c>
      <c r="R2">
        <v>411.34</v>
      </c>
    </row>
    <row r="3" spans="1:25" x14ac:dyDescent="0.35">
      <c r="F3" t="s">
        <v>416</v>
      </c>
      <c r="P3">
        <v>195.52</v>
      </c>
      <c r="R3">
        <v>195.52</v>
      </c>
    </row>
    <row r="4" spans="1:25" x14ac:dyDescent="0.35">
      <c r="F4" t="s">
        <v>416</v>
      </c>
      <c r="P4">
        <v>62.48</v>
      </c>
      <c r="R4">
        <v>62.48</v>
      </c>
    </row>
    <row r="5" spans="1:25" x14ac:dyDescent="0.35">
      <c r="F5" t="s">
        <v>416</v>
      </c>
      <c r="P5">
        <v>6.25</v>
      </c>
      <c r="R5">
        <v>6.25</v>
      </c>
    </row>
    <row r="6" spans="1:25" x14ac:dyDescent="0.35">
      <c r="F6" t="s">
        <v>416</v>
      </c>
      <c r="P6">
        <v>17.63</v>
      </c>
      <c r="R6">
        <v>17.63</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957AC-991F-42D1-A43B-66433F7D53B4}">
  <dimension ref="A1:F8"/>
  <sheetViews>
    <sheetView workbookViewId="0">
      <selection activeCell="E15" sqref="E15"/>
    </sheetView>
  </sheetViews>
  <sheetFormatPr baseColWidth="10" defaultColWidth="11.453125" defaultRowHeight="14.5" x14ac:dyDescent="0.35"/>
  <cols>
    <col min="1" max="1" width="22" bestFit="1" customWidth="1"/>
    <col min="5" max="5" width="19.54296875" bestFit="1" customWidth="1"/>
    <col min="6" max="6" width="28.453125" bestFit="1" customWidth="1"/>
  </cols>
  <sheetData>
    <row r="1" spans="1:6" x14ac:dyDescent="0.35">
      <c r="A1" s="388" t="s">
        <v>327</v>
      </c>
      <c r="B1" s="388" t="s">
        <v>447</v>
      </c>
      <c r="C1" t="s">
        <v>445</v>
      </c>
      <c r="E1" s="361" t="s">
        <v>327</v>
      </c>
      <c r="F1" t="s">
        <v>451</v>
      </c>
    </row>
    <row r="2" spans="1:6" x14ac:dyDescent="0.35">
      <c r="A2" s="388" t="s">
        <v>238</v>
      </c>
      <c r="B2" s="388">
        <v>105.32</v>
      </c>
      <c r="C2" t="s">
        <v>418</v>
      </c>
      <c r="E2" s="385" t="s">
        <v>418</v>
      </c>
      <c r="F2" s="386">
        <v>105.32</v>
      </c>
    </row>
    <row r="3" spans="1:6" x14ac:dyDescent="0.35">
      <c r="A3" s="388" t="s">
        <v>245</v>
      </c>
      <c r="B3" s="388">
        <v>5917.56</v>
      </c>
      <c r="C3" s="382" t="s">
        <v>49</v>
      </c>
      <c r="E3" s="362" t="s">
        <v>33</v>
      </c>
      <c r="F3" s="363">
        <v>12719.94</v>
      </c>
    </row>
    <row r="4" spans="1:6" x14ac:dyDescent="0.35">
      <c r="A4" s="388" t="s">
        <v>247</v>
      </c>
      <c r="B4" s="388">
        <v>12719.94</v>
      </c>
      <c r="C4" s="382" t="s">
        <v>33</v>
      </c>
      <c r="E4" s="362" t="s">
        <v>43</v>
      </c>
      <c r="F4" s="363">
        <v>2002.21</v>
      </c>
    </row>
    <row r="5" spans="1:6" x14ac:dyDescent="0.35">
      <c r="A5" s="388" t="s">
        <v>268</v>
      </c>
      <c r="B5" s="388">
        <v>2002.21</v>
      </c>
      <c r="C5" s="382" t="s">
        <v>43</v>
      </c>
      <c r="E5" s="362" t="s">
        <v>45</v>
      </c>
      <c r="F5" s="363">
        <v>10043</v>
      </c>
    </row>
    <row r="6" spans="1:6" x14ac:dyDescent="0.35">
      <c r="A6" s="388" t="s">
        <v>280</v>
      </c>
      <c r="B6" s="388">
        <v>10370.42</v>
      </c>
      <c r="C6" s="382" t="s">
        <v>45</v>
      </c>
      <c r="E6" s="362" t="s">
        <v>49</v>
      </c>
      <c r="F6" s="363">
        <v>5917.56</v>
      </c>
    </row>
    <row r="7" spans="1:6" x14ac:dyDescent="0.35">
      <c r="A7" s="388" t="s">
        <v>282</v>
      </c>
      <c r="B7" s="388">
        <v>-327.41999999999996</v>
      </c>
      <c r="C7" s="382" t="s">
        <v>45</v>
      </c>
      <c r="E7" s="362" t="s">
        <v>328</v>
      </c>
      <c r="F7" s="363">
        <v>30788.030000000002</v>
      </c>
    </row>
    <row r="8" spans="1:6" x14ac:dyDescent="0.35">
      <c r="A8" s="388" t="s">
        <v>328</v>
      </c>
      <c r="B8" s="388">
        <v>30788.03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325CE-DFAA-4A23-AA64-24995ED75582}">
  <dimension ref="A3:L20"/>
  <sheetViews>
    <sheetView topLeftCell="B1" workbookViewId="0">
      <selection activeCell="L9" sqref="L9"/>
    </sheetView>
  </sheetViews>
  <sheetFormatPr baseColWidth="10" defaultColWidth="10.81640625" defaultRowHeight="12.5" x14ac:dyDescent="0.35"/>
  <cols>
    <col min="1" max="1" width="22.54296875" style="382" bestFit="1" customWidth="1"/>
    <col min="2" max="2" width="28.54296875" style="382" bestFit="1" customWidth="1"/>
    <col min="3" max="8" width="10.81640625" style="382"/>
    <col min="9" max="9" width="19.54296875" style="382" bestFit="1" customWidth="1"/>
    <col min="10" max="10" width="17.54296875" style="382" bestFit="1" customWidth="1"/>
    <col min="11" max="16384" width="10.81640625" style="382"/>
  </cols>
  <sheetData>
    <row r="3" spans="1:12" ht="14.5" x14ac:dyDescent="0.35">
      <c r="A3" s="382" t="s">
        <v>327</v>
      </c>
      <c r="B3" s="382" t="s">
        <v>415</v>
      </c>
      <c r="F3" s="382" t="s">
        <v>448</v>
      </c>
      <c r="G3" s="382" t="s">
        <v>449</v>
      </c>
      <c r="I3" s="361" t="s">
        <v>327</v>
      </c>
      <c r="J3" t="s">
        <v>450</v>
      </c>
      <c r="K3"/>
    </row>
    <row r="4" spans="1:12" ht="14.5" x14ac:dyDescent="0.35">
      <c r="A4" s="383" t="s">
        <v>245</v>
      </c>
      <c r="B4" s="384">
        <v>67314.159999999858</v>
      </c>
      <c r="C4" s="382" t="s">
        <v>49</v>
      </c>
      <c r="F4" s="382" t="s">
        <v>49</v>
      </c>
      <c r="G4" s="382">
        <v>67314.159999999858</v>
      </c>
      <c r="H4" s="387"/>
      <c r="I4" s="385" t="s">
        <v>311</v>
      </c>
      <c r="J4" s="386">
        <v>28617.959999999995</v>
      </c>
      <c r="K4"/>
    </row>
    <row r="5" spans="1:12" ht="14.5" x14ac:dyDescent="0.35">
      <c r="A5" s="383" t="s">
        <v>259</v>
      </c>
      <c r="B5" s="384">
        <v>2.3100000000000023</v>
      </c>
      <c r="C5" s="382" t="s">
        <v>49</v>
      </c>
      <c r="F5" s="382" t="s">
        <v>49</v>
      </c>
      <c r="G5" s="382">
        <v>2.3100000000000023</v>
      </c>
      <c r="I5" s="362" t="s">
        <v>33</v>
      </c>
      <c r="J5" s="363">
        <v>62.480000000000246</v>
      </c>
      <c r="K5"/>
    </row>
    <row r="6" spans="1:12" ht="14.5" x14ac:dyDescent="0.35">
      <c r="A6" s="383" t="s">
        <v>261</v>
      </c>
      <c r="B6" s="384">
        <v>4308.03</v>
      </c>
      <c r="C6" s="382" t="s">
        <v>43</v>
      </c>
      <c r="F6" s="382" t="s">
        <v>43</v>
      </c>
      <c r="G6" s="382">
        <v>4308.03</v>
      </c>
      <c r="I6" s="362" t="s">
        <v>43</v>
      </c>
      <c r="J6" s="363">
        <v>1221.3399999999992</v>
      </c>
      <c r="K6"/>
    </row>
    <row r="7" spans="1:12" ht="14.5" x14ac:dyDescent="0.35">
      <c r="A7" s="383" t="s">
        <v>264</v>
      </c>
      <c r="B7" s="384">
        <v>62.480000000000246</v>
      </c>
      <c r="C7" s="382" t="s">
        <v>33</v>
      </c>
      <c r="F7" s="382" t="s">
        <v>33</v>
      </c>
      <c r="G7" s="382">
        <v>62.480000000000246</v>
      </c>
      <c r="I7" s="362" t="s">
        <v>45</v>
      </c>
      <c r="J7" s="363">
        <v>1542.23</v>
      </c>
      <c r="K7"/>
    </row>
    <row r="8" spans="1:12" ht="14.5" x14ac:dyDescent="0.35">
      <c r="A8" s="383" t="s">
        <v>416</v>
      </c>
      <c r="B8" s="384">
        <v>-3086.6900000000005</v>
      </c>
      <c r="C8" s="387" t="s">
        <v>43</v>
      </c>
      <c r="F8" s="382" t="s">
        <v>43</v>
      </c>
      <c r="G8" s="382">
        <v>-3086.6900000000005</v>
      </c>
      <c r="I8" s="362" t="s">
        <v>47</v>
      </c>
      <c r="J8" s="363">
        <v>2951.2699999999995</v>
      </c>
      <c r="K8"/>
    </row>
    <row r="9" spans="1:12" ht="14.5" x14ac:dyDescent="0.35">
      <c r="A9" s="383" t="s">
        <v>268</v>
      </c>
      <c r="B9" s="384">
        <v>2460.0499999999997</v>
      </c>
      <c r="C9" s="382" t="s">
        <v>47</v>
      </c>
      <c r="F9" s="382" t="s">
        <v>47</v>
      </c>
      <c r="G9" s="382">
        <v>2460.0499999999997</v>
      </c>
      <c r="I9" s="362" t="s">
        <v>49</v>
      </c>
      <c r="J9" s="363">
        <v>67316.469999999856</v>
      </c>
      <c r="K9">
        <v>2047.28</v>
      </c>
      <c r="L9" s="382">
        <f>+GETPIVOTDATA("montant",$I$3,"produit","Produit 3.4")+K9</f>
        <v>69363.749999999854</v>
      </c>
    </row>
    <row r="10" spans="1:12" ht="14.5" x14ac:dyDescent="0.35">
      <c r="A10" s="383" t="s">
        <v>286</v>
      </c>
      <c r="B10" s="384">
        <v>1542.23</v>
      </c>
      <c r="C10" s="382" t="s">
        <v>45</v>
      </c>
      <c r="F10" s="382" t="s">
        <v>45</v>
      </c>
      <c r="G10" s="382">
        <v>1542.23</v>
      </c>
      <c r="H10" s="387"/>
      <c r="I10" s="385" t="s">
        <v>310</v>
      </c>
      <c r="J10" s="386">
        <v>10788.130000000001</v>
      </c>
      <c r="K10"/>
    </row>
    <row r="11" spans="1:12" ht="14.5" x14ac:dyDescent="0.35">
      <c r="A11" s="383" t="s">
        <v>291</v>
      </c>
      <c r="B11" s="384">
        <v>10788.130000000001</v>
      </c>
      <c r="C11" s="382" t="s">
        <v>310</v>
      </c>
      <c r="F11" s="382" t="s">
        <v>310</v>
      </c>
      <c r="G11" s="382">
        <v>10788.130000000001</v>
      </c>
      <c r="I11" s="362" t="s">
        <v>328</v>
      </c>
      <c r="J11" s="363">
        <v>112499.87999999986</v>
      </c>
      <c r="K11"/>
    </row>
    <row r="12" spans="1:12" ht="14.5" x14ac:dyDescent="0.35">
      <c r="A12" s="383" t="s">
        <v>295</v>
      </c>
      <c r="B12" s="384">
        <v>-1.1368683772161603E-13</v>
      </c>
      <c r="G12" s="382">
        <v>-1.1368683772161603E-13</v>
      </c>
      <c r="I12"/>
      <c r="J12"/>
      <c r="K12"/>
    </row>
    <row r="13" spans="1:12" ht="14.5" x14ac:dyDescent="0.35">
      <c r="A13" s="383" t="s">
        <v>302</v>
      </c>
      <c r="B13" s="384">
        <v>491.22</v>
      </c>
      <c r="C13" s="382" t="s">
        <v>47</v>
      </c>
      <c r="F13" s="382" t="s">
        <v>47</v>
      </c>
      <c r="G13" s="382">
        <v>491.22</v>
      </c>
      <c r="I13"/>
      <c r="J13"/>
      <c r="K13"/>
    </row>
    <row r="14" spans="1:12" ht="14.5" x14ac:dyDescent="0.35">
      <c r="A14" s="383" t="s">
        <v>190</v>
      </c>
      <c r="B14" s="384">
        <v>28617.959999999995</v>
      </c>
      <c r="C14" s="382" t="s">
        <v>311</v>
      </c>
      <c r="F14" s="382" t="s">
        <v>311</v>
      </c>
      <c r="G14" s="382">
        <v>28617.959999999995</v>
      </c>
      <c r="I14"/>
      <c r="J14"/>
      <c r="K14"/>
    </row>
    <row r="15" spans="1:12" ht="14.5" x14ac:dyDescent="0.35">
      <c r="A15" s="383" t="s">
        <v>328</v>
      </c>
      <c r="B15" s="382">
        <v>112499.87999999984</v>
      </c>
      <c r="I15"/>
      <c r="J15"/>
      <c r="K15"/>
    </row>
    <row r="16" spans="1:12" ht="14.5" x14ac:dyDescent="0.35">
      <c r="I16"/>
      <c r="J16"/>
      <c r="K16"/>
    </row>
    <row r="17" spans="9:11" ht="14.5" x14ac:dyDescent="0.35">
      <c r="I17"/>
      <c r="J17"/>
      <c r="K17"/>
    </row>
    <row r="18" spans="9:11" ht="14.5" x14ac:dyDescent="0.35">
      <c r="I18"/>
      <c r="J18"/>
      <c r="K18"/>
    </row>
    <row r="19" spans="9:11" ht="14.5" x14ac:dyDescent="0.35">
      <c r="I19"/>
      <c r="J19"/>
      <c r="K19"/>
    </row>
    <row r="20" spans="9:11" ht="14.5" x14ac:dyDescent="0.35">
      <c r="I20"/>
      <c r="J20"/>
      <c r="K20"/>
    </row>
  </sheetData>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andrianony.ramahazo.harimisa@one.un.org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MPTF_00006_00659</ProjectId>
    <FundCode xmlns="f9695bc1-6109-4dcd-a27a-f8a0370b00e2">MPTF_00006</FundCode>
    <Comments xmlns="f9695bc1-6109-4dcd-a27a-f8a0370b00e2">IRF 320 RAPPORT FINANCIER FINAL</Comments>
    <Active xmlns="f9695bc1-6109-4dcd-a27a-f8a0370b00e2">Yes</Active>
    <DocumentDate xmlns="b1528a4b-5ccb-40f7-a09e-43427183cd95">2022-12-15T08:00:00+00:00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52EBFB74-AF3D-4FBC-8A12-AAA972C40C54}"/>
</file>

<file path=customXml/itemProps2.xml><?xml version="1.0" encoding="utf-8"?>
<ds:datastoreItem xmlns:ds="http://schemas.openxmlformats.org/officeDocument/2006/customXml" ds:itemID="{E523EF70-AD22-48B4-8C89-0669AAFBC4EC}"/>
</file>

<file path=customXml/itemProps3.xml><?xml version="1.0" encoding="utf-8"?>
<ds:datastoreItem xmlns:ds="http://schemas.openxmlformats.org/officeDocument/2006/customXml" ds:itemID="{2DDF3843-3EC6-487E-95C2-B4E8D72059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1) Tableau rapport financier </vt:lpstr>
      <vt:lpstr>2) Tableau budgetaire 2</vt:lpstr>
      <vt:lpstr>RECAP</vt:lpstr>
      <vt:lpstr>zdsr</vt:lpstr>
      <vt:lpstr>Feuil6</vt:lpstr>
      <vt:lpstr>CS1041 0428</vt:lpstr>
      <vt:lpstr>Feuil4</vt:lpstr>
      <vt:lpstr>MPTF3</vt:lpstr>
      <vt:lpstr>MPTF4</vt:lpstr>
      <vt:lpstr>MPTF5</vt:lpstr>
      <vt:lpstr>MPTF6</vt:lpstr>
      <vt:lpstr>MPTF7</vt:lpstr>
      <vt:lpstr>'1) Tableau rapport financier '!Zone_d_impression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PBF_IRF_320_Rapport Financier final - REAP.xlsx</dc:title>
  <dc:creator>ICT_provider</dc:creator>
  <cp:lastModifiedBy>SICARD Maxime Georges</cp:lastModifiedBy>
  <cp:lastPrinted>2022-05-04T08:43:16Z</cp:lastPrinted>
  <dcterms:created xsi:type="dcterms:W3CDTF">2021-07-12T16:22:07Z</dcterms:created>
  <dcterms:modified xsi:type="dcterms:W3CDTF">2022-06-14T12:47:31Z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2021-11-15T17:50:15Z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8f0db525-82a1-4f87-8420-a4c5962440ae</vt:lpwstr>
  </property>
  <property fmtid="{D5CDD505-2E9C-101B-9397-08002B2CF9AE}" pid="8" name="MSIP_Label_65b15e2b-c6d2-488b-8aea-978109a77633_ContentBits">
    <vt:lpwstr>0</vt:lpwstr>
  </property>
  <property fmtid="{D5CDD505-2E9C-101B-9397-08002B2CF9AE}" pid="9" name="ContentTypeId">
    <vt:lpwstr>0x010100A20E1B0FB969FA4DB37D3562DA9CC146</vt:lpwstr>
  </property>
</Properties>
</file>