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autoCompressPictures="0" defaultThemeVersion="166925"/>
  <mc:AlternateContent xmlns:mc="http://schemas.openxmlformats.org/markup-compatibility/2006">
    <mc:Choice Requires="x15">
      <x15ac:absPath xmlns:x15ac="http://schemas.microsoft.com/office/spreadsheetml/2010/11/ac" url="C:\PBF 2023 annual reports\Women project\"/>
    </mc:Choice>
  </mc:AlternateContent>
  <xr:revisionPtr revIDLastSave="0" documentId="8_{EC871D73-C51A-4CF5-8CEA-30894C234738}" xr6:coauthVersionLast="47" xr6:coauthVersionMax="47" xr10:uidLastSave="{00000000-0000-0000-0000-000000000000}"/>
  <bookViews>
    <workbookView xWindow="-110" yWindow="-110" windowWidth="19420" windowHeight="10420" xr2:uid="{00000000-000D-0000-FFFF-FFFF00000000}"/>
  </bookViews>
  <sheets>
    <sheet name="Financial report_By activity" sheetId="1" r:id="rId1"/>
    <sheet name="Financial report_by Category" sheetId="2" r:id="rId2"/>
    <sheet name="Detailed budget" sheetId="3" state="hidden" r:id="rId3"/>
  </sheets>
  <definedNames>
    <definedName name="_xlnm._FilterDatabase" localSheetId="0" hidden="1">#N/A</definedName>
    <definedName name="_Hlk19711673" localSheetId="2">#N/A</definedName>
    <definedName name="_Hlk20491765" localSheetId="0">#N/A</definedName>
    <definedName name="COA">#N/A</definedName>
    <definedName name="Comm_2005">#N/A</definedName>
    <definedName name="print">#N/A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34" i="1" l="1"/>
  <c r="J25" i="1"/>
  <c r="M14" i="1"/>
  <c r="N14" i="1" s="1"/>
  <c r="F14" i="2" l="1"/>
  <c r="D17" i="1"/>
  <c r="D9" i="1"/>
  <c r="F18" i="1"/>
  <c r="F12" i="1"/>
  <c r="G14" i="2"/>
  <c r="J44" i="1" l="1"/>
  <c r="J43" i="1"/>
  <c r="J42" i="1"/>
  <c r="J40" i="1"/>
  <c r="J39" i="1"/>
  <c r="J38" i="1"/>
  <c r="J37" i="1"/>
  <c r="J36" i="1"/>
  <c r="J35" i="1"/>
  <c r="J33" i="1"/>
  <c r="J32" i="1"/>
  <c r="J31" i="1"/>
  <c r="J30" i="1"/>
  <c r="J29" i="1"/>
  <c r="J28" i="1"/>
  <c r="J27" i="1"/>
  <c r="J26" i="1"/>
  <c r="M14" i="2"/>
  <c r="H41" i="1"/>
  <c r="M15" i="2" l="1"/>
  <c r="M16" i="2" s="1"/>
  <c r="L14" i="2" l="1"/>
  <c r="L15" i="2" s="1"/>
  <c r="R15" i="2" s="1"/>
  <c r="I25" i="1"/>
  <c r="I34" i="1"/>
  <c r="I41" i="1"/>
  <c r="R7" i="2"/>
  <c r="H12" i="2"/>
  <c r="F16" i="2"/>
  <c r="C23" i="2" s="1"/>
  <c r="H9" i="2"/>
  <c r="H10" i="2"/>
  <c r="H11" i="2"/>
  <c r="H13" i="2"/>
  <c r="G25" i="1"/>
  <c r="G34" i="1"/>
  <c r="G45" i="1"/>
  <c r="G41" i="1" s="1"/>
  <c r="D41" i="1"/>
  <c r="F41" i="1" s="1"/>
  <c r="D47" i="1"/>
  <c r="D49" i="1" s="1"/>
  <c r="F15" i="1"/>
  <c r="F16" i="1"/>
  <c r="F19" i="1"/>
  <c r="F21" i="1"/>
  <c r="F22" i="1"/>
  <c r="F23" i="1"/>
  <c r="F24" i="1"/>
  <c r="F43" i="1"/>
  <c r="F44" i="1"/>
  <c r="F45" i="1"/>
  <c r="AA15" i="2"/>
  <c r="I7" i="2"/>
  <c r="N7" i="2" s="1"/>
  <c r="J7" i="2"/>
  <c r="P7" i="2" s="1"/>
  <c r="C8" i="2"/>
  <c r="I8" i="2"/>
  <c r="D8" i="2"/>
  <c r="J8" i="2"/>
  <c r="I9" i="2"/>
  <c r="N9" i="2" s="1"/>
  <c r="J9" i="2"/>
  <c r="P9" i="2" s="1"/>
  <c r="C10" i="2"/>
  <c r="I10" i="2"/>
  <c r="N10" i="2" s="1"/>
  <c r="J10" i="2"/>
  <c r="P10" i="2" s="1"/>
  <c r="I11" i="2"/>
  <c r="N11" i="2" s="1"/>
  <c r="J11" i="2"/>
  <c r="P11" i="2" s="1"/>
  <c r="C12" i="2"/>
  <c r="I12" i="2"/>
  <c r="N12" i="2" s="1"/>
  <c r="J12" i="2"/>
  <c r="P12" i="2" s="1"/>
  <c r="C13" i="2"/>
  <c r="I13" i="2"/>
  <c r="D13" i="2"/>
  <c r="J13" i="2"/>
  <c r="AA13" i="2"/>
  <c r="AA12" i="2"/>
  <c r="AA11" i="2"/>
  <c r="AA10" i="2"/>
  <c r="AA9" i="2"/>
  <c r="AA8" i="2"/>
  <c r="AA7" i="2"/>
  <c r="R13" i="2"/>
  <c r="R12" i="2"/>
  <c r="R11" i="2"/>
  <c r="R10" i="2"/>
  <c r="R9" i="2"/>
  <c r="R8" i="2"/>
  <c r="F42" i="1"/>
  <c r="H7" i="2"/>
  <c r="H8" i="2"/>
  <c r="G15" i="1"/>
  <c r="D36" i="1"/>
  <c r="C17" i="1"/>
  <c r="F17" i="1" s="1"/>
  <c r="N13" i="2"/>
  <c r="M17" i="2"/>
  <c r="G17" i="1"/>
  <c r="F10" i="1"/>
  <c r="F11" i="1"/>
  <c r="F13" i="1"/>
  <c r="F14" i="1"/>
  <c r="L17" i="1"/>
  <c r="L25" i="1"/>
  <c r="G16" i="2"/>
  <c r="E14" i="2"/>
  <c r="K14" i="2"/>
  <c r="K15" i="2" s="1"/>
  <c r="H17" i="2"/>
  <c r="C5" i="3"/>
  <c r="C7" i="3"/>
  <c r="C8" i="3"/>
  <c r="C9" i="3"/>
  <c r="C11" i="3"/>
  <c r="C13" i="3"/>
  <c r="C33" i="3"/>
  <c r="C67" i="3"/>
  <c r="C68" i="3"/>
  <c r="C69" i="3"/>
  <c r="C70" i="3"/>
  <c r="C71" i="3"/>
  <c r="C66" i="3"/>
  <c r="C78" i="3"/>
  <c r="C79" i="3"/>
  <c r="C80" i="3"/>
  <c r="C81" i="3"/>
  <c r="C82" i="3"/>
  <c r="C83" i="3"/>
  <c r="C84" i="3"/>
  <c r="C85" i="3"/>
  <c r="C87" i="3"/>
  <c r="C88" i="3"/>
  <c r="C89" i="3"/>
  <c r="C90" i="3"/>
  <c r="C100" i="3"/>
  <c r="D18" i="3"/>
  <c r="D19" i="3"/>
  <c r="D21" i="3"/>
  <c r="D22" i="3"/>
  <c r="D23" i="3"/>
  <c r="D24" i="3"/>
  <c r="D46" i="3"/>
  <c r="D47" i="3"/>
  <c r="D48" i="3"/>
  <c r="D66" i="3"/>
  <c r="D83" i="3"/>
  <c r="D85" i="3"/>
  <c r="D96" i="3"/>
  <c r="D99" i="3"/>
  <c r="D77" i="3"/>
  <c r="D100" i="3"/>
  <c r="E27" i="3"/>
  <c r="E29" i="3"/>
  <c r="E30" i="3"/>
  <c r="E31" i="3"/>
  <c r="E4" i="3"/>
  <c r="E3" i="3" s="1"/>
  <c r="E33" i="3"/>
  <c r="E66" i="3"/>
  <c r="E83" i="3"/>
  <c r="E85" i="3"/>
  <c r="E96" i="3"/>
  <c r="E77" i="3"/>
  <c r="E100" i="3"/>
  <c r="E133" i="3"/>
  <c r="E121" i="3"/>
  <c r="E120" i="3" s="1"/>
  <c r="E157" i="3"/>
  <c r="E150" i="3"/>
  <c r="E147" i="3"/>
  <c r="E153" i="3"/>
  <c r="D131" i="3"/>
  <c r="D133" i="3"/>
  <c r="D135" i="3"/>
  <c r="E213" i="3" s="1"/>
  <c r="D138" i="3"/>
  <c r="D140" i="3"/>
  <c r="D150" i="3"/>
  <c r="D152" i="3"/>
  <c r="D147" i="3"/>
  <c r="D153" i="3"/>
  <c r="D157" i="3"/>
  <c r="C128" i="3"/>
  <c r="C130" i="3"/>
  <c r="C133" i="3"/>
  <c r="C134" i="3"/>
  <c r="C135" i="3"/>
  <c r="C136" i="3"/>
  <c r="C121" i="3" s="1"/>
  <c r="C140" i="3"/>
  <c r="E212" i="3" s="1"/>
  <c r="C142" i="3"/>
  <c r="C143" i="3"/>
  <c r="C144" i="3"/>
  <c r="C145" i="3"/>
  <c r="C146" i="3"/>
  <c r="C147" i="3"/>
  <c r="C153" i="3"/>
  <c r="C157" i="3"/>
  <c r="C120" i="3"/>
  <c r="F15" i="3"/>
  <c r="F16" i="3"/>
  <c r="F41" i="3"/>
  <c r="F51" i="3"/>
  <c r="F52" i="3"/>
  <c r="F54" i="3"/>
  <c r="F56" i="3"/>
  <c r="F57" i="3"/>
  <c r="F58" i="3"/>
  <c r="F59" i="3"/>
  <c r="F61" i="3"/>
  <c r="F63" i="3"/>
  <c r="F64" i="3"/>
  <c r="F74" i="3"/>
  <c r="F75" i="3"/>
  <c r="F66" i="3"/>
  <c r="F92" i="3"/>
  <c r="F93" i="3"/>
  <c r="F94" i="3"/>
  <c r="F100" i="3"/>
  <c r="G4" i="3"/>
  <c r="G34" i="3"/>
  <c r="G35" i="3"/>
  <c r="G36" i="3"/>
  <c r="G37" i="3"/>
  <c r="G38" i="3"/>
  <c r="G39" i="3"/>
  <c r="G43" i="3"/>
  <c r="G44" i="3"/>
  <c r="G45" i="3"/>
  <c r="G56" i="3"/>
  <c r="G57" i="3"/>
  <c r="G58" i="3"/>
  <c r="G59" i="3"/>
  <c r="G64" i="3"/>
  <c r="G66" i="3"/>
  <c r="G77" i="3"/>
  <c r="G100" i="3"/>
  <c r="H4" i="3"/>
  <c r="H3" i="3" s="1"/>
  <c r="H56" i="3"/>
  <c r="H57" i="3"/>
  <c r="H58" i="3"/>
  <c r="H59" i="3"/>
  <c r="H64" i="3"/>
  <c r="H33" i="3"/>
  <c r="H66" i="3"/>
  <c r="H77" i="3"/>
  <c r="H190" i="3" s="1"/>
  <c r="H100" i="3"/>
  <c r="I4" i="3"/>
  <c r="I33" i="3"/>
  <c r="I66" i="3"/>
  <c r="I77" i="3"/>
  <c r="I105" i="3"/>
  <c r="I106" i="3"/>
  <c r="I107" i="3"/>
  <c r="I108" i="3"/>
  <c r="I109" i="3"/>
  <c r="I110" i="3"/>
  <c r="I111" i="3"/>
  <c r="I113" i="3"/>
  <c r="I114" i="3"/>
  <c r="I115" i="3"/>
  <c r="I116" i="3"/>
  <c r="I117" i="3"/>
  <c r="I118" i="3"/>
  <c r="J4" i="3"/>
  <c r="J33" i="3"/>
  <c r="J66" i="3"/>
  <c r="J77" i="3"/>
  <c r="J105" i="3"/>
  <c r="J106" i="3"/>
  <c r="J107" i="3"/>
  <c r="J108" i="3"/>
  <c r="J109" i="3"/>
  <c r="J110" i="3"/>
  <c r="J111" i="3"/>
  <c r="J100" i="3" s="1"/>
  <c r="J113" i="3"/>
  <c r="J114" i="3"/>
  <c r="J115" i="3"/>
  <c r="J116" i="3"/>
  <c r="J117" i="3"/>
  <c r="J118" i="3"/>
  <c r="K4" i="3"/>
  <c r="K33" i="3"/>
  <c r="K66" i="3"/>
  <c r="K77" i="3"/>
  <c r="K105" i="3"/>
  <c r="K100" i="3" s="1"/>
  <c r="K106" i="3"/>
  <c r="K107" i="3"/>
  <c r="K108" i="3"/>
  <c r="K109" i="3"/>
  <c r="K110" i="3"/>
  <c r="K111" i="3"/>
  <c r="K113" i="3"/>
  <c r="K114" i="3"/>
  <c r="K115" i="3"/>
  <c r="K116" i="3"/>
  <c r="K117" i="3"/>
  <c r="K118" i="3"/>
  <c r="C199" i="3"/>
  <c r="C202" i="3"/>
  <c r="C197" i="3"/>
  <c r="C193" i="3"/>
  <c r="D197" i="3"/>
  <c r="D193" i="3"/>
  <c r="D192" i="3" s="1"/>
  <c r="E198" i="3"/>
  <c r="E197" i="3"/>
  <c r="E193" i="3"/>
  <c r="E192" i="3"/>
  <c r="E208" i="3" s="1"/>
  <c r="E209" i="3" s="1"/>
  <c r="E190" i="3"/>
  <c r="F197" i="3"/>
  <c r="F195" i="3"/>
  <c r="F196" i="3"/>
  <c r="F192" i="3"/>
  <c r="F157" i="3"/>
  <c r="F154" i="3"/>
  <c r="F155" i="3"/>
  <c r="F156" i="3"/>
  <c r="F153" i="3"/>
  <c r="F147" i="3"/>
  <c r="F122" i="3"/>
  <c r="F123" i="3"/>
  <c r="F124" i="3"/>
  <c r="F121" i="3"/>
  <c r="F120" i="3" s="1"/>
  <c r="G197" i="3"/>
  <c r="G195" i="3"/>
  <c r="G196" i="3"/>
  <c r="G157" i="3"/>
  <c r="G154" i="3"/>
  <c r="G155" i="3"/>
  <c r="G156" i="3"/>
  <c r="G147" i="3"/>
  <c r="G121" i="3"/>
  <c r="H197" i="3"/>
  <c r="H195" i="3"/>
  <c r="H196" i="3"/>
  <c r="H192" i="3"/>
  <c r="H157" i="3"/>
  <c r="H154" i="3"/>
  <c r="H155" i="3"/>
  <c r="H156" i="3"/>
  <c r="H153" i="3"/>
  <c r="H147" i="3"/>
  <c r="H121" i="3"/>
  <c r="I197" i="3"/>
  <c r="I192" i="3"/>
  <c r="I158" i="3"/>
  <c r="I159" i="3"/>
  <c r="I157" i="3" s="1"/>
  <c r="I160" i="3"/>
  <c r="I161" i="3"/>
  <c r="I162" i="3"/>
  <c r="I163" i="3"/>
  <c r="I177" i="3"/>
  <c r="I187" i="3"/>
  <c r="I153" i="3"/>
  <c r="I120" i="3" s="1"/>
  <c r="I147" i="3"/>
  <c r="I121" i="3"/>
  <c r="J197" i="3"/>
  <c r="J192" i="3"/>
  <c r="J158" i="3"/>
  <c r="J157" i="3" s="1"/>
  <c r="J159" i="3"/>
  <c r="J160" i="3"/>
  <c r="J161" i="3"/>
  <c r="J162" i="3"/>
  <c r="J163" i="3"/>
  <c r="J153" i="3"/>
  <c r="J147" i="3"/>
  <c r="J121" i="3"/>
  <c r="K197" i="3"/>
  <c r="K192" i="3"/>
  <c r="K159" i="3"/>
  <c r="K160" i="3"/>
  <c r="K163" i="3"/>
  <c r="K157" i="3"/>
  <c r="K153" i="3"/>
  <c r="K147" i="3"/>
  <c r="K121" i="3"/>
  <c r="K120" i="3" s="1"/>
  <c r="H120" i="3"/>
  <c r="O197" i="3"/>
  <c r="L207" i="3"/>
  <c r="H214" i="3"/>
  <c r="E215" i="3"/>
  <c r="H215" i="3"/>
  <c r="H216" i="3"/>
  <c r="E217" i="3"/>
  <c r="H217" i="3"/>
  <c r="F9" i="1"/>
  <c r="J41" i="1" l="1"/>
  <c r="I47" i="1"/>
  <c r="H34" i="1"/>
  <c r="G47" i="1"/>
  <c r="G48" i="1" s="1"/>
  <c r="D14" i="2"/>
  <c r="O12" i="2"/>
  <c r="Q12" i="2" s="1"/>
  <c r="AB12" i="2" s="1"/>
  <c r="H14" i="2"/>
  <c r="P8" i="2"/>
  <c r="O7" i="2"/>
  <c r="O10" i="2"/>
  <c r="Q10" i="2" s="1"/>
  <c r="AB10" i="2" s="1"/>
  <c r="R14" i="2"/>
  <c r="C14" i="2"/>
  <c r="L16" i="2"/>
  <c r="O13" i="2"/>
  <c r="O11" i="2"/>
  <c r="Q11" i="2" s="1"/>
  <c r="AB11" i="2" s="1"/>
  <c r="O9" i="2"/>
  <c r="Q9" i="2" s="1"/>
  <c r="AB9" i="2" s="1"/>
  <c r="J15" i="2"/>
  <c r="I15" i="2"/>
  <c r="N15" i="2" s="1"/>
  <c r="J14" i="2"/>
  <c r="K16" i="2"/>
  <c r="J3" i="3"/>
  <c r="J190" i="3"/>
  <c r="J208" i="3" s="1"/>
  <c r="J209" i="3" s="1"/>
  <c r="E218" i="3"/>
  <c r="F4" i="3"/>
  <c r="K190" i="3"/>
  <c r="K208" i="3"/>
  <c r="K209" i="3" s="1"/>
  <c r="I100" i="3"/>
  <c r="I3" i="3" s="1"/>
  <c r="H208" i="3"/>
  <c r="H209" i="3" s="1"/>
  <c r="D4" i="3"/>
  <c r="C4" i="3"/>
  <c r="G153" i="3"/>
  <c r="B66" i="3"/>
  <c r="E15" i="2"/>
  <c r="I14" i="2"/>
  <c r="N8" i="2"/>
  <c r="C47" i="1"/>
  <c r="J120" i="3"/>
  <c r="H212" i="3"/>
  <c r="H218" i="3" s="1"/>
  <c r="F33" i="3"/>
  <c r="G33" i="3"/>
  <c r="G3" i="3" s="1"/>
  <c r="H213" i="3"/>
  <c r="D33" i="3"/>
  <c r="B157" i="3"/>
  <c r="O8" i="2"/>
  <c r="AA14" i="2"/>
  <c r="AA16" i="2" s="1"/>
  <c r="D121" i="3"/>
  <c r="D120" i="3" s="1"/>
  <c r="G120" i="3"/>
  <c r="G192" i="3"/>
  <c r="K3" i="3"/>
  <c r="B147" i="3"/>
  <c r="P13" i="2"/>
  <c r="C192" i="3"/>
  <c r="E214" i="3"/>
  <c r="F77" i="3"/>
  <c r="C77" i="3"/>
  <c r="I48" i="1" l="1"/>
  <c r="H25" i="1"/>
  <c r="H47" i="1" s="1"/>
  <c r="J47" i="1" s="1"/>
  <c r="Q7" i="2"/>
  <c r="AB7" i="2" s="1"/>
  <c r="R16" i="2"/>
  <c r="J16" i="2"/>
  <c r="Q13" i="2"/>
  <c r="AB13" i="2" s="1"/>
  <c r="P14" i="2"/>
  <c r="P15" i="2" s="1"/>
  <c r="P16" i="2" s="1"/>
  <c r="C15" i="2"/>
  <c r="H15" i="2"/>
  <c r="D15" i="2"/>
  <c r="D16" i="2" s="1"/>
  <c r="B77" i="3"/>
  <c r="C190" i="3"/>
  <c r="D3" i="3"/>
  <c r="B120" i="3"/>
  <c r="B4" i="3"/>
  <c r="C3" i="3"/>
  <c r="B33" i="3"/>
  <c r="E16" i="2"/>
  <c r="H16" i="2" s="1"/>
  <c r="F3" i="3"/>
  <c r="F190" i="3"/>
  <c r="O14" i="2"/>
  <c r="Q8" i="2"/>
  <c r="I190" i="3"/>
  <c r="B121" i="3"/>
  <c r="B100" i="3"/>
  <c r="F47" i="1"/>
  <c r="C48" i="1"/>
  <c r="D190" i="3"/>
  <c r="D208" i="3" s="1"/>
  <c r="D209" i="3" s="1"/>
  <c r="I16" i="2"/>
  <c r="N16" i="2" s="1"/>
  <c r="N14" i="2"/>
  <c r="G190" i="3"/>
  <c r="G208" i="3" s="1"/>
  <c r="G209" i="3" s="1"/>
  <c r="B153" i="3"/>
  <c r="G49" i="1"/>
  <c r="E48" i="1" l="1"/>
  <c r="E49" i="1" s="1"/>
  <c r="I49" i="1"/>
  <c r="H48" i="1"/>
  <c r="H49" i="1" s="1"/>
  <c r="J49" i="1" s="1"/>
  <c r="C16" i="2"/>
  <c r="L2" i="3"/>
  <c r="B3" i="3"/>
  <c r="I191" i="3"/>
  <c r="I208" i="3"/>
  <c r="AB8" i="2"/>
  <c r="Q14" i="2"/>
  <c r="F191" i="3"/>
  <c r="F208" i="3"/>
  <c r="C191" i="3"/>
  <c r="C49" i="1"/>
  <c r="F49" i="1" s="1"/>
  <c r="C208" i="3"/>
  <c r="O15" i="2"/>
  <c r="O16" i="2" s="1"/>
  <c r="F48" i="1" l="1"/>
  <c r="K49" i="1"/>
  <c r="J48" i="1"/>
  <c r="Q15" i="2"/>
  <c r="AB15" i="2" s="1"/>
  <c r="AB14" i="2"/>
  <c r="C212" i="3"/>
  <c r="E219" i="3" s="1"/>
  <c r="C209" i="3"/>
  <c r="B191" i="3"/>
  <c r="I209" i="3"/>
  <c r="I210" i="3" s="1"/>
  <c r="I212" i="3"/>
  <c r="F211" i="3"/>
  <c r="H219" i="3" s="1"/>
  <c r="F209" i="3"/>
  <c r="C210" i="3" l="1"/>
  <c r="F210" i="3"/>
  <c r="M209" i="3"/>
  <c r="Q16" i="2"/>
  <c r="AB16" i="2" s="1"/>
  <c r="N8" i="3"/>
  <c r="N16" i="3"/>
  <c r="N24" i="3"/>
  <c r="N32" i="3"/>
  <c r="N42" i="3"/>
  <c r="N48" i="3"/>
  <c r="N55" i="3"/>
  <c r="N68" i="3"/>
  <c r="N84" i="3"/>
  <c r="N92" i="3"/>
  <c r="N122" i="3"/>
  <c r="N131" i="3"/>
  <c r="N139" i="3"/>
  <c r="N161" i="3"/>
  <c r="N169" i="3"/>
  <c r="N177" i="3"/>
  <c r="N185" i="3"/>
  <c r="N11" i="3"/>
  <c r="N19" i="3"/>
  <c r="N27" i="3"/>
  <c r="N39" i="3"/>
  <c r="N51" i="3"/>
  <c r="N59" i="3"/>
  <c r="N63" i="3"/>
  <c r="N71" i="3"/>
  <c r="N74" i="3"/>
  <c r="N79" i="3"/>
  <c r="N87" i="3"/>
  <c r="N95" i="3"/>
  <c r="N104" i="3"/>
  <c r="N112" i="3"/>
  <c r="N126" i="3"/>
  <c r="N134" i="3"/>
  <c r="N144" i="3"/>
  <c r="N149" i="3"/>
  <c r="N154" i="3"/>
  <c r="N10" i="3"/>
  <c r="N18" i="3"/>
  <c r="N26" i="3"/>
  <c r="N38" i="3"/>
  <c r="N41" i="3"/>
  <c r="N50" i="3"/>
  <c r="N58" i="3"/>
  <c r="N65" i="3"/>
  <c r="N70" i="3"/>
  <c r="N78" i="3"/>
  <c r="N86" i="3"/>
  <c r="N94" i="3"/>
  <c r="N125" i="3"/>
  <c r="N133" i="3"/>
  <c r="N143" i="3"/>
  <c r="N148" i="3"/>
  <c r="N153" i="3"/>
  <c r="N167" i="3"/>
  <c r="N175" i="3"/>
  <c r="N183" i="3"/>
  <c r="N6" i="3"/>
  <c r="N31" i="3"/>
  <c r="N72" i="3"/>
  <c r="N85" i="3"/>
  <c r="N89" i="3"/>
  <c r="N98" i="3"/>
  <c r="N102" i="3"/>
  <c r="N109" i="3"/>
  <c r="N123" i="3"/>
  <c r="N132" i="3"/>
  <c r="N136" i="3"/>
  <c r="N160" i="3"/>
  <c r="N171" i="3"/>
  <c r="N181" i="3"/>
  <c r="N99" i="3"/>
  <c r="N111" i="3"/>
  <c r="N186" i="3"/>
  <c r="N12" i="3"/>
  <c r="N25" i="3"/>
  <c r="N23" i="3"/>
  <c r="N37" i="3"/>
  <c r="N47" i="3"/>
  <c r="N52" i="3"/>
  <c r="N64" i="3"/>
  <c r="N77" i="3"/>
  <c r="N81" i="3"/>
  <c r="N90" i="3"/>
  <c r="N103" i="3"/>
  <c r="N128" i="3"/>
  <c r="N137" i="3"/>
  <c r="N147" i="3"/>
  <c r="N151" i="3"/>
  <c r="N155" i="3"/>
  <c r="N162" i="3"/>
  <c r="N172" i="3"/>
  <c r="N182" i="3"/>
  <c r="N60" i="3"/>
  <c r="N156" i="3"/>
  <c r="N174" i="3"/>
  <c r="N29" i="3"/>
  <c r="N15" i="3"/>
  <c r="N28" i="3"/>
  <c r="N43" i="3"/>
  <c r="N69" i="3"/>
  <c r="N73" i="3"/>
  <c r="N82" i="3"/>
  <c r="N110" i="3"/>
  <c r="N124" i="3"/>
  <c r="N129" i="3"/>
  <c r="N152" i="3"/>
  <c r="N163" i="3"/>
  <c r="N173" i="3"/>
  <c r="N184" i="3"/>
  <c r="N191" i="3"/>
  <c r="N7" i="3"/>
  <c r="N20" i="3"/>
  <c r="N54" i="3"/>
  <c r="N105" i="3"/>
  <c r="N164" i="3"/>
  <c r="N33" i="3"/>
  <c r="N5" i="3"/>
  <c r="N30" i="3"/>
  <c r="N40" i="3"/>
  <c r="N62" i="3"/>
  <c r="N88" i="3"/>
  <c r="N107" i="3"/>
  <c r="N135" i="3"/>
  <c r="N168" i="3"/>
  <c r="N189" i="3"/>
  <c r="N101" i="3"/>
  <c r="N121" i="3"/>
  <c r="N76" i="3"/>
  <c r="N158" i="3"/>
  <c r="N165" i="3"/>
  <c r="N80" i="3"/>
  <c r="N97" i="3"/>
  <c r="N127" i="3"/>
  <c r="N146" i="3"/>
  <c r="N170" i="3"/>
  <c r="N138" i="3"/>
  <c r="N56" i="3"/>
  <c r="N83" i="3"/>
  <c r="N113" i="3"/>
  <c r="N178" i="3"/>
  <c r="N93" i="3"/>
  <c r="N150" i="3"/>
  <c r="N9" i="3"/>
  <c r="N21" i="3"/>
  <c r="N44" i="3"/>
  <c r="N66" i="3"/>
  <c r="N91" i="3"/>
  <c r="N176" i="3"/>
  <c r="N22" i="3"/>
  <c r="N45" i="3"/>
  <c r="N75" i="3"/>
  <c r="N130" i="3"/>
  <c r="N157" i="3"/>
  <c r="N34" i="3"/>
  <c r="N46" i="3"/>
  <c r="N179" i="3"/>
  <c r="N35" i="3"/>
  <c r="N67" i="3"/>
  <c r="N114" i="3"/>
  <c r="N142" i="3"/>
  <c r="N180" i="3"/>
  <c r="N14" i="3"/>
  <c r="N118" i="3"/>
  <c r="N187" i="3"/>
  <c r="N57" i="3"/>
  <c r="N4" i="3"/>
  <c r="N13" i="3"/>
  <c r="N49" i="3"/>
  <c r="N17" i="3"/>
  <c r="N61" i="3"/>
  <c r="N96" i="3"/>
  <c r="N106" i="3"/>
  <c r="N119" i="3"/>
  <c r="N145" i="3"/>
  <c r="N166" i="3"/>
  <c r="N188" i="3"/>
  <c r="N108" i="3"/>
  <c r="N116" i="3"/>
  <c r="N159" i="3"/>
  <c r="N115" i="3"/>
  <c r="N100" i="3"/>
  <c r="N117" i="3"/>
  <c r="N120" i="3"/>
  <c r="N190" i="3"/>
  <c r="N3" i="3"/>
  <c r="L6" i="3" l="1"/>
  <c r="L14" i="3"/>
  <c r="L22" i="3"/>
  <c r="L30" i="3"/>
  <c r="L35" i="3"/>
  <c r="L82" i="3"/>
  <c r="L90" i="3"/>
  <c r="L98" i="3"/>
  <c r="L129" i="3"/>
  <c r="L137" i="3"/>
  <c r="L17" i="3"/>
  <c r="L25" i="3"/>
  <c r="L43" i="3"/>
  <c r="L49" i="3"/>
  <c r="L69" i="3"/>
  <c r="L132" i="3"/>
  <c r="L142" i="3"/>
  <c r="L8" i="3"/>
  <c r="L24" i="3"/>
  <c r="L32" i="3"/>
  <c r="L55" i="3"/>
  <c r="L68" i="3"/>
  <c r="L122" i="3"/>
  <c r="L139" i="3"/>
  <c r="L15" i="3"/>
  <c r="L28" i="3"/>
  <c r="L81" i="3"/>
  <c r="L94" i="3"/>
  <c r="L128" i="3"/>
  <c r="L143" i="3"/>
  <c r="L151" i="3"/>
  <c r="L29" i="3"/>
  <c r="L7" i="3"/>
  <c r="L20" i="3"/>
  <c r="L59" i="3"/>
  <c r="L73" i="3"/>
  <c r="L86" i="3"/>
  <c r="L200" i="3"/>
  <c r="L205" i="3"/>
  <c r="L75" i="3"/>
  <c r="L87" i="3"/>
  <c r="L96" i="3"/>
  <c r="L130" i="3"/>
  <c r="L145" i="3"/>
  <c r="L201" i="3"/>
  <c r="L12" i="3"/>
  <c r="L78" i="3"/>
  <c r="L91" i="3"/>
  <c r="L95" i="3"/>
  <c r="L138" i="3"/>
  <c r="L144" i="3"/>
  <c r="L148" i="3"/>
  <c r="L156" i="3"/>
  <c r="L39" i="3"/>
  <c r="L134" i="3"/>
  <c r="L21" i="3"/>
  <c r="L72" i="3"/>
  <c r="L97" i="3"/>
  <c r="L146" i="3"/>
  <c r="L154" i="3"/>
  <c r="L149" i="3"/>
  <c r="L34" i="3"/>
  <c r="L67" i="3"/>
  <c r="L150" i="3"/>
  <c r="L197" i="3"/>
  <c r="L13" i="3"/>
  <c r="L76" i="3"/>
  <c r="L26" i="3"/>
  <c r="L88" i="3"/>
  <c r="L135" i="3"/>
  <c r="B211" i="3"/>
  <c r="B212" i="3" s="1"/>
  <c r="L31" i="3"/>
  <c r="L51" i="3"/>
  <c r="L64" i="3"/>
  <c r="L89" i="3"/>
  <c r="L136" i="3"/>
  <c r="L155" i="3"/>
  <c r="L204" i="3"/>
  <c r="L10" i="3"/>
  <c r="L158" i="3"/>
  <c r="L47" i="3"/>
  <c r="L126" i="3"/>
  <c r="L153" i="3"/>
  <c r="L100" i="3"/>
  <c r="L23" i="3"/>
  <c r="L40" i="3"/>
  <c r="L79" i="3"/>
  <c r="L202" i="3"/>
  <c r="L5" i="3"/>
  <c r="L27" i="3"/>
  <c r="L50" i="3"/>
  <c r="L71" i="3"/>
  <c r="L80" i="3"/>
  <c r="L127" i="3"/>
  <c r="L203" i="3"/>
  <c r="L11" i="3"/>
  <c r="L9" i="3"/>
  <c r="L133" i="3"/>
  <c r="L198" i="3"/>
  <c r="L93" i="3"/>
  <c r="L92" i="3"/>
  <c r="L48" i="3"/>
  <c r="L84" i="3"/>
  <c r="L193" i="3"/>
  <c r="L83" i="3"/>
  <c r="L157" i="3"/>
  <c r="L147" i="3"/>
  <c r="L66" i="3"/>
  <c r="L152" i="3"/>
  <c r="L131" i="3"/>
  <c r="L19" i="3"/>
  <c r="L70" i="3"/>
  <c r="L18" i="3"/>
  <c r="L16" i="3"/>
  <c r="L85" i="3"/>
  <c r="L46" i="3"/>
  <c r="L99" i="3"/>
  <c r="L120" i="3"/>
  <c r="L33" i="3"/>
  <c r="L77" i="3"/>
  <c r="L121" i="3"/>
  <c r="L4" i="3"/>
  <c r="L190" i="3"/>
  <c r="L3" i="3"/>
  <c r="L208" i="3"/>
  <c r="L191" i="3"/>
  <c r="M11" i="3"/>
  <c r="M19" i="3"/>
  <c r="M27" i="3"/>
  <c r="M39" i="3"/>
  <c r="M71" i="3"/>
  <c r="M74" i="3"/>
  <c r="M79" i="3"/>
  <c r="M87" i="3"/>
  <c r="M95" i="3"/>
  <c r="M104" i="3"/>
  <c r="M108" i="3"/>
  <c r="M112" i="3"/>
  <c r="M116" i="3"/>
  <c r="M126" i="3"/>
  <c r="M134" i="3"/>
  <c r="M144" i="3"/>
  <c r="M149" i="3"/>
  <c r="M154" i="3"/>
  <c r="M202" i="3"/>
  <c r="M207" i="3"/>
  <c r="M6" i="3"/>
  <c r="M14" i="3"/>
  <c r="M22" i="3"/>
  <c r="M30" i="3"/>
  <c r="M46" i="3"/>
  <c r="M82" i="3"/>
  <c r="M90" i="3"/>
  <c r="M98" i="3"/>
  <c r="M129" i="3"/>
  <c r="M137" i="3"/>
  <c r="M152" i="3"/>
  <c r="M5" i="3"/>
  <c r="M13" i="3"/>
  <c r="M21" i="3"/>
  <c r="M29" i="3"/>
  <c r="M62" i="3"/>
  <c r="M73" i="3"/>
  <c r="M76" i="3"/>
  <c r="M81" i="3"/>
  <c r="M89" i="3"/>
  <c r="M97" i="3"/>
  <c r="M103" i="3"/>
  <c r="M107" i="3"/>
  <c r="M111" i="3"/>
  <c r="M115" i="3"/>
  <c r="M119" i="3"/>
  <c r="M128" i="3"/>
  <c r="M136" i="3"/>
  <c r="M146" i="3"/>
  <c r="M151" i="3"/>
  <c r="M201" i="3"/>
  <c r="M205" i="3"/>
  <c r="M10" i="3"/>
  <c r="M23" i="3"/>
  <c r="M37" i="3"/>
  <c r="M42" i="3"/>
  <c r="M47" i="3"/>
  <c r="M52" i="3"/>
  <c r="M68" i="3"/>
  <c r="M155" i="3"/>
  <c r="M199" i="3"/>
  <c r="M204" i="3"/>
  <c r="M12" i="3"/>
  <c r="M49" i="3"/>
  <c r="M125" i="3"/>
  <c r="M138" i="3"/>
  <c r="M15" i="3"/>
  <c r="M28" i="3"/>
  <c r="M32" i="3"/>
  <c r="M43" i="3"/>
  <c r="M69" i="3"/>
  <c r="M94" i="3"/>
  <c r="M110" i="3"/>
  <c r="M117" i="3"/>
  <c r="M124" i="3"/>
  <c r="M143" i="3"/>
  <c r="M25" i="3"/>
  <c r="M44" i="3"/>
  <c r="M118" i="3"/>
  <c r="M17" i="3"/>
  <c r="M7" i="3"/>
  <c r="M20" i="3"/>
  <c r="M24" i="3"/>
  <c r="M38" i="3"/>
  <c r="M48" i="3"/>
  <c r="M54" i="3"/>
  <c r="M60" i="3"/>
  <c r="M65" i="3"/>
  <c r="M86" i="3"/>
  <c r="M99" i="3"/>
  <c r="M105" i="3"/>
  <c r="M133" i="3"/>
  <c r="M200" i="3"/>
  <c r="M78" i="3"/>
  <c r="M91" i="3"/>
  <c r="M148" i="3"/>
  <c r="M8" i="3"/>
  <c r="M50" i="3"/>
  <c r="M80" i="3"/>
  <c r="M127" i="3"/>
  <c r="M203" i="3"/>
  <c r="M92" i="3"/>
  <c r="M150" i="3"/>
  <c r="M102" i="3"/>
  <c r="M132" i="3"/>
  <c r="M198" i="3"/>
  <c r="M9" i="3"/>
  <c r="M18" i="3"/>
  <c r="M41" i="3"/>
  <c r="M72" i="3"/>
  <c r="M109" i="3"/>
  <c r="M139" i="3"/>
  <c r="M93" i="3"/>
  <c r="M131" i="3"/>
  <c r="M122" i="3"/>
  <c r="M70" i="3"/>
  <c r="M31" i="3"/>
  <c r="M55" i="3"/>
  <c r="M75" i="3"/>
  <c r="M83" i="3"/>
  <c r="M113" i="3"/>
  <c r="M130" i="3"/>
  <c r="M157" i="3"/>
  <c r="M193" i="3"/>
  <c r="M101" i="3"/>
  <c r="M67" i="3"/>
  <c r="M84" i="3"/>
  <c r="M114" i="3"/>
  <c r="M142" i="3"/>
  <c r="M85" i="3"/>
  <c r="M26" i="3"/>
  <c r="M61" i="3"/>
  <c r="M96" i="3"/>
  <c r="M145" i="3"/>
  <c r="M106" i="3"/>
  <c r="M40" i="3"/>
  <c r="M88" i="3"/>
  <c r="M135" i="3"/>
  <c r="M51" i="3"/>
  <c r="M147" i="3"/>
  <c r="M59" i="3"/>
  <c r="M16" i="3"/>
  <c r="M57" i="3"/>
  <c r="M45" i="3"/>
  <c r="M56" i="3"/>
  <c r="M121" i="3"/>
  <c r="M100" i="3"/>
  <c r="M35" i="3"/>
  <c r="M34" i="3"/>
  <c r="M66" i="3"/>
  <c r="M63" i="3"/>
  <c r="M123" i="3"/>
  <c r="M120" i="3"/>
  <c r="M64" i="3"/>
  <c r="M58" i="3"/>
  <c r="M197" i="3"/>
  <c r="M156" i="3"/>
  <c r="M33" i="3"/>
  <c r="M77" i="3"/>
  <c r="M153" i="3"/>
  <c r="M4" i="3"/>
  <c r="M3" i="3"/>
  <c r="M191" i="3"/>
  <c r="M208" i="3"/>
  <c r="L20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142" authorId="0" shapeId="0" xr:uid="{00000000-0006-0000-0200-000001000000}">
      <text>
        <r>
          <rPr>
            <b/>
            <sz val="9"/>
            <color indexed="81"/>
            <rFont val="Tahoma"/>
            <family val="2"/>
          </rPr>
          <t>user:</t>
        </r>
        <r>
          <rPr>
            <sz val="9"/>
            <color indexed="81"/>
            <rFont val="Tahoma"/>
            <family val="2"/>
          </rPr>
          <t xml:space="preserve">
Kofi
</t>
        </r>
      </text>
    </comment>
  </commentList>
</comments>
</file>

<file path=xl/sharedStrings.xml><?xml version="1.0" encoding="utf-8"?>
<sst xmlns="http://schemas.openxmlformats.org/spreadsheetml/2006/main" count="620" uniqueCount="332">
  <si>
    <t>Annex C - project budget</t>
  </si>
  <si>
    <t>Table 1 - project budget by Outcome, output and activity</t>
  </si>
  <si>
    <t>Outcome/ Output number</t>
  </si>
  <si>
    <t>Outcome/ output/ activity formulation:</t>
  </si>
  <si>
    <t xml:space="preserve">Budget - UNWomen </t>
  </si>
  <si>
    <t>Level of expenditure in USD (to provide at time of project progress reporting): UNWomen</t>
  </si>
  <si>
    <t>Commitments/PO in USD - UNWomen</t>
  </si>
  <si>
    <t>Level of expenditure/PO in % to date</t>
  </si>
  <si>
    <t>Budget - UNDP</t>
  </si>
  <si>
    <t>Level of expenditure in USD (to provide at time of project progress reporting): UNDP</t>
  </si>
  <si>
    <t>Commitments/PO in USD - UNDP</t>
  </si>
  <si>
    <t>Percent of budget for each output reserved for direct action on gender equality (if any):</t>
  </si>
  <si>
    <t>Any remarks (e.g. on types of inputs provided or budget justification, for example if high TA or travel costs)</t>
  </si>
  <si>
    <t>Output 1.1:</t>
  </si>
  <si>
    <t>Activity 1.1.1:</t>
  </si>
  <si>
    <t>Conduct a regular quarterly dialogue through the IPCC structure on the prevention of VAWIE/P, peaceful political engagement, tolerance, and inclusive participation of women and vulnerable groups.</t>
  </si>
  <si>
    <t>Activity 1.1.2:</t>
  </si>
  <si>
    <t>Work with political parties including the women’s league for gender responsive parties that enable women to participate more meaningfully following up on collaborations with NDI and their support to political parties. Media engagement on broadcasting the work of gender responsive political parties will be an incentive to other parties</t>
  </si>
  <si>
    <t>Activity 1.1.3:</t>
  </si>
  <si>
    <t>Activity 1.1.4</t>
  </si>
  <si>
    <t>Activtiy 1.1.5</t>
  </si>
  <si>
    <t>Activity 1.1.6</t>
  </si>
  <si>
    <t>Activity 1.1.7</t>
  </si>
  <si>
    <t xml:space="preserve">Output 1.2:	 </t>
  </si>
  <si>
    <t>Activity 1.2.1:</t>
  </si>
  <si>
    <t>Activity 1.2.2:</t>
  </si>
  <si>
    <t>Activity 1.2.3:</t>
  </si>
  <si>
    <t xml:space="preserve">Activity 1.2.4: </t>
  </si>
  <si>
    <t>Strengthen capacity of domestic elections observation groups to monitor and report electoral violence against women. This should include the EWRC with PBO and NCCRM (National Centre for Coordination of Response mechanisms following the development of gender responsive indicators and broader work on EWRC done under the WPS</t>
  </si>
  <si>
    <t>Activity 1.2.5</t>
  </si>
  <si>
    <t>Activity 1.2.6</t>
  </si>
  <si>
    <t>Activity 1.2.7</t>
  </si>
  <si>
    <t>Output 1.3:</t>
  </si>
  <si>
    <t>Activity 1.3.1</t>
  </si>
  <si>
    <t>Activity 1.3.2</t>
  </si>
  <si>
    <t>Capacity strengthening of NEC staff, the security sector, and the judiciary on VAWiE/P to ensure that all electoral processes, including training of temporary staff, includes risk assessment considerations regarding VAWiE/P (setting up continuous trainings for specific groups of stakeholders organized by LIPA in collaboration with NEC &amp; PBO)</t>
  </si>
  <si>
    <t>Activity 1.3.3</t>
  </si>
  <si>
    <t xml:space="preserve">Under the EWRM, support drawing up a national roadmap on electoral violence and VAWiE/P </t>
  </si>
  <si>
    <t>Activity 1.3.4</t>
  </si>
  <si>
    <t>Activity 1.3.5</t>
  </si>
  <si>
    <t>Activity 1.3.6</t>
  </si>
  <si>
    <t>Activity 1.3.7</t>
  </si>
  <si>
    <t>Development of advocacy-mechanism with clear benchmarks for enforcement of temporary special measures for women’s participation in electoral processes</t>
  </si>
  <si>
    <t>Activity 1.3.8</t>
  </si>
  <si>
    <t>Output 1.4.</t>
  </si>
  <si>
    <t xml:space="preserve">Strengthened strategies of national institutions and county structures to promote inclusive participation in electoral, political, and peacebuilding processes </t>
  </si>
  <si>
    <t>activity 1.4.1</t>
  </si>
  <si>
    <t xml:space="preserve">Develop and implement Liberia-specific Gender and Elections Module </t>
  </si>
  <si>
    <t>Activity 1.4.2</t>
  </si>
  <si>
    <r>
      <rPr>
        <sz val="9"/>
        <color theme="1"/>
        <rFont val="Times New Roman"/>
        <family val="1"/>
      </rPr>
      <t>Risk assessment considerations regarding VAWiE/P is developed for all</t>
    </r>
    <r>
      <rPr>
        <b/>
        <sz val="10"/>
        <color theme="1"/>
        <rFont val="Times New Roman"/>
        <family val="1"/>
      </rPr>
      <t xml:space="preserve"> </t>
    </r>
    <r>
      <rPr>
        <sz val="9"/>
        <color theme="1"/>
        <rFont val="Times New Roman"/>
        <family val="1"/>
      </rPr>
      <t xml:space="preserve">institutions engaged in elections </t>
    </r>
  </si>
  <si>
    <t>Activity 1.4.3</t>
  </si>
  <si>
    <t xml:space="preserve">Strengthen research and analytical capacity of the Secretariat in the Legislature to provide information to decision-makers on the impact of the lack of women’s participation on democracy, peace, and stability in Liberia  </t>
  </si>
  <si>
    <t>Activity 1.4.4</t>
  </si>
  <si>
    <t xml:space="preserve">Support Secretariat in developing an induction package for new representatives on women participation in elections, politics, and peacebuilding.  </t>
  </si>
  <si>
    <t>Activity 1.4.5</t>
  </si>
  <si>
    <t xml:space="preserve">5 Liberia Law Enforcement institutions, media, and women organizations / groups to develop joint SOPs on support to women in peacebuilding, elections, and politics </t>
  </si>
  <si>
    <t>Activity 1.4.6</t>
  </si>
  <si>
    <t xml:space="preserve">Conduct a mediation training for women and women organizations involved in EWRM nationally and at the county / rural level </t>
  </si>
  <si>
    <t xml:space="preserve">PERSONNEL, OPERATIONAL, M&amp;E COSTS </t>
  </si>
  <si>
    <t xml:space="preserve">Project personnel costs </t>
  </si>
  <si>
    <t>Project operation costs</t>
  </si>
  <si>
    <t>Project M&amp;E budget</t>
  </si>
  <si>
    <t>Project Audit</t>
  </si>
  <si>
    <t>SUB-TOTAL PROJECT BUDGET:</t>
  </si>
  <si>
    <t>Indirect support costs (7%):</t>
  </si>
  <si>
    <t>TOTAL PROJECT BUDGET:</t>
  </si>
  <si>
    <t>Table 2 - Project budget by UN cost category</t>
  </si>
  <si>
    <t>Note: If this is a budget revision, insert extra columns to show budget changes.</t>
  </si>
  <si>
    <t>CATEGORIES</t>
  </si>
  <si>
    <t>UNWOMEN</t>
  </si>
  <si>
    <t>UNDP</t>
  </si>
  <si>
    <t>Total tranche 1 (70%)</t>
  </si>
  <si>
    <t>Total tranche 2 (30%)</t>
  </si>
  <si>
    <t>PROJECT TOTAL</t>
  </si>
  <si>
    <t>Overall Expenses</t>
  </si>
  <si>
    <t>Overall PO</t>
  </si>
  <si>
    <t>Tranche 1 (70%)</t>
  </si>
  <si>
    <t>Tranche 2 (30%)</t>
  </si>
  <si>
    <t>Total</t>
  </si>
  <si>
    <t>Expenses</t>
  </si>
  <si>
    <t>PO</t>
  </si>
  <si>
    <t>Del (%)</t>
  </si>
  <si>
    <t>Description of UNDG budget categories</t>
  </si>
  <si>
    <t>1. Staff and other personnel</t>
  </si>
  <si>
    <r>
      <rPr>
        <b/>
        <sz val="9"/>
        <color indexed="8"/>
        <rFont val="Calibri"/>
        <family val="2"/>
      </rPr>
      <t>Staff and other personnel costs</t>
    </r>
    <r>
      <rPr>
        <sz val="9"/>
        <color indexed="8"/>
        <rFont val="Calibri"/>
        <family val="2"/>
      </rPr>
      <t>: Includes all related staff and temporayr staff costs including base salary, post adjustment and all staff entitlements</t>
    </r>
  </si>
  <si>
    <t>2. Supplies, Commodities, Materials</t>
  </si>
  <si>
    <r>
      <rPr>
        <b/>
        <sz val="9"/>
        <rFont val="Calibri"/>
        <family val="2"/>
      </rPr>
      <t>Supplies, Commodities, Materials</t>
    </r>
    <r>
      <rPr>
        <sz val="9"/>
        <rFont val="Calibri"/>
        <family val="2"/>
      </rPr>
      <t xml:space="preserve">: Includes all direct and indirect costs (e.g. freight, transport, delivery, distribution) associated with procurement of supplies, commodities and materials. Office supplies should be reported as "General Operating". </t>
    </r>
  </si>
  <si>
    <t>3. Equipment, Vehicles, and Furniture (including Depreciation)</t>
  </si>
  <si>
    <r>
      <rPr>
        <b/>
        <sz val="9"/>
        <color indexed="8"/>
        <rFont val="Calibri"/>
        <family val="2"/>
      </rPr>
      <t>Equipment, Vehicles and Furniture including Depreciation</t>
    </r>
    <r>
      <rPr>
        <sz val="9"/>
        <color indexed="8"/>
        <rFont val="Calibri"/>
        <family val="2"/>
      </rPr>
      <t xml:space="preserve">: For those reporting assets on UNSAS or modified UNSAS basis (i.e. expense up front) this would relate to all costs to put asset into service. For those who do donor reports accdording to IPSAS this would equal depreciation for period. </t>
    </r>
  </si>
  <si>
    <t>4. Contractual services</t>
  </si>
  <si>
    <r>
      <rPr>
        <b/>
        <sz val="9"/>
        <color indexed="8"/>
        <rFont val="Calibri"/>
        <family val="2"/>
      </rPr>
      <t>Contractual Services</t>
    </r>
    <r>
      <rPr>
        <sz val="9"/>
        <color indexed="8"/>
        <rFont val="Calibri"/>
        <family val="2"/>
      </rPr>
      <t>: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</si>
  <si>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t>5.Travel</t>
  </si>
  <si>
    <r>
      <rPr>
        <b/>
        <sz val="9"/>
        <color indexed="8"/>
        <rFont val="Calibri"/>
        <family val="2"/>
      </rPr>
      <t>Travel</t>
    </r>
    <r>
      <rPr>
        <sz val="9"/>
        <color indexed="8"/>
        <rFont val="Calibri"/>
        <family val="2"/>
      </rPr>
      <t>: Includes staff and non-staff travel paid for by the organization directly related to a project</t>
    </r>
  </si>
  <si>
    <t>6. Transfers and Grants to Counterparts</t>
  </si>
  <si>
    <r>
      <rPr>
        <b/>
        <sz val="9"/>
        <color indexed="8"/>
        <rFont val="Calibri"/>
        <family val="2"/>
      </rPr>
      <t>Transfers and Grants to Counterparts:</t>
    </r>
    <r>
      <rPr>
        <sz val="9"/>
        <color indexed="8"/>
        <rFont val="Calibri"/>
        <family val="2"/>
      </rPr>
      <t xml:space="preserve"> Includes transfers to national counterparts and any other transfers given to an Ips (e.g. NGO) which is not similar to a commercial service contract as per above. In IPSA terms this would be more similar to non-exchange transactions.</t>
    </r>
  </si>
  <si>
    <t>7. General Operating and other Direct Costs</t>
  </si>
  <si>
    <r>
      <rPr>
        <b/>
        <sz val="9"/>
        <color indexed="8"/>
        <rFont val="Calibri"/>
        <family val="2"/>
      </rPr>
      <t>General Operating and Other Direct Cost</t>
    </r>
    <r>
      <rPr>
        <sz val="9"/>
        <color indexed="8"/>
        <rFont val="Calibri"/>
        <family val="2"/>
      </rPr>
      <t xml:space="preserve">s: Includes all general operating costs for running an office. Examples include telecommunication, rent, finance charges and other costs which cannot be mapped to other expense categories. </t>
    </r>
  </si>
  <si>
    <t>Sub-Total Project Costs</t>
  </si>
  <si>
    <t xml:space="preserve">Indirect Support Costs: (No definition provided) </t>
  </si>
  <si>
    <t xml:space="preserve">8. Indirect Support Costs (must be 7%) </t>
  </si>
  <si>
    <t>TOTAL</t>
  </si>
  <si>
    <t>Outputs/Activities</t>
  </si>
  <si>
    <t xml:space="preserve">UNDG Budget category </t>
  </si>
  <si>
    <t>UN Women</t>
  </si>
  <si>
    <t>Total per output and Outcome</t>
  </si>
  <si>
    <t>WFP</t>
  </si>
  <si>
    <t xml:space="preserve">	Outcome 1. Land disputes are prevented by government actors in more effective and gender responsive manner </t>
  </si>
  <si>
    <t xml:space="preserve">Output 1.1. Communities and customary governance authorities, women, and youth in targeted counties are aware of the LRA and women’s and youth’s rights to land and participation in land administration and management structures and have further information to access land disputes resolution mechanisms </t>
  </si>
  <si>
    <t xml:space="preserve">1.        Conduct a perception survey about communities’ perception about women’s right to land and participation in Semi-formal and informal dispute resolution mechanisms, and customary land management structures </t>
  </si>
  <si>
    <t>Contractual Service-International consultant</t>
  </si>
  <si>
    <t>Travel (tickets)</t>
  </si>
  <si>
    <t>Travel DSA</t>
  </si>
  <si>
    <t>2 workshops (Catering, venue)</t>
  </si>
  <si>
    <t>DSA data collection</t>
  </si>
  <si>
    <t>Travel</t>
  </si>
  <si>
    <t> 2.	Design a communication campaign based on the findings of the survey  and roll-out a  communications strategy in piloted counties (community radios, town committees,  local media, etc.) to change perceptions and encourage women and youth participation in semi-formal dispute resolution mechanisms</t>
  </si>
  <si>
    <t>Transfer Grants for implementation of communication campaign</t>
  </si>
  <si>
    <t xml:space="preserve">3.        Simplify, print and disseminate the LRA and LGA </t>
  </si>
  <si>
    <t>Contractual Service-National Consultant-simplification</t>
  </si>
  <si>
    <t>Contractual services-Graphic Designer</t>
  </si>
  <si>
    <t>Contactual Services-Printing company</t>
  </si>
  <si>
    <t xml:space="preserve">5.        Develop knowledge products about available disputes mechanism for communities clearly stating advantages and disadvantages of each </t>
  </si>
  <si>
    <t>National Consultant</t>
  </si>
  <si>
    <t>Contractual Services Editor</t>
  </si>
  <si>
    <t xml:space="preserve">6.        Roll out trainings on gender, masculinities and women’s rights in targeted counties </t>
  </si>
  <si>
    <t>Contractual Services TOT , venue, catering</t>
  </si>
  <si>
    <t xml:space="preserve">Transfer Grants roll out the training at county level </t>
  </si>
  <si>
    <t xml:space="preserve">7.        Conduct an end of intervention perception survey </t>
  </si>
  <si>
    <t>Transfer Grants for Data collection</t>
  </si>
  <si>
    <t xml:space="preserve">Output 1.2. County land offices and county land boards in pilot Counties have the capacity, procedures and systems in place to formalize customary land </t>
  </si>
  <si>
    <t xml:space="preserve">1.       Roo out the need assessment </t>
  </si>
  <si>
    <t xml:space="preserve">Workshop </t>
  </si>
  <si>
    <t xml:space="preserve">national consultant </t>
  </si>
  <si>
    <t>Transportation</t>
  </si>
  <si>
    <t>OPERATIONAL COSTS</t>
  </si>
  <si>
    <t xml:space="preserve">DSA for workshop </t>
  </si>
  <si>
    <t xml:space="preserve">transport fee  </t>
  </si>
  <si>
    <t xml:space="preserve">3.        Rehabilitee and provide equipment  and logistical support ensure the functioning of the CLO and Board Committees (UNDP) </t>
  </si>
  <si>
    <t>Equipment-Motorbikes</t>
  </si>
  <si>
    <t>Equipment</t>
  </si>
  <si>
    <t>4.        Capacity building of LLA staff in different areas as per capacity needs assessment including  on Gender and Human Rights, Gender responsive land dispute resolution (UN Women/ UNDP)</t>
  </si>
  <si>
    <t>Workshops- contractual services</t>
  </si>
  <si>
    <t xml:space="preserve">DSA Consultant </t>
  </si>
  <si>
    <t>Coordinaton meeting</t>
  </si>
  <si>
    <t>5.        Support communities to carryout self-identification, establish governance structures, conduct confirmatory surveys, develop land use plans, request registration and obtain land deeds and other necessary documents (UNDP)</t>
  </si>
  <si>
    <t>Grants to partners</t>
  </si>
  <si>
    <t>6.        Provide technical support to LLA and PBO to conduct research and produce boundary maps in project counties using GPS (UNDP)</t>
  </si>
  <si>
    <t>Consultancy-International/Local</t>
  </si>
  <si>
    <t xml:space="preserve">Travel </t>
  </si>
  <si>
    <t>workshops 1 per district</t>
  </si>
  <si>
    <t xml:space="preserve">National Consultant </t>
  </si>
  <si>
    <t xml:space="preserve">7.        Support LLA and PBO to organize dialogues to resolve all identified boundary disputes/conflicts (UNDP)- 9 meetings per year </t>
  </si>
  <si>
    <t xml:space="preserve">Consultancy Local </t>
  </si>
  <si>
    <t>DSA</t>
  </si>
  <si>
    <t xml:space="preserve">Vehicle rental </t>
  </si>
  <si>
    <t>Catering services - workshops conferences</t>
  </si>
  <si>
    <t xml:space="preserve">8.        Support the erection of boundary bill-boards where boundary conflicts are resolved (UNDP)- 20 billboard </t>
  </si>
  <si>
    <t xml:space="preserve">DSA- travel </t>
  </si>
  <si>
    <t xml:space="preserve">transportation- travel </t>
  </si>
  <si>
    <t xml:space="preserve">Graphic designer -contractual services </t>
  </si>
  <si>
    <t xml:space="preserve">contruction (erection of mark of identification) </t>
  </si>
  <si>
    <t>Printing -contractual services</t>
  </si>
  <si>
    <t>9.        Support LLA/PBO to Print, notarized all Resolutions and distribute to key stakeholders involved in boundary land disputes (UNDP)</t>
  </si>
  <si>
    <t>Contractual Services- legal support</t>
  </si>
  <si>
    <t xml:space="preserve">Printing </t>
  </si>
  <si>
    <t xml:space="preserve">Output 1.3.  CLMCs are established in targeted counties and have the capacity to undertake the formalization and recognition of their land rights </t>
  </si>
  <si>
    <t>1.        Develop gender responsive guidelines and training materials on formalization of customary land  and Conduct a ToT for LLA staff at county level  (UN Women)</t>
  </si>
  <si>
    <t>Contractual Services TOT</t>
  </si>
  <si>
    <t>DSA -roll out in 3 counties</t>
  </si>
  <si>
    <t>2.        Training of communities in targeted counties on the various steps to familiarize communities with various steps leading to formalization (UNDP)</t>
  </si>
  <si>
    <t xml:space="preserve">Transfer Grants </t>
  </si>
  <si>
    <t>3.        Support the drafting and adoption of the various by-laws to operationalize the CLMCs  (UNDP)</t>
  </si>
  <si>
    <t>travel</t>
  </si>
  <si>
    <t>Consultancy-Local</t>
  </si>
  <si>
    <t>5.        Support the leadership election of the CLMCs (/UNDP)</t>
  </si>
  <si>
    <t>Output 1.4. The PBO/LLA/NBC have the capacity to systematically integrate land disputes related data into the existing early warning and response mechanism (UNDP/UN Women)</t>
  </si>
  <si>
    <r>
      <t>1.</t>
    </r>
    <r>
      <rPr>
        <sz val="10"/>
        <color indexed="8"/>
        <rFont val="Times New Roman"/>
        <family val="1"/>
      </rPr>
      <t>        Conduct a gender and HR  assessment of the early warning mechanisms at county and district levels  (UN Women)</t>
    </r>
  </si>
  <si>
    <t>Travel DSA Communities</t>
  </si>
  <si>
    <t>Contractual Services-Worshops 3</t>
  </si>
  <si>
    <r>
      <t>2.</t>
    </r>
    <r>
      <rPr>
        <sz val="10"/>
        <color indexed="8"/>
        <rFont val="Times New Roman"/>
        <family val="1"/>
      </rPr>
      <t>        Develop indicators, procedures and guidelines, review and modify data collection tools for land conflict  (UN Women)</t>
    </r>
  </si>
  <si>
    <t>Contractual Service-International consultant- same consultant as in activity 1.4.1</t>
  </si>
  <si>
    <t>Contractual Services- workshop</t>
  </si>
  <si>
    <r>
      <t>3.</t>
    </r>
    <r>
      <rPr>
        <sz val="10"/>
        <color indexed="8"/>
        <rFont val="Times New Roman"/>
        <family val="1"/>
      </rPr>
      <t>        Strengthen the capacity of women pace huts in targeted counties and link them up with the LERN platform (UN Women)</t>
    </r>
  </si>
  <si>
    <t>Transfer Grants  PBO</t>
  </si>
  <si>
    <r>
      <t>4.</t>
    </r>
    <r>
      <rPr>
        <sz val="10"/>
        <color indexed="8"/>
        <rFont val="Times New Roman"/>
        <family val="1"/>
      </rPr>
      <t xml:space="preserve">         Strengthen capacity of 272 conflict early warning monitors through training on land related issues, provision of communication cards to send incident reports to LERN platform, minimum amount for transportation to collect data.  </t>
    </r>
  </si>
  <si>
    <t>TOT - Contractual Services</t>
  </si>
  <si>
    <r>
      <t>5.</t>
    </r>
    <r>
      <rPr>
        <sz val="10"/>
        <color indexed="8"/>
        <rFont val="Times New Roman"/>
        <family val="1"/>
      </rPr>
      <t>         Technical support to  produce periodic policy briefs based on incident reports on land related disputes, resolution and management</t>
    </r>
  </si>
  <si>
    <r>
      <t>6.</t>
    </r>
    <r>
      <rPr>
        <sz val="10"/>
        <color indexed="8"/>
        <rFont val="Times New Roman"/>
        <family val="1"/>
      </rPr>
      <t xml:space="preserve">        Strengthen capacity of the PBO staff on LERN Platform for increased monitoring, data collection, analysis and transmission (situation room) -computers </t>
    </r>
  </si>
  <si>
    <t>Equipment- computer</t>
  </si>
  <si>
    <t>Output 1.5.  Small scale  farmers have the capacity to address and support adaptation activities and mitigate risk of conflict (WFP)</t>
  </si>
  <si>
    <r>
      <t>1.</t>
    </r>
    <r>
      <rPr>
        <sz val="7"/>
        <color indexed="8"/>
        <rFont val="Times New Roman"/>
        <family val="1"/>
      </rPr>
      <t xml:space="preserve">        </t>
    </r>
    <r>
      <rPr>
        <sz val="9"/>
        <color indexed="8"/>
        <rFont val="Calibri"/>
        <family val="2"/>
      </rPr>
      <t xml:space="preserve">Conduct baseline study to identify current problems and potentials of vulnerable farmers in concessions affected communities, considering the key gender issues. (under UN Women budget) </t>
    </r>
  </si>
  <si>
    <t>Enumerators honorarium- Travel</t>
  </si>
  <si>
    <t>Vehicle rental for baseline data collection</t>
  </si>
  <si>
    <t>Data collection training</t>
  </si>
  <si>
    <t>Stationery (assortred stationeries)</t>
  </si>
  <si>
    <r>
      <t>2.</t>
    </r>
    <r>
      <rPr>
        <sz val="7"/>
        <color indexed="8"/>
        <rFont val="Times New Roman"/>
        <family val="1"/>
      </rPr>
      <t xml:space="preserve">        </t>
    </r>
    <r>
      <rPr>
        <sz val="9"/>
        <color indexed="8"/>
        <rFont val="Calibri"/>
        <family val="2"/>
      </rPr>
      <t xml:space="preserve">Hold consultative meetings with stakeholders/communities and concessionaries to verify the scope of assistance received by smallholder farmers, ensuring gender sensitivity- community engagement </t>
    </r>
  </si>
  <si>
    <t>Trasportation fee- travel</t>
  </si>
  <si>
    <t>Contactual services-Catering</t>
  </si>
  <si>
    <r>
      <t>3.</t>
    </r>
    <r>
      <rPr>
        <sz val="7"/>
        <color indexed="8"/>
        <rFont val="Times New Roman"/>
        <family val="1"/>
      </rPr>
      <t xml:space="preserve">        </t>
    </r>
    <r>
      <rPr>
        <sz val="9"/>
        <color indexed="8"/>
        <rFont val="Calibri"/>
        <family val="2"/>
      </rPr>
      <t>Support smallholder farmers’ associations/cooperatives (focusing on women and youth cooperatives) to intensify productivity and value chain and reduce conflict probabilities.</t>
    </r>
  </si>
  <si>
    <t xml:space="preserve">Development/rehabilitation of lowland for rice and vegetable production -Grants to counterpart </t>
  </si>
  <si>
    <t xml:space="preserve">Assorted vegetable seeds -supplies and commodities- 300 households - Grants to counterpart </t>
  </si>
  <si>
    <t xml:space="preserve">Assorted fertilizers and chemicals -supplies and commodities  - Grants to counterpart </t>
  </si>
  <si>
    <t xml:space="preserve">Assorted farming tools --supplies and commodities  - Grants to counterpart </t>
  </si>
  <si>
    <t>Training of Women and youth groups in basic post harvest technologies - Contractual Services</t>
  </si>
  <si>
    <r>
      <t>4.</t>
    </r>
    <r>
      <rPr>
        <sz val="7"/>
        <color indexed="8"/>
        <rFont val="Times New Roman"/>
        <family val="1"/>
      </rPr>
      <t xml:space="preserve">        </t>
    </r>
    <r>
      <rPr>
        <sz val="9"/>
        <color indexed="8"/>
        <rFont val="Calibri"/>
        <family val="2"/>
      </rPr>
      <t>Strengthen provision of, and linkages to, value addition, marketing and market information, using ICT and sustainable and environmentally-sound tools and technologies.</t>
    </r>
  </si>
  <si>
    <t>Market information using ICT technologies - Contractual Services</t>
  </si>
  <si>
    <t xml:space="preserve">Rice mills/haulers - Grants to counterpart </t>
  </si>
  <si>
    <t xml:space="preserve">Rice threshers - Grants to counterpart </t>
  </si>
  <si>
    <t xml:space="preserve">Rice winnowers - Grants to counterpart </t>
  </si>
  <si>
    <t xml:space="preserve">Rice de-stoners - Grants to counterpart </t>
  </si>
  <si>
    <t xml:space="preserve">Rice seed sorters - Grants to counterpart </t>
  </si>
  <si>
    <t xml:space="preserve">Integrated cassava processors - Grants to counterpart </t>
  </si>
  <si>
    <t xml:space="preserve">75MT storage facility construction - Grants to counterpart </t>
  </si>
  <si>
    <t xml:space="preserve">Outcome 2. Existing semi-formal and informal land dispute resolution mechanisms  are strengthened, more sustainable and are able to reduce conflict in a more effective and gender responsive manner </t>
  </si>
  <si>
    <t xml:space="preserve">Output 2.1. Existing Semi-formal land dispute resolution bodies (CPC,CLDMC, peace huts, multi-stakeholders’ platform) have the capacity to resolve disputes in a gender and youth responsive manner and are more sustainable </t>
  </si>
  <si>
    <t>1.        Conduct  a comprehensive mapping and assessment of ADR mechanism and the gender sensitives of semi-formal land  and informal dispute resolutions bodies in targeted counties including MSP, Peace Committees, peace huts, palava huts and  Show case how land related disputes are handled.  (UNDP/UN Women)</t>
  </si>
  <si>
    <t>International Consultant</t>
  </si>
  <si>
    <t xml:space="preserve">Graphic designer </t>
  </si>
  <si>
    <t>2.        Development of gender and conflict sensitive SOPs, guidelines, regulation for semi-formal dispute resolution bodies (UN Women)</t>
  </si>
  <si>
    <t>Consultancy-international</t>
  </si>
  <si>
    <t>3.        Strengthen the support of semi-formal land disputes resolutions on monitoring parties adherence to the terms of signed agreement (UNDP)</t>
  </si>
  <si>
    <t xml:space="preserve">Grants to partners </t>
  </si>
  <si>
    <t>4.        Develop a toolkit on gender sensitive land dispute resolution mechanisms and roll out a TOT (such as litigation, arbitration, conciliation and mediation) (UN Women)</t>
  </si>
  <si>
    <t>Transfer of Grants</t>
  </si>
  <si>
    <t>5.        Roll out trainings on gender, masculinities, and land rights gender responsive conflict resolution and peacebuilding, LRA, for staff from LLA, NBC and members of the CLDMC, County land Offices, Peace huts, MSP, palava huts (UN Women)</t>
  </si>
  <si>
    <t xml:space="preserve">6.        Conduct a gender audit at the NBC and develop a gender policy (UN Women/ UNDP) and gender responsive procurement strategy and roll out the strategy </t>
  </si>
  <si>
    <t>Contractual Service-International consultant-gender responsive procurement</t>
  </si>
  <si>
    <t>Contractual service-validation workshop</t>
  </si>
  <si>
    <t xml:space="preserve"> Provide technical support to the inter-ministerial concession committee, NBC to engender concession contracting process and agreement negotiations and implementation (UN Women)</t>
  </si>
  <si>
    <t>Contractual Services local- gender advisor</t>
  </si>
  <si>
    <t>National and International Consultants</t>
  </si>
  <si>
    <t>8.        Strengthen the capacity of PBO staff, NBC on gender. (UN Women)</t>
  </si>
  <si>
    <t xml:space="preserve">Equipment-vehicle </t>
  </si>
  <si>
    <t>contractual service-same as activity 6</t>
  </si>
  <si>
    <t>9.      implement sustainability plans for women peace huts , MSP in targeted counties to increase income generation (UN Women)</t>
  </si>
  <si>
    <t>National consultant- Bussiness plans</t>
  </si>
  <si>
    <t>Workshops 4- Contractual services</t>
  </si>
  <si>
    <t xml:space="preserve">Output 2.2: Women and youth in targeted counties have the capacity and skills to participate in formal and informal land disputes </t>
  </si>
  <si>
    <t>1.        Conduct an assessment of the set of skills needed to participate in informal and semi informal land disputes (UN Women)</t>
  </si>
  <si>
    <t>Consultancy-International same as in ouput 1.1.</t>
  </si>
  <si>
    <t>2.        Roll out Awareness activities with women and youth on their rights to participate in these structures and strengthen their set of skills (UNDP/ UN Women)</t>
  </si>
  <si>
    <r>
      <t xml:space="preserve">3.      </t>
    </r>
    <r>
      <rPr>
        <sz val="10"/>
        <color indexed="8"/>
        <rFont val="Times New Roman"/>
        <family val="1"/>
      </rPr>
      <t>Raise awareness within local and traditional leaders for women and  youth participation in informal and semi- informal land disputes resolution structures (UNDP/ UN Women)</t>
    </r>
  </si>
  <si>
    <r>
      <t>Output 2.3.</t>
    </r>
    <r>
      <rPr>
        <sz val="10"/>
        <color indexed="8"/>
        <rFont val="Times New Roman"/>
        <family val="1"/>
      </rPr>
      <t xml:space="preserve"> </t>
    </r>
    <r>
      <rPr>
        <b/>
        <sz val="10"/>
        <color indexed="8"/>
        <rFont val="Times New Roman"/>
        <family val="1"/>
      </rPr>
      <t>Coordination between existing semi-formal and formal land disputes mechanisms is strengthened. (UNDP)</t>
    </r>
  </si>
  <si>
    <t xml:space="preserve">1.        Line Ministries and Government institutions/ CSOs involve in the implementation of the LRA and LGA regularly meet, share information and put systems in place to  coordinate the implementation at national and sub county level (UNDP) </t>
  </si>
  <si>
    <t>meetining (refreshment)</t>
  </si>
  <si>
    <t xml:space="preserve">Transportation fee </t>
  </si>
  <si>
    <t>2.        Technical support to clarify roles and responsibilities of various institutions, and dispute resolution mechanisms (UNDP)</t>
  </si>
  <si>
    <t xml:space="preserve">Output 2.4. Environmental hazards (deforestation, land degradation, over-exploitation of soil and use of chemicals, water pollution) in targeted counties are effectively managed by EPA in coordination with LLA/NBC </t>
  </si>
  <si>
    <r>
      <t>1.</t>
    </r>
    <r>
      <rPr>
        <sz val="7"/>
        <rFont val="Times New Roman"/>
        <family val="1"/>
      </rPr>
      <t xml:space="preserve">        </t>
    </r>
    <r>
      <rPr>
        <sz val="9"/>
        <rFont val="Calibri"/>
        <family val="2"/>
      </rPr>
      <t>Procure of onsite water testing kits and provide onsite training, regular monitoring of water sources for domestic use.</t>
    </r>
  </si>
  <si>
    <t xml:space="preserve">On-site water testing kits - Grants to counterpart </t>
  </si>
  <si>
    <t>Training on the use of water quality testing kits - Contractual Services</t>
  </si>
  <si>
    <t>Travel (activity monitoring and supervision) - Travel</t>
  </si>
  <si>
    <r>
      <t>2.</t>
    </r>
    <r>
      <rPr>
        <sz val="7"/>
        <rFont val="Times New Roman"/>
        <family val="1"/>
      </rPr>
      <t xml:space="preserve">        </t>
    </r>
    <r>
      <rPr>
        <sz val="9"/>
        <rFont val="Calibri"/>
        <family val="2"/>
      </rPr>
      <t>Rejuvenation of traditional water bodies / water source cleaning and provision of alternative water sources</t>
    </r>
  </si>
  <si>
    <t xml:space="preserve"> Rehabilitate/provide 12 water point (2 in each district) - Contractual Services</t>
  </si>
  <si>
    <t>12 sets of water point cleaning tools/materials - Grant to Counterpart</t>
  </si>
  <si>
    <t>Incentive for community volunteers for sensitization on peace building issues - Grant to counterparts</t>
  </si>
  <si>
    <r>
      <t>3.</t>
    </r>
    <r>
      <rPr>
        <sz val="7"/>
        <rFont val="Times New Roman"/>
        <family val="1"/>
      </rPr>
      <t xml:space="preserve">        </t>
    </r>
    <r>
      <rPr>
        <sz val="9"/>
        <rFont val="Calibri"/>
        <family val="2"/>
      </rPr>
      <t>Flood control and drainage work through food for asset</t>
    </r>
  </si>
  <si>
    <t>Food or cash incentive for asset creation - Grant to counterparts</t>
  </si>
  <si>
    <r>
      <t>4.</t>
    </r>
    <r>
      <rPr>
        <sz val="7"/>
        <rFont val="Times New Roman"/>
        <family val="1"/>
      </rPr>
      <t xml:space="preserve">        </t>
    </r>
    <r>
      <rPr>
        <sz val="9"/>
        <rFont val="Calibri"/>
        <family val="2"/>
      </rPr>
      <t>Support land closing for alternative use (poultry, garden etc.) by providing perimeter restriction and Training on improving land quality for improved agricultural production.</t>
    </r>
  </si>
  <si>
    <t>Land closing and perimeter restriction - Contractual services</t>
  </si>
  <si>
    <t>Training of community members - Contractual Services</t>
  </si>
  <si>
    <r>
      <t>5.</t>
    </r>
    <r>
      <rPr>
        <sz val="7"/>
        <rFont val="Times New Roman"/>
        <family val="1"/>
      </rPr>
      <t xml:space="preserve">        </t>
    </r>
    <r>
      <rPr>
        <sz val="9"/>
        <rFont val="Calibri"/>
        <family val="2"/>
      </rPr>
      <t>Provide technical and financial support to conduct socio-economic-technical and environment assessment of the innovative charcoal production technology</t>
    </r>
  </si>
  <si>
    <t>International Consultancy - Staff and other cost</t>
  </si>
  <si>
    <r>
      <t>6.</t>
    </r>
    <r>
      <rPr>
        <sz val="7"/>
        <color indexed="8"/>
        <rFont val="Times New Roman"/>
        <family val="1"/>
      </rPr>
      <t xml:space="preserve">        </t>
    </r>
    <r>
      <rPr>
        <sz val="9"/>
        <color indexed="8"/>
        <rFont val="Calibri"/>
        <family val="2"/>
      </rPr>
      <t>Technical support to set up of Yoshimura charcoal kiln to produce wood vinegar and sustainable charcoal production facility with storage and work area shed</t>
    </r>
  </si>
  <si>
    <t>International Technical consultant - Contractual Services</t>
  </si>
  <si>
    <t>Local Technical Assistant - Contractual Services</t>
  </si>
  <si>
    <t xml:space="preserve">Yoshimura kiln </t>
  </si>
  <si>
    <t>Themometer drums, jar, etc</t>
  </si>
  <si>
    <t>Field work for installing each Yoshimura kiln including local hired - Contractual Services</t>
  </si>
  <si>
    <t>Acommodation and DSA (Technical consultant) - Contractual Services</t>
  </si>
  <si>
    <t>Technical Assistant cost</t>
  </si>
  <si>
    <t>Air fare and local transportation  - Contractual services</t>
  </si>
  <si>
    <t>Visa processing for technical consultant - Contractual Services</t>
  </si>
  <si>
    <t>Contingency (5%) - Contractual Services</t>
  </si>
  <si>
    <r>
      <t>7.</t>
    </r>
    <r>
      <rPr>
        <sz val="7"/>
        <color indexed="8"/>
        <rFont val="Times New Roman"/>
        <family val="1"/>
      </rPr>
      <t xml:space="preserve">        </t>
    </r>
    <r>
      <rPr>
        <sz val="9"/>
        <color indexed="8"/>
        <rFont val="Calibri"/>
        <family val="2"/>
      </rPr>
      <t>Introduce vinegar (condensed liquid smoke) best known as pest repellent treatment of vegetables, fruits and cash crops to boost high agricultural yield.</t>
    </r>
  </si>
  <si>
    <t xml:space="preserve">Training on use of condensed liquid smoke as pest repellent </t>
  </si>
  <si>
    <r>
      <t>8.</t>
    </r>
    <r>
      <rPr>
        <sz val="7"/>
        <color indexed="8"/>
        <rFont val="Times New Roman"/>
        <family val="1"/>
      </rPr>
      <t xml:space="preserve">        </t>
    </r>
    <r>
      <rPr>
        <sz val="9"/>
        <color indexed="8"/>
        <rFont val="Calibri"/>
        <family val="2"/>
      </rPr>
      <t>Support a social and media marketing campaign for the products derived from this innovative charcoal production</t>
    </r>
  </si>
  <si>
    <t xml:space="preserve">Community awareness </t>
  </si>
  <si>
    <r>
      <t>9.</t>
    </r>
    <r>
      <rPr>
        <sz val="7"/>
        <color indexed="8"/>
        <rFont val="Times New Roman"/>
        <family val="1"/>
      </rPr>
      <t xml:space="preserve">        </t>
    </r>
    <r>
      <rPr>
        <sz val="9"/>
        <color indexed="8"/>
        <rFont val="Calibri"/>
        <family val="2"/>
      </rPr>
      <t>Provision of technical Solutions and Pilot a  Support Program to Install Fuel-efficient Cookstove involving youth and women</t>
    </r>
  </si>
  <si>
    <t>Local Technical consultant - Contractual Services</t>
  </si>
  <si>
    <t>Institutional stove including labor, molds &amp; materials - Grants for counterparts</t>
  </si>
  <si>
    <t>Accommodation &amp; DSA (Technical Consultant) - Contractual Services</t>
  </si>
  <si>
    <t>Accommodation &amp; DSA (Technical Assistant) - Contractual Services</t>
  </si>
  <si>
    <t>Air fare and local transportTransport  - Contractual Services</t>
  </si>
  <si>
    <t>Visa processing for technical consultant  - Contractual Services</t>
  </si>
  <si>
    <r>
      <t>10.</t>
    </r>
    <r>
      <rPr>
        <sz val="7"/>
        <color indexed="8"/>
        <rFont val="Times New Roman"/>
        <family val="1"/>
      </rPr>
      <t xml:space="preserve">     </t>
    </r>
    <r>
      <rPr>
        <sz val="9"/>
        <color indexed="8"/>
        <rFont val="Calibri"/>
        <family val="2"/>
      </rPr>
      <t>Support the identification of youth and women (brick mason) to produce improved stoves as income-generating activities, train them as future contractor</t>
    </r>
  </si>
  <si>
    <t>Training of youth and women to produce improved cookstoves</t>
  </si>
  <si>
    <t>Total per year</t>
  </si>
  <si>
    <t xml:space="preserve">Total Programming </t>
  </si>
  <si>
    <t xml:space="preserve">Salaries </t>
  </si>
  <si>
    <t xml:space="preserve"> International Staff-</t>
  </si>
  <si>
    <t>Staff</t>
  </si>
  <si>
    <t>National Staff</t>
  </si>
  <si>
    <t>Service Contract</t>
  </si>
  <si>
    <t xml:space="preserve">Project Assistant </t>
  </si>
  <si>
    <t xml:space="preserve">Service Contract </t>
  </si>
  <si>
    <t>FTA</t>
  </si>
  <si>
    <t>Monitoring</t>
  </si>
  <si>
    <t>Baseline study</t>
  </si>
  <si>
    <t>Travel counties</t>
  </si>
  <si>
    <t>Evaluation</t>
  </si>
  <si>
    <t xml:space="preserve">Endline </t>
  </si>
  <si>
    <t xml:space="preserve">Operational Costs </t>
  </si>
  <si>
    <t>Total per Year</t>
  </si>
  <si>
    <t>Total Per agency</t>
  </si>
  <si>
    <t>Categories UN Women</t>
  </si>
  <si>
    <t>Categories UNDP</t>
  </si>
  <si>
    <t>staff</t>
  </si>
  <si>
    <t>grants</t>
  </si>
  <si>
    <t xml:space="preserve">Operating costs </t>
  </si>
  <si>
    <t>OUTCOME 1: Open and safe spaces for inclusive participation of women in elections, politics, public life, and peacebuilding mechanisms are enhanced</t>
  </si>
  <si>
    <t>Attitudes and behavioral changes towards greater women’s participation promoted through safe environments, group discussions, political party, and community engagements</t>
  </si>
  <si>
    <t>Leadership engagement for increased tolerance to political pluralism, women’s participation, accountability, and peace in communities. Work with community leaders and Ministry of Internal Affairs (MIA) on the constitutional leadership mandate of traditional and community leaders to safeguard/protect the rights and lives of all citizens, including vulnerable groups, especially women and girls without partisan biases</t>
  </si>
  <si>
    <t xml:space="preserve">Media engagement with CSOs for gender responsive reportage in dissemination of key messages on the human rights of women and profiling the work of women in Leadership at all levels. </t>
  </si>
  <si>
    <t>Conducting district and county-level gender dialogues on VAWiE/P and promoting women’s increased leadership with collaboration between the Ministries of Gender, Internal Affairs and Youth. The Caravan strategy will be leveraged. 15 dialogues are envisaged per year, once for each county bringing to 30 dialogues over 2 years. The Ministry of Gender will take lead as the gender coordination entity with support of UN Women</t>
  </si>
  <si>
    <t>Support CSOs to build the women’s leadership culture and participation in peacebuilding from grassroots upstream focusing integration of women in clan governance and peace-building committees and meetings to town, district, county and to national governance and peace-building discourse and architecture (from village councils to parliament Rwanda Model</t>
  </si>
  <si>
    <t>Engaging the Youth in peacebuilding processes-  Working with CSOs, the Ministry of Youth and Sports (MoYS), particularly on capacity strengthening of young women for political leadership. This will include their engagement with political parties youth wings and institutions of governance at all levels through CSOs and the young women political leadership mentees to raise awareness on the rights of and incentives for women, including specifically young women, to participate in politics, and public life towards peaceful and equitable societies</t>
  </si>
  <si>
    <t>Violence against women in elections, politics and public spheres is reduced through enhanced engagement with political and electoral stakeholders and community leaders</t>
  </si>
  <si>
    <t>Support national convention/dialogue to renew commitment to 30 percent women’s participation as stipulated in 2017 Farmington Declaration on peaceful elections, and Code of Conduct. The lack of monitoring of the implementation of the 30 percent participation of each gender has impeded progress</t>
  </si>
  <si>
    <t>Support political parties to implement the existing legal and policy provisions within their internal structures and externally – including codes of conduct, Memorandums of Understanding (MoU), and the developed Protocol on prevention and response to VAWiE – to inculcate intolerance to VAWiE/P in politics. Printing, dissemination, and education of VAWIE/P Protocol at national and community level</t>
  </si>
  <si>
    <t>3 Printing, dissemination, and education of VAWIE/P Protocol at national and community level</t>
  </si>
  <si>
    <t>Reform of legal, policy, and institutional frameworks that facilitate prevention and response to VAWiE/P.  Such policies will include having mandatory 30% gender quota in the elections law, facilitating for voluntary political party gender quota policies, incentives to political parties with gender quotas and alignment of the local government act (LGA) and Article 54 of the Constitution of Liberia to enable implementation of the law</t>
  </si>
  <si>
    <t>Support to legal clinics dealing with survivors of VAWIE/P including awareness raising to communities and women on legal aid options to survivors of electoral violence building on the UN Women’s peace and security project with Association of Female Lawyers in Liberia (AFeLL) will be leveraged</t>
  </si>
  <si>
    <t>Support to legal response  to instances of VAWiE., This activity targets key institutions responsible for responding to VAWiE/P perpetrators in particular, the Judiciary and police as well as the political parties who should be vocal in condemning it.</t>
  </si>
  <si>
    <t>The governing laws, policies and practices of peacebuilding and electoral institutions are strengthened</t>
  </si>
  <si>
    <t>Integrating VAWiE/P and relevant institutions / mechanisms into PBO EWRM platform</t>
  </si>
  <si>
    <t>Support to the Legislature for the deployment of the platform and conduct of information campaigns, and train stakeholder on CFM</t>
  </si>
  <si>
    <t>Collection of gender disaggregated electoral data and development of repository and databases</t>
  </si>
  <si>
    <t xml:space="preserve">Development of a dialogue platform between the NEC, CSOs and political parties </t>
  </si>
  <si>
    <r>
      <t xml:space="preserve">Develop &amp; disseminate gender-sensitive civic and voter education; </t>
    </r>
    <r>
      <rPr>
        <sz val="12"/>
        <rFont val="Ariel"/>
      </rPr>
      <t>and set up gender sensitive election resource center for all electoral stakeholders, including marginalized groups</t>
    </r>
  </si>
  <si>
    <t>Overall Delivry of the Total budget  (%)</t>
  </si>
  <si>
    <t xml:space="preserve">As per the note to the file shared with PBO  office , this activity will be topped up with 20k.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</si>
</sst>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_(* #,##0_);_(* \(#,##0\);_(* &quot;-&quot;??_);_(@_)"/>
    <numFmt numFmtId="166" formatCode="0.00000000000000%"/>
    <numFmt numFmtId="167" formatCode="0.0%"/>
  </numFmts>
  <fonts count="57">
    <font>
      <sz val="11"/>
      <color theme="1"/>
      <name val="Calibri"/>
      <family val="2"/>
      <scheme val="minor"/>
    </font>
    <font>
      <sz val="9"/>
      <color indexed="8"/>
      <name val="Calibri"/>
      <family val="2"/>
    </font>
    <font>
      <b/>
      <sz val="9"/>
      <color indexed="8"/>
      <name val="Calibri"/>
      <family val="2"/>
    </font>
    <font>
      <sz val="10"/>
      <color indexed="8"/>
      <name val="Times New Roman"/>
      <family val="1"/>
    </font>
    <font>
      <sz val="10"/>
      <name val="Times New Roman"/>
      <family val="1"/>
    </font>
    <font>
      <b/>
      <sz val="10"/>
      <color indexed="8"/>
      <name val="Times New Roman"/>
      <family val="1"/>
    </font>
    <font>
      <b/>
      <sz val="10"/>
      <name val="Times New Roman"/>
      <family val="1"/>
    </font>
    <font>
      <sz val="7"/>
      <color indexed="8"/>
      <name val="Times New Roman"/>
      <family val="1"/>
    </font>
    <font>
      <sz val="9"/>
      <name val="Calibri"/>
      <family val="2"/>
    </font>
    <font>
      <sz val="7"/>
      <name val="Times New Roman"/>
      <family val="1"/>
    </font>
    <font>
      <sz val="8"/>
      <name val="Calibri"/>
      <family val="2"/>
    </font>
    <font>
      <sz val="9"/>
      <color indexed="81"/>
      <name val="Tahoma"/>
      <family val="2"/>
    </font>
    <font>
      <b/>
      <sz val="9"/>
      <color indexed="81"/>
      <name val="Tahoma"/>
      <family val="2"/>
    </font>
    <font>
      <b/>
      <sz val="9"/>
      <name val="Calibri"/>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b/>
      <sz val="12"/>
      <color theme="1"/>
      <name val="Calibri"/>
      <family val="2"/>
      <scheme val="minor"/>
    </font>
    <font>
      <sz val="10"/>
      <color theme="1"/>
      <name val="Times New Roman"/>
      <family val="1"/>
    </font>
    <font>
      <b/>
      <sz val="10"/>
      <color theme="1"/>
      <name val="Times New Roman"/>
      <family val="1"/>
    </font>
    <font>
      <sz val="10"/>
      <color rgb="FFFF0000"/>
      <name val="Times New Roman"/>
      <family val="1"/>
    </font>
    <font>
      <sz val="10"/>
      <color theme="7" tint="0.79998168889431442"/>
      <name val="Times New Roman"/>
      <family val="1"/>
    </font>
    <font>
      <sz val="9"/>
      <color theme="1"/>
      <name val="Calibri"/>
      <family val="2"/>
    </font>
    <font>
      <sz val="11"/>
      <name val="Calibri"/>
      <family val="2"/>
      <scheme val="minor"/>
    </font>
    <font>
      <sz val="10"/>
      <name val="Calibri"/>
      <family val="2"/>
      <scheme val="minor"/>
    </font>
    <font>
      <b/>
      <sz val="10"/>
      <color theme="1"/>
      <name val="Calibri"/>
      <family val="2"/>
      <scheme val="minor"/>
    </font>
    <font>
      <sz val="10"/>
      <color theme="1"/>
      <name val="Calibri"/>
      <family val="2"/>
      <scheme val="minor"/>
    </font>
    <font>
      <b/>
      <sz val="10"/>
      <color rgb="FFFF0000"/>
      <name val="Calibri"/>
      <family val="2"/>
      <scheme val="minor"/>
    </font>
    <font>
      <b/>
      <sz val="9"/>
      <color theme="1"/>
      <name val="Times New Roman"/>
      <family val="1"/>
    </font>
    <font>
      <sz val="9"/>
      <color theme="1"/>
      <name val="Calibri"/>
      <family val="2"/>
      <scheme val="minor"/>
    </font>
    <font>
      <b/>
      <sz val="9"/>
      <color theme="1"/>
      <name val="Calibri"/>
      <family val="2"/>
    </font>
    <font>
      <b/>
      <sz val="9"/>
      <color theme="1"/>
      <name val="Calibri"/>
      <family val="2"/>
      <scheme val="minor"/>
    </font>
    <font>
      <b/>
      <sz val="10"/>
      <color theme="1"/>
      <name val="Calibri"/>
      <family val="2"/>
    </font>
    <font>
      <sz val="9"/>
      <color theme="1"/>
      <name val="Times New Roman"/>
      <family val="1"/>
    </font>
    <font>
      <sz val="10"/>
      <color rgb="FFFF0000"/>
      <name val="Calibri"/>
      <family val="2"/>
      <scheme val="minor"/>
    </font>
    <font>
      <sz val="9"/>
      <name val="Calibri"/>
      <family val="2"/>
      <scheme val="minor"/>
    </font>
    <font>
      <b/>
      <u/>
      <sz val="11"/>
      <color theme="1"/>
      <name val="Calibri"/>
      <family val="2"/>
      <scheme val="minor"/>
    </font>
    <font>
      <sz val="12"/>
      <color theme="1"/>
      <name val="Calibri"/>
      <family val="2"/>
      <scheme val="minor"/>
    </font>
    <font>
      <sz val="11"/>
      <color rgb="FF000000"/>
      <name val="Calibri"/>
      <family val="2"/>
      <scheme val="minor"/>
    </font>
    <font>
      <sz val="12"/>
      <name val="Ariel"/>
    </font>
    <font>
      <u/>
      <sz val="11"/>
      <color theme="10"/>
      <name val="Calibri"/>
      <family val="2"/>
      <scheme val="minor"/>
    </font>
    <font>
      <u/>
      <sz val="11"/>
      <color theme="11"/>
      <name val="Calibri"/>
      <family val="2"/>
      <scheme val="minor"/>
    </font>
  </fonts>
  <fills count="5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bgColor indexed="64"/>
      </patternFill>
    </fill>
    <fill>
      <patternFill patternType="solid">
        <fgColor theme="7" tint="0.59999389629810485"/>
        <bgColor indexed="64"/>
      </patternFill>
    </fill>
    <fill>
      <patternFill patternType="solid">
        <fgColor rgb="FF92D050"/>
        <bgColor indexed="64"/>
      </patternFill>
    </fill>
    <fill>
      <patternFill patternType="solid">
        <fgColor theme="7"/>
        <bgColor indexed="64"/>
      </patternFill>
    </fill>
    <fill>
      <patternFill patternType="solid">
        <fgColor theme="4"/>
        <bgColor indexed="64"/>
      </patternFill>
    </fill>
    <fill>
      <patternFill patternType="solid">
        <fgColor rgb="FF7030A0"/>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FF00"/>
        <bgColor rgb="FF000000"/>
      </patternFill>
    </fill>
    <fill>
      <patternFill patternType="solid">
        <fgColor theme="9" tint="0.39997558519241921"/>
        <bgColor indexed="64"/>
      </patternFill>
    </fill>
  </fills>
  <borders count="5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bottom style="medium">
        <color auto="1"/>
      </bottom>
      <diagonal/>
    </border>
    <border>
      <left/>
      <right style="thin">
        <color auto="1"/>
      </right>
      <top/>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999999"/>
      </left>
      <right style="medium">
        <color rgb="FF999999"/>
      </right>
      <top/>
      <bottom/>
      <diagonal/>
    </border>
    <border>
      <left style="medium">
        <color rgb="FF999999"/>
      </left>
      <right style="medium">
        <color rgb="FF999999"/>
      </right>
      <top/>
      <bottom style="medium">
        <color rgb="FF999999"/>
      </bottom>
      <diagonal/>
    </border>
    <border>
      <left style="medium">
        <color rgb="FF999999"/>
      </left>
      <right style="medium">
        <color rgb="FF999999"/>
      </right>
      <top style="medium">
        <color rgb="FF999999"/>
      </top>
      <bottom/>
      <diagonal/>
    </border>
    <border>
      <left style="medium">
        <color rgb="FF999999"/>
      </left>
      <right style="medium">
        <color rgb="FF999999"/>
      </right>
      <top/>
      <bottom style="thick">
        <color rgb="FF666666"/>
      </bottom>
      <diagonal/>
    </border>
  </borders>
  <cellStyleXfs count="114">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8" fillId="27" borderId="40" applyNumberFormat="0" applyAlignment="0" applyProtection="0"/>
    <xf numFmtId="0" fontId="19" fillId="28" borderId="41" applyNumberFormat="0" applyAlignment="0" applyProtection="0"/>
    <xf numFmtId="43" fontId="15" fillId="0" borderId="0" applyFont="0" applyFill="0" applyBorder="0" applyAlignment="0" applyProtection="0"/>
    <xf numFmtId="164" fontId="15" fillId="0" borderId="0" applyFont="0" applyFill="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2" fillId="0" borderId="42" applyNumberFormat="0" applyFill="0" applyAlignment="0" applyProtection="0"/>
    <xf numFmtId="0" fontId="23" fillId="0" borderId="43" applyNumberFormat="0" applyFill="0" applyAlignment="0" applyProtection="0"/>
    <xf numFmtId="0" fontId="24" fillId="0" borderId="44" applyNumberFormat="0" applyFill="0" applyAlignment="0" applyProtection="0"/>
    <xf numFmtId="0" fontId="24" fillId="0" borderId="0" applyNumberFormat="0" applyFill="0" applyBorder="0" applyAlignment="0" applyProtection="0"/>
    <xf numFmtId="0" fontId="25" fillId="30" borderId="40" applyNumberFormat="0" applyAlignment="0" applyProtection="0"/>
    <xf numFmtId="0" fontId="26" fillId="0" borderId="45" applyNumberFormat="0" applyFill="0" applyAlignment="0" applyProtection="0"/>
    <xf numFmtId="0" fontId="27" fillId="31" borderId="0" applyNumberFormat="0" applyBorder="0" applyAlignment="0" applyProtection="0"/>
    <xf numFmtId="0" fontId="14" fillId="0" borderId="0"/>
    <xf numFmtId="0" fontId="15" fillId="32" borderId="46" applyNumberFormat="0" applyFont="0" applyAlignment="0" applyProtection="0"/>
    <xf numFmtId="0" fontId="28" fillId="27" borderId="47" applyNumberFormat="0" applyAlignment="0" applyProtection="0"/>
    <xf numFmtId="9" fontId="15" fillId="0" borderId="0" applyFont="0" applyFill="0" applyBorder="0" applyAlignment="0" applyProtection="0"/>
    <xf numFmtId="0" fontId="29" fillId="0" borderId="0" applyNumberFormat="0" applyFill="0" applyBorder="0" applyAlignment="0" applyProtection="0"/>
    <xf numFmtId="0" fontId="30" fillId="0" borderId="48" applyNumberFormat="0" applyFill="0" applyAlignment="0" applyProtection="0"/>
    <xf numFmtId="0" fontId="31"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cellStyleXfs>
  <cellXfs count="370">
    <xf numFmtId="0" fontId="0" fillId="0" borderId="0" xfId="0"/>
    <xf numFmtId="0" fontId="32" fillId="0" borderId="0" xfId="0" applyFont="1"/>
    <xf numFmtId="0" fontId="30" fillId="0" borderId="0" xfId="0" applyFont="1"/>
    <xf numFmtId="0" fontId="33" fillId="33" borderId="1" xfId="0" applyFont="1" applyFill="1" applyBorder="1" applyAlignment="1">
      <alignment wrapText="1"/>
    </xf>
    <xf numFmtId="0" fontId="34" fillId="33" borderId="2" xfId="0" applyFont="1" applyFill="1" applyBorder="1"/>
    <xf numFmtId="0" fontId="33" fillId="0" borderId="0" xfId="0" applyFont="1"/>
    <xf numFmtId="0" fontId="33" fillId="33" borderId="3" xfId="0" applyFont="1" applyFill="1" applyBorder="1" applyAlignment="1">
      <alignment wrapText="1"/>
    </xf>
    <xf numFmtId="0" fontId="34" fillId="33" borderId="2" xfId="0" applyFont="1" applyFill="1" applyBorder="1" applyAlignment="1">
      <alignment horizontal="left" vertical="center" wrapText="1" indent="1"/>
    </xf>
    <xf numFmtId="0" fontId="34" fillId="0" borderId="0" xfId="0" applyFont="1" applyAlignment="1">
      <alignment horizontal="left" vertical="center" indent="1"/>
    </xf>
    <xf numFmtId="43" fontId="4" fillId="0" borderId="2" xfId="28" applyFont="1" applyBorder="1" applyAlignment="1">
      <alignment horizontal="right" vertical="center" indent="1"/>
    </xf>
    <xf numFmtId="43" fontId="34" fillId="0" borderId="2" xfId="28" applyFont="1" applyBorder="1" applyAlignment="1">
      <alignment horizontal="left" vertical="center" indent="1"/>
    </xf>
    <xf numFmtId="43" fontId="33" fillId="0" borderId="2" xfId="28" applyFont="1" applyBorder="1"/>
    <xf numFmtId="43" fontId="4" fillId="0" borderId="2" xfId="28" applyFont="1" applyBorder="1" applyAlignment="1">
      <alignment horizontal="left" vertical="center" indent="1"/>
    </xf>
    <xf numFmtId="0" fontId="33" fillId="0" borderId="2" xfId="0" applyFont="1" applyBorder="1"/>
    <xf numFmtId="43" fontId="4" fillId="0" borderId="2" xfId="28" applyFont="1" applyBorder="1" applyAlignment="1">
      <alignment horizontal="justify" vertical="center"/>
    </xf>
    <xf numFmtId="43" fontId="34" fillId="0" borderId="2" xfId="28" applyFont="1" applyBorder="1" applyAlignment="1">
      <alignment horizontal="justify" vertical="center"/>
    </xf>
    <xf numFmtId="43" fontId="4" fillId="0" borderId="2" xfId="28" applyFont="1" applyBorder="1"/>
    <xf numFmtId="0" fontId="33" fillId="0" borderId="2" xfId="0" applyFont="1" applyBorder="1" applyAlignment="1">
      <alignment horizontal="justify" vertical="center"/>
    </xf>
    <xf numFmtId="43" fontId="4" fillId="33" borderId="2" xfId="28" applyFont="1" applyFill="1" applyBorder="1"/>
    <xf numFmtId="43" fontId="33" fillId="33" borderId="2" xfId="28" applyFont="1" applyFill="1" applyBorder="1"/>
    <xf numFmtId="0" fontId="33" fillId="0" borderId="0" xfId="0" applyFont="1" applyAlignment="1">
      <alignment horizontal="justify" vertical="center"/>
    </xf>
    <xf numFmtId="0" fontId="34" fillId="34" borderId="2" xfId="0" applyFont="1" applyFill="1" applyBorder="1" applyAlignment="1">
      <alignment vertical="center" wrapText="1"/>
    </xf>
    <xf numFmtId="0" fontId="34" fillId="33" borderId="0" xfId="0" applyFont="1" applyFill="1" applyAlignment="1">
      <alignment horizontal="justify" vertical="center"/>
    </xf>
    <xf numFmtId="0" fontId="34" fillId="33" borderId="2" xfId="0" applyFont="1" applyFill="1" applyBorder="1" applyAlignment="1">
      <alignment horizontal="justify" vertical="center"/>
    </xf>
    <xf numFmtId="0" fontId="4" fillId="0" borderId="0" xfId="0" applyFont="1"/>
    <xf numFmtId="43" fontId="33" fillId="0" borderId="2" xfId="28" applyFont="1" applyBorder="1" applyAlignment="1">
      <alignment horizontal="justify" vertical="center"/>
    </xf>
    <xf numFmtId="43" fontId="6" fillId="33" borderId="2" xfId="28" applyFont="1" applyFill="1" applyBorder="1" applyAlignment="1">
      <alignment horizontal="left" vertical="center" indent="1"/>
    </xf>
    <xf numFmtId="0" fontId="34" fillId="0" borderId="0" xfId="0" applyFont="1"/>
    <xf numFmtId="0" fontId="4" fillId="0" borderId="2" xfId="0" applyFont="1" applyBorder="1" applyAlignment="1">
      <alignment horizontal="left" vertical="center" indent="1"/>
    </xf>
    <xf numFmtId="43" fontId="6" fillId="33" borderId="2" xfId="28" applyFont="1" applyFill="1" applyBorder="1" applyAlignment="1">
      <alignment horizontal="justify" vertical="center"/>
    </xf>
    <xf numFmtId="0" fontId="6" fillId="33" borderId="2" xfId="0" applyFont="1" applyFill="1" applyBorder="1"/>
    <xf numFmtId="43" fontId="4" fillId="0" borderId="2" xfId="0" applyNumberFormat="1" applyFont="1" applyBorder="1"/>
    <xf numFmtId="43" fontId="33" fillId="35" borderId="2" xfId="28" applyFont="1" applyFill="1" applyBorder="1"/>
    <xf numFmtId="0" fontId="33" fillId="36" borderId="2" xfId="0" applyFont="1" applyFill="1" applyBorder="1"/>
    <xf numFmtId="0" fontId="35" fillId="0" borderId="0" xfId="0" applyFont="1"/>
    <xf numFmtId="0" fontId="36" fillId="35" borderId="2" xfId="0" applyFont="1" applyFill="1" applyBorder="1"/>
    <xf numFmtId="9" fontId="33" fillId="0" borderId="0" xfId="42" applyFont="1"/>
    <xf numFmtId="9" fontId="34" fillId="0" borderId="0" xfId="42" applyFont="1"/>
    <xf numFmtId="0" fontId="0" fillId="0" borderId="2" xfId="0" applyBorder="1"/>
    <xf numFmtId="0" fontId="0" fillId="0" borderId="3" xfId="0" applyBorder="1"/>
    <xf numFmtId="43" fontId="6" fillId="0" borderId="2" xfId="28" applyFont="1" applyBorder="1" applyAlignment="1">
      <alignment horizontal="left" vertical="center" indent="1"/>
    </xf>
    <xf numFmtId="0" fontId="4" fillId="0" borderId="2" xfId="0" applyFont="1" applyBorder="1"/>
    <xf numFmtId="9" fontId="34" fillId="35" borderId="0" xfId="42" applyFont="1" applyFill="1"/>
    <xf numFmtId="0" fontId="34" fillId="35" borderId="0" xfId="0" applyFont="1" applyFill="1"/>
    <xf numFmtId="0" fontId="37" fillId="0" borderId="4" xfId="0" applyFont="1" applyBorder="1" applyAlignment="1">
      <alignment horizontal="justify" vertical="center"/>
    </xf>
    <xf numFmtId="0" fontId="37" fillId="0" borderId="2" xfId="0" applyFont="1" applyBorder="1" applyAlignment="1">
      <alignment horizontal="justify" vertical="center"/>
    </xf>
    <xf numFmtId="0" fontId="33" fillId="37" borderId="2" xfId="0" applyFont="1" applyFill="1" applyBorder="1"/>
    <xf numFmtId="43" fontId="33" fillId="0" borderId="0" xfId="28" applyFont="1"/>
    <xf numFmtId="165" fontId="33" fillId="0" borderId="0" xfId="28" applyNumberFormat="1" applyFont="1"/>
    <xf numFmtId="0" fontId="33" fillId="0" borderId="1" xfId="0" applyFont="1" applyBorder="1"/>
    <xf numFmtId="0" fontId="4" fillId="35" borderId="2" xfId="0" applyFont="1" applyFill="1" applyBorder="1"/>
    <xf numFmtId="43" fontId="4" fillId="35" borderId="2" xfId="28" applyFont="1" applyFill="1" applyBorder="1"/>
    <xf numFmtId="43" fontId="6" fillId="33" borderId="2" xfId="28" applyFont="1" applyFill="1" applyBorder="1"/>
    <xf numFmtId="0" fontId="33" fillId="38" borderId="2" xfId="0" applyFont="1" applyFill="1" applyBorder="1"/>
    <xf numFmtId="43" fontId="4" fillId="38" borderId="2" xfId="28" applyFont="1" applyFill="1" applyBorder="1"/>
    <xf numFmtId="43" fontId="33" fillId="0" borderId="2" xfId="28" applyFont="1" applyBorder="1" applyAlignment="1">
      <alignment horizontal="left" vertical="center" indent="1"/>
    </xf>
    <xf numFmtId="0" fontId="4" fillId="35" borderId="2" xfId="0" applyFont="1" applyFill="1" applyBorder="1" applyAlignment="1">
      <alignment horizontal="left" vertical="center" wrapText="1" indent="1"/>
    </xf>
    <xf numFmtId="10" fontId="33" fillId="0" borderId="0" xfId="42" applyNumberFormat="1" applyFont="1"/>
    <xf numFmtId="0" fontId="34" fillId="34" borderId="0" xfId="0" applyFont="1" applyFill="1" applyAlignment="1">
      <alignment wrapText="1"/>
    </xf>
    <xf numFmtId="43" fontId="6" fillId="34" borderId="1" xfId="0" applyNumberFormat="1" applyFont="1" applyFill="1" applyBorder="1" applyAlignment="1">
      <alignment horizontal="center"/>
    </xf>
    <xf numFmtId="43" fontId="6" fillId="34" borderId="2" xfId="28" applyFont="1" applyFill="1" applyBorder="1"/>
    <xf numFmtId="43" fontId="34" fillId="34" borderId="2" xfId="28" applyFont="1" applyFill="1" applyBorder="1"/>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38" fillId="0" borderId="3" xfId="0" applyFont="1" applyBorder="1"/>
    <xf numFmtId="0" fontId="39" fillId="0" borderId="3" xfId="0" applyFont="1" applyBorder="1"/>
    <xf numFmtId="0" fontId="38" fillId="0" borderId="2" xfId="0" applyFont="1" applyBorder="1"/>
    <xf numFmtId="0" fontId="39" fillId="0" borderId="2" xfId="0" applyFont="1" applyBorder="1"/>
    <xf numFmtId="0" fontId="4" fillId="0" borderId="1" xfId="0" applyFont="1" applyBorder="1" applyAlignment="1">
      <alignment horizontal="left" vertical="center" wrapText="1" indent="1"/>
    </xf>
    <xf numFmtId="0" fontId="38" fillId="0" borderId="0" xfId="0" applyFont="1"/>
    <xf numFmtId="0" fontId="39" fillId="0" borderId="1" xfId="0" applyFont="1" applyBorder="1"/>
    <xf numFmtId="0" fontId="8" fillId="35" borderId="2" xfId="0" applyFont="1" applyFill="1" applyBorder="1" applyAlignment="1">
      <alignment horizontal="justify" vertical="center"/>
    </xf>
    <xf numFmtId="0" fontId="38" fillId="35" borderId="2" xfId="0" applyFont="1" applyFill="1" applyBorder="1"/>
    <xf numFmtId="0" fontId="8" fillId="0" borderId="2" xfId="0" applyFont="1" applyBorder="1" applyAlignment="1">
      <alignment horizontal="justify" vertical="center"/>
    </xf>
    <xf numFmtId="0" fontId="37" fillId="0" borderId="5" xfId="0" applyFont="1" applyBorder="1" applyAlignment="1">
      <alignment horizontal="justify" vertical="center"/>
    </xf>
    <xf numFmtId="0" fontId="33" fillId="39" borderId="2" xfId="0" applyFont="1" applyFill="1" applyBorder="1"/>
    <xf numFmtId="43" fontId="4" fillId="39" borderId="6" xfId="0" applyNumberFormat="1" applyFont="1" applyFill="1" applyBorder="1" applyAlignment="1">
      <alignment horizontal="center"/>
    </xf>
    <xf numFmtId="43" fontId="33" fillId="39" borderId="6" xfId="0" applyNumberFormat="1" applyFont="1" applyFill="1" applyBorder="1" applyAlignment="1">
      <alignment horizontal="center"/>
    </xf>
    <xf numFmtId="0" fontId="33" fillId="38" borderId="1" xfId="0" applyFont="1" applyFill="1" applyBorder="1"/>
    <xf numFmtId="0" fontId="4" fillId="33" borderId="1" xfId="0" applyFont="1" applyFill="1" applyBorder="1" applyAlignment="1">
      <alignment wrapText="1"/>
    </xf>
    <xf numFmtId="0" fontId="4" fillId="38" borderId="3" xfId="0" applyFont="1" applyFill="1" applyBorder="1" applyAlignment="1">
      <alignment wrapText="1"/>
    </xf>
    <xf numFmtId="0" fontId="4" fillId="0" borderId="2" xfId="0" applyFont="1" applyBorder="1" applyAlignment="1">
      <alignment wrapText="1"/>
    </xf>
    <xf numFmtId="0" fontId="4" fillId="39" borderId="2" xfId="0" applyFont="1" applyFill="1" applyBorder="1" applyAlignment="1">
      <alignment horizontal="left" vertical="center" wrapText="1" indent="1"/>
    </xf>
    <xf numFmtId="0" fontId="4" fillId="38" borderId="2" xfId="0" applyFont="1" applyFill="1" applyBorder="1" applyAlignment="1">
      <alignment horizontal="left" vertical="center" wrapText="1" indent="1"/>
    </xf>
    <xf numFmtId="0" fontId="4" fillId="38" borderId="2" xfId="0" applyFont="1" applyFill="1" applyBorder="1"/>
    <xf numFmtId="0" fontId="4" fillId="36" borderId="2" xfId="0" applyFont="1" applyFill="1" applyBorder="1"/>
    <xf numFmtId="43" fontId="4" fillId="0" borderId="0" xfId="0" applyNumberFormat="1" applyFont="1"/>
    <xf numFmtId="43" fontId="6" fillId="38" borderId="2" xfId="0" applyNumberFormat="1" applyFont="1" applyFill="1" applyBorder="1" applyAlignment="1">
      <alignment horizontal="center"/>
    </xf>
    <xf numFmtId="43" fontId="6" fillId="37" borderId="2" xfId="0" applyNumberFormat="1" applyFont="1" applyFill="1" applyBorder="1" applyAlignment="1">
      <alignment horizontal="left" vertical="center" wrapText="1" indent="1"/>
    </xf>
    <xf numFmtId="165" fontId="34" fillId="33" borderId="2" xfId="28" applyNumberFormat="1" applyFont="1" applyFill="1" applyBorder="1"/>
    <xf numFmtId="165" fontId="6" fillId="34" borderId="1" xfId="28" applyNumberFormat="1" applyFont="1" applyFill="1" applyBorder="1" applyAlignment="1">
      <alignment horizontal="center"/>
    </xf>
    <xf numFmtId="165" fontId="33" fillId="0" borderId="2" xfId="28" applyNumberFormat="1" applyFont="1" applyBorder="1"/>
    <xf numFmtId="165" fontId="4" fillId="0" borderId="2" xfId="28" applyNumberFormat="1" applyFont="1" applyBorder="1"/>
    <xf numFmtId="165" fontId="4" fillId="0" borderId="2" xfId="28" applyNumberFormat="1" applyFont="1" applyBorder="1" applyAlignment="1">
      <alignment horizontal="left" vertical="center" wrapText="1" indent="1"/>
    </xf>
    <xf numFmtId="165" fontId="39" fillId="0" borderId="2" xfId="28" applyNumberFormat="1" applyFont="1" applyBorder="1"/>
    <xf numFmtId="165" fontId="34" fillId="34" borderId="2" xfId="28" applyNumberFormat="1" applyFont="1" applyFill="1" applyBorder="1"/>
    <xf numFmtId="165" fontId="33" fillId="33" borderId="2" xfId="28" applyNumberFormat="1" applyFont="1" applyFill="1" applyBorder="1"/>
    <xf numFmtId="165" fontId="4" fillId="0" borderId="3" xfId="28" applyNumberFormat="1" applyFont="1" applyBorder="1"/>
    <xf numFmtId="165" fontId="4" fillId="0" borderId="1" xfId="28" applyNumberFormat="1" applyFont="1" applyBorder="1"/>
    <xf numFmtId="165" fontId="33" fillId="0" borderId="3" xfId="28" applyNumberFormat="1" applyFont="1" applyBorder="1"/>
    <xf numFmtId="165" fontId="33" fillId="39" borderId="6" xfId="28" applyNumberFormat="1" applyFont="1" applyFill="1" applyBorder="1" applyAlignment="1">
      <alignment horizontal="center"/>
    </xf>
    <xf numFmtId="165" fontId="4" fillId="0" borderId="1" xfId="28" applyNumberFormat="1" applyFont="1" applyBorder="1" applyAlignment="1">
      <alignment horizontal="center" vertical="center" wrapText="1"/>
    </xf>
    <xf numFmtId="0" fontId="34" fillId="38" borderId="2" xfId="0" applyFont="1" applyFill="1" applyBorder="1"/>
    <xf numFmtId="43" fontId="34" fillId="38" borderId="2" xfId="28" applyFont="1" applyFill="1" applyBorder="1" applyAlignment="1">
      <alignment horizontal="left" vertical="center" indent="1"/>
    </xf>
    <xf numFmtId="43" fontId="33" fillId="38" borderId="2" xfId="28" applyFont="1" applyFill="1" applyBorder="1"/>
    <xf numFmtId="43" fontId="6" fillId="38" borderId="2" xfId="28" applyFont="1" applyFill="1" applyBorder="1" applyAlignment="1">
      <alignment horizontal="left" vertical="center" indent="1"/>
    </xf>
    <xf numFmtId="43" fontId="34" fillId="38" borderId="2" xfId="28" applyFont="1" applyFill="1" applyBorder="1" applyAlignment="1">
      <alignment horizontal="justify" vertical="center"/>
    </xf>
    <xf numFmtId="43" fontId="4" fillId="38" borderId="2" xfId="28" applyFont="1" applyFill="1" applyBorder="1" applyAlignment="1">
      <alignment horizontal="justify" vertical="center"/>
    </xf>
    <xf numFmtId="43" fontId="4" fillId="38" borderId="2" xfId="28" applyFont="1" applyFill="1" applyBorder="1" applyAlignment="1">
      <alignment horizontal="right" vertical="center" indent="1"/>
    </xf>
    <xf numFmtId="0" fontId="4" fillId="38" borderId="1" xfId="0" applyFont="1" applyFill="1" applyBorder="1" applyAlignment="1">
      <alignment horizontal="center" vertical="center" wrapText="1"/>
    </xf>
    <xf numFmtId="43" fontId="35" fillId="38" borderId="2" xfId="28" applyFont="1" applyFill="1" applyBorder="1"/>
    <xf numFmtId="0" fontId="33" fillId="38" borderId="0" xfId="0" applyFont="1" applyFill="1"/>
    <xf numFmtId="0" fontId="39" fillId="38" borderId="3" xfId="0" applyFont="1" applyFill="1" applyBorder="1"/>
    <xf numFmtId="0" fontId="39" fillId="38" borderId="2" xfId="0" applyFont="1" applyFill="1" applyBorder="1"/>
    <xf numFmtId="0" fontId="39" fillId="38" borderId="1" xfId="0" applyFont="1" applyFill="1" applyBorder="1"/>
    <xf numFmtId="0" fontId="38" fillId="38" borderId="2" xfId="0" applyFont="1" applyFill="1" applyBorder="1"/>
    <xf numFmtId="0" fontId="0" fillId="38" borderId="3" xfId="0" applyFill="1" applyBorder="1"/>
    <xf numFmtId="0" fontId="0" fillId="38" borderId="2" xfId="0" applyFill="1" applyBorder="1"/>
    <xf numFmtId="43" fontId="6" fillId="40" borderId="2" xfId="0" applyNumberFormat="1" applyFont="1" applyFill="1" applyBorder="1" applyAlignment="1">
      <alignment horizontal="center"/>
    </xf>
    <xf numFmtId="43" fontId="4" fillId="40" borderId="2" xfId="28" applyFont="1" applyFill="1" applyBorder="1"/>
    <xf numFmtId="165" fontId="4" fillId="35" borderId="2" xfId="28" applyNumberFormat="1" applyFont="1" applyFill="1" applyBorder="1"/>
    <xf numFmtId="9" fontId="33" fillId="39" borderId="0" xfId="42" applyFont="1" applyFill="1"/>
    <xf numFmtId="43" fontId="33" fillId="0" borderId="0" xfId="42" applyNumberFormat="1" applyFont="1"/>
    <xf numFmtId="165" fontId="39" fillId="35" borderId="2" xfId="28" applyNumberFormat="1" applyFont="1" applyFill="1" applyBorder="1"/>
    <xf numFmtId="0" fontId="40" fillId="0" borderId="0" xfId="0" applyFont="1"/>
    <xf numFmtId="0" fontId="41" fillId="0" borderId="0" xfId="0" applyFont="1"/>
    <xf numFmtId="0" fontId="42" fillId="0" borderId="0" xfId="0" applyFont="1"/>
    <xf numFmtId="43" fontId="41" fillId="0" borderId="0" xfId="28" applyFont="1"/>
    <xf numFmtId="165" fontId="4" fillId="36" borderId="2" xfId="28" applyNumberFormat="1" applyFont="1" applyFill="1" applyBorder="1" applyAlignment="1"/>
    <xf numFmtId="43" fontId="4" fillId="36" borderId="2" xfId="0" applyNumberFormat="1" applyFont="1" applyFill="1" applyBorder="1"/>
    <xf numFmtId="165" fontId="4" fillId="0" borderId="0" xfId="0" applyNumberFormat="1" applyFont="1"/>
    <xf numFmtId="43" fontId="0" fillId="0" borderId="0" xfId="0" applyNumberFormat="1"/>
    <xf numFmtId="43" fontId="4" fillId="0" borderId="0" xfId="28" applyFont="1"/>
    <xf numFmtId="43" fontId="15" fillId="0" borderId="0" xfId="28" applyFont="1"/>
    <xf numFmtId="43" fontId="4" fillId="41" borderId="2" xfId="28" applyFont="1" applyFill="1" applyBorder="1"/>
    <xf numFmtId="43" fontId="33" fillId="0" borderId="0" xfId="0" applyNumberFormat="1" applyFont="1"/>
    <xf numFmtId="0" fontId="4" fillId="42" borderId="2" xfId="0" applyFont="1" applyFill="1" applyBorder="1" applyAlignment="1">
      <alignment horizontal="left" vertical="center" wrapText="1" indent="1"/>
    </xf>
    <xf numFmtId="43" fontId="4" fillId="42" borderId="2" xfId="28" applyFont="1" applyFill="1" applyBorder="1" applyAlignment="1">
      <alignment horizontal="right" vertical="center" indent="1"/>
    </xf>
    <xf numFmtId="43" fontId="34" fillId="42" borderId="2" xfId="28" applyFont="1" applyFill="1" applyBorder="1" applyAlignment="1">
      <alignment horizontal="left" vertical="center" indent="1"/>
    </xf>
    <xf numFmtId="43" fontId="4" fillId="42" borderId="2" xfId="28" applyFont="1" applyFill="1" applyBorder="1" applyAlignment="1">
      <alignment horizontal="left" vertical="center" indent="1"/>
    </xf>
    <xf numFmtId="43" fontId="6" fillId="42" borderId="2" xfId="28" applyFont="1" applyFill="1" applyBorder="1" applyAlignment="1">
      <alignment horizontal="left" vertical="center" indent="1"/>
    </xf>
    <xf numFmtId="0" fontId="33" fillId="42" borderId="2" xfId="0" applyFont="1" applyFill="1" applyBorder="1"/>
    <xf numFmtId="43" fontId="4" fillId="42" borderId="2" xfId="28" applyFont="1" applyFill="1" applyBorder="1" applyAlignment="1">
      <alignment horizontal="justify" vertical="center"/>
    </xf>
    <xf numFmtId="43" fontId="34" fillId="42" borderId="2" xfId="28" applyFont="1" applyFill="1" applyBorder="1" applyAlignment="1">
      <alignment horizontal="justify" vertical="center"/>
    </xf>
    <xf numFmtId="43" fontId="4" fillId="42" borderId="2" xfId="28" applyFont="1" applyFill="1" applyBorder="1"/>
    <xf numFmtId="43" fontId="33" fillId="42" borderId="2" xfId="28" applyFont="1" applyFill="1" applyBorder="1"/>
    <xf numFmtId="43" fontId="33" fillId="43" borderId="2" xfId="28" applyFont="1" applyFill="1" applyBorder="1"/>
    <xf numFmtId="43" fontId="4" fillId="43" borderId="2" xfId="28" applyFont="1" applyFill="1" applyBorder="1" applyAlignment="1">
      <alignment horizontal="right" vertical="center" indent="1"/>
    </xf>
    <xf numFmtId="43" fontId="4" fillId="43" borderId="2" xfId="28" applyFont="1" applyFill="1" applyBorder="1" applyAlignment="1">
      <alignment horizontal="justify" vertical="center"/>
    </xf>
    <xf numFmtId="43" fontId="33" fillId="43" borderId="2" xfId="28" applyFont="1" applyFill="1" applyBorder="1" applyAlignment="1">
      <alignment wrapText="1"/>
    </xf>
    <xf numFmtId="43" fontId="4" fillId="43" borderId="2" xfId="28" applyFont="1" applyFill="1" applyBorder="1"/>
    <xf numFmtId="0" fontId="43" fillId="0" borderId="49" xfId="0" applyFont="1" applyBorder="1" applyAlignment="1">
      <alignment vertical="center" wrapText="1"/>
    </xf>
    <xf numFmtId="10" fontId="33" fillId="0" borderId="2" xfId="42" applyNumberFormat="1" applyFont="1" applyBorder="1"/>
    <xf numFmtId="43" fontId="33" fillId="0" borderId="2" xfId="0" applyNumberFormat="1" applyFont="1" applyBorder="1"/>
    <xf numFmtId="43" fontId="35" fillId="0" borderId="0" xfId="0" applyNumberFormat="1" applyFont="1"/>
    <xf numFmtId="43" fontId="4" fillId="44" borderId="2" xfId="28" applyFont="1" applyFill="1" applyBorder="1" applyAlignment="1">
      <alignment horizontal="left" vertical="center" indent="1"/>
    </xf>
    <xf numFmtId="43" fontId="4" fillId="45" borderId="2" xfId="28" applyFont="1" applyFill="1" applyBorder="1" applyAlignment="1">
      <alignment horizontal="justify" vertical="center"/>
    </xf>
    <xf numFmtId="43" fontId="4" fillId="46" borderId="2" xfId="28" applyFont="1" applyFill="1" applyBorder="1"/>
    <xf numFmtId="43" fontId="4" fillId="45" borderId="2" xfId="28" applyFont="1" applyFill="1" applyBorder="1"/>
    <xf numFmtId="43" fontId="33" fillId="44" borderId="2" xfId="28" applyFont="1" applyFill="1" applyBorder="1"/>
    <xf numFmtId="43" fontId="33" fillId="45" borderId="2" xfId="28" applyFont="1" applyFill="1" applyBorder="1"/>
    <xf numFmtId="43" fontId="4" fillId="45" borderId="2" xfId="28" applyFont="1" applyFill="1" applyBorder="1" applyAlignment="1">
      <alignment horizontal="right" vertical="center" indent="1"/>
    </xf>
    <xf numFmtId="43" fontId="33" fillId="47" borderId="2" xfId="28" applyFont="1" applyFill="1" applyBorder="1"/>
    <xf numFmtId="43" fontId="4" fillId="48" borderId="2" xfId="28" applyFont="1" applyFill="1" applyBorder="1" applyAlignment="1">
      <alignment horizontal="justify" vertical="center"/>
    </xf>
    <xf numFmtId="43" fontId="4" fillId="49" borderId="2" xfId="28" applyFont="1" applyFill="1" applyBorder="1"/>
    <xf numFmtId="43" fontId="4" fillId="49" borderId="2" xfId="28" applyFont="1" applyFill="1" applyBorder="1" applyAlignment="1">
      <alignment horizontal="justify" vertical="center"/>
    </xf>
    <xf numFmtId="9" fontId="32" fillId="0" borderId="0" xfId="42" applyFont="1"/>
    <xf numFmtId="9" fontId="30" fillId="0" borderId="0" xfId="42" applyFont="1"/>
    <xf numFmtId="9" fontId="15" fillId="0" borderId="0" xfId="42" applyFont="1"/>
    <xf numFmtId="43" fontId="37" fillId="50" borderId="2" xfId="28" applyFont="1" applyFill="1" applyBorder="1" applyAlignment="1">
      <alignment horizontal="right" wrapText="1"/>
    </xf>
    <xf numFmtId="43" fontId="37" fillId="50" borderId="2" xfId="0" applyNumberFormat="1" applyFont="1" applyFill="1" applyBorder="1" applyAlignment="1">
      <alignment wrapText="1"/>
    </xf>
    <xf numFmtId="43" fontId="37" fillId="41" borderId="2" xfId="28" applyFont="1" applyFill="1" applyBorder="1" applyAlignment="1">
      <alignment horizontal="right" wrapText="1"/>
    </xf>
    <xf numFmtId="43" fontId="37" fillId="45" borderId="2" xfId="0" applyNumberFormat="1" applyFont="1" applyFill="1" applyBorder="1" applyAlignment="1">
      <alignment horizontal="right" wrapText="1"/>
    </xf>
    <xf numFmtId="43" fontId="37" fillId="41" borderId="2" xfId="0" applyNumberFormat="1" applyFont="1" applyFill="1" applyBorder="1" applyAlignment="1">
      <alignment horizontal="right" wrapText="1"/>
    </xf>
    <xf numFmtId="43" fontId="37" fillId="41" borderId="8" xfId="28" applyFont="1" applyFill="1" applyBorder="1" applyAlignment="1">
      <alignment horizontal="right" wrapText="1"/>
    </xf>
    <xf numFmtId="9" fontId="37" fillId="50" borderId="3" xfId="42" applyFont="1" applyFill="1" applyBorder="1" applyAlignment="1">
      <alignment wrapText="1"/>
    </xf>
    <xf numFmtId="43" fontId="37" fillId="50" borderId="8" xfId="28" applyFont="1" applyFill="1" applyBorder="1" applyAlignment="1">
      <alignment horizontal="right" wrapText="1"/>
    </xf>
    <xf numFmtId="9" fontId="37" fillId="50" borderId="9" xfId="42" applyFont="1" applyFill="1" applyBorder="1" applyAlignment="1">
      <alignment wrapText="1"/>
    </xf>
    <xf numFmtId="0" fontId="37" fillId="0" borderId="12" xfId="0" applyFont="1" applyBorder="1" applyAlignment="1">
      <alignment wrapText="1"/>
    </xf>
    <xf numFmtId="9" fontId="37" fillId="41" borderId="14" xfId="42" applyFont="1" applyFill="1" applyBorder="1" applyAlignment="1">
      <alignment horizontal="right" wrapText="1"/>
    </xf>
    <xf numFmtId="43" fontId="37" fillId="45" borderId="1" xfId="0" applyNumberFormat="1" applyFont="1" applyFill="1" applyBorder="1" applyAlignment="1">
      <alignment horizontal="right" wrapText="1"/>
    </xf>
    <xf numFmtId="0" fontId="45" fillId="33" borderId="7" xfId="0" applyFont="1" applyFill="1" applyBorder="1" applyAlignment="1">
      <alignment wrapText="1"/>
    </xf>
    <xf numFmtId="43" fontId="45" fillId="33" borderId="16" xfId="0" applyNumberFormat="1" applyFont="1" applyFill="1" applyBorder="1" applyAlignment="1">
      <alignment wrapText="1"/>
    </xf>
    <xf numFmtId="43" fontId="45" fillId="33" borderId="17" xfId="0" applyNumberFormat="1" applyFont="1" applyFill="1" applyBorder="1" applyAlignment="1">
      <alignment wrapText="1"/>
    </xf>
    <xf numFmtId="9" fontId="45" fillId="33" borderId="18" xfId="42" applyFont="1" applyFill="1" applyBorder="1" applyAlignment="1">
      <alignment wrapText="1"/>
    </xf>
    <xf numFmtId="9" fontId="45" fillId="33" borderId="18" xfId="42" applyFont="1" applyFill="1" applyBorder="1" applyAlignment="1">
      <alignment horizontal="right" wrapText="1"/>
    </xf>
    <xf numFmtId="43" fontId="46" fillId="33" borderId="17" xfId="0" applyNumberFormat="1" applyFont="1" applyFill="1" applyBorder="1"/>
    <xf numFmtId="0" fontId="46" fillId="33" borderId="17" xfId="0" applyFont="1" applyFill="1" applyBorder="1"/>
    <xf numFmtId="0" fontId="37" fillId="0" borderId="19" xfId="0" applyFont="1" applyBorder="1" applyAlignment="1">
      <alignment wrapText="1"/>
    </xf>
    <xf numFmtId="43" fontId="37" fillId="50" borderId="20" xfId="28" applyFont="1" applyFill="1" applyBorder="1" applyAlignment="1">
      <alignment horizontal="right" wrapText="1"/>
    </xf>
    <xf numFmtId="43" fontId="37" fillId="50" borderId="21" xfId="28" applyFont="1" applyFill="1" applyBorder="1" applyAlignment="1">
      <alignment horizontal="right" wrapText="1"/>
    </xf>
    <xf numFmtId="43" fontId="37" fillId="50" borderId="21" xfId="0" applyNumberFormat="1" applyFont="1" applyFill="1" applyBorder="1" applyAlignment="1">
      <alignment wrapText="1"/>
    </xf>
    <xf numFmtId="9" fontId="37" fillId="50" borderId="22" xfId="42" applyFont="1" applyFill="1" applyBorder="1" applyAlignment="1">
      <alignment wrapText="1"/>
    </xf>
    <xf numFmtId="43" fontId="37" fillId="41" borderId="20" xfId="28" applyFont="1" applyFill="1" applyBorder="1" applyAlignment="1">
      <alignment horizontal="right" wrapText="1"/>
    </xf>
    <xf numFmtId="43" fontId="37" fillId="41" borderId="21" xfId="28" applyFont="1" applyFill="1" applyBorder="1" applyAlignment="1">
      <alignment horizontal="right" wrapText="1"/>
    </xf>
    <xf numFmtId="43" fontId="37" fillId="41" borderId="21" xfId="0" applyNumberFormat="1" applyFont="1" applyFill="1" applyBorder="1" applyAlignment="1">
      <alignment wrapText="1"/>
    </xf>
    <xf numFmtId="9" fontId="37" fillId="41" borderId="22" xfId="42" applyFont="1" applyFill="1" applyBorder="1" applyAlignment="1">
      <alignment horizontal="right" wrapText="1"/>
    </xf>
    <xf numFmtId="43" fontId="37" fillId="45" borderId="20" xfId="0" applyNumberFormat="1" applyFont="1" applyFill="1" applyBorder="1" applyAlignment="1">
      <alignment horizontal="right" wrapText="1"/>
    </xf>
    <xf numFmtId="43" fontId="44" fillId="45" borderId="21" xfId="0" applyNumberFormat="1" applyFont="1" applyFill="1" applyBorder="1"/>
    <xf numFmtId="0" fontId="44" fillId="45" borderId="21" xfId="0" applyFont="1" applyFill="1" applyBorder="1"/>
    <xf numFmtId="43" fontId="37" fillId="50" borderId="24" xfId="28" applyFont="1" applyFill="1" applyBorder="1" applyAlignment="1">
      <alignment horizontal="right" wrapText="1"/>
    </xf>
    <xf numFmtId="43" fontId="37" fillId="50" borderId="3" xfId="28" applyFont="1" applyFill="1" applyBorder="1" applyAlignment="1">
      <alignment horizontal="right" wrapText="1"/>
    </xf>
    <xf numFmtId="43" fontId="37" fillId="50" borderId="3" xfId="0" applyNumberFormat="1" applyFont="1" applyFill="1" applyBorder="1" applyAlignment="1">
      <alignment wrapText="1"/>
    </xf>
    <xf numFmtId="9" fontId="37" fillId="50" borderId="25" xfId="42" applyFont="1" applyFill="1" applyBorder="1" applyAlignment="1">
      <alignment wrapText="1"/>
    </xf>
    <xf numFmtId="43" fontId="37" fillId="41" borderId="24" xfId="28" applyFont="1" applyFill="1" applyBorder="1" applyAlignment="1">
      <alignment horizontal="right" wrapText="1"/>
    </xf>
    <xf numFmtId="43" fontId="37" fillId="41" borderId="3" xfId="28" applyFont="1" applyFill="1" applyBorder="1" applyAlignment="1">
      <alignment horizontal="right" wrapText="1"/>
    </xf>
    <xf numFmtId="9" fontId="37" fillId="41" borderId="25" xfId="42" applyFont="1" applyFill="1" applyBorder="1" applyAlignment="1">
      <alignment horizontal="right" wrapText="1"/>
    </xf>
    <xf numFmtId="43" fontId="37" fillId="45" borderId="24" xfId="0" applyNumberFormat="1" applyFont="1" applyFill="1" applyBorder="1" applyAlignment="1">
      <alignment horizontal="right" wrapText="1"/>
    </xf>
    <xf numFmtId="43" fontId="37" fillId="45" borderId="3" xfId="0" applyNumberFormat="1" applyFont="1" applyFill="1" applyBorder="1" applyAlignment="1">
      <alignment horizontal="right" wrapText="1"/>
    </xf>
    <xf numFmtId="43" fontId="44" fillId="45" borderId="3" xfId="0" applyNumberFormat="1" applyFont="1" applyFill="1" applyBorder="1"/>
    <xf numFmtId="9" fontId="44" fillId="45" borderId="25" xfId="42" applyFont="1" applyFill="1" applyBorder="1"/>
    <xf numFmtId="0" fontId="30" fillId="51" borderId="27" xfId="0" applyFont="1" applyFill="1" applyBorder="1" applyAlignment="1">
      <alignment vertical="center" wrapText="1"/>
    </xf>
    <xf numFmtId="9" fontId="47" fillId="51" borderId="18" xfId="42" applyFont="1" applyFill="1" applyBorder="1" applyAlignment="1">
      <alignment horizontal="center" vertical="center" wrapText="1"/>
    </xf>
    <xf numFmtId="9" fontId="47" fillId="51" borderId="28" xfId="42" applyFont="1" applyFill="1" applyBorder="1" applyAlignment="1">
      <alignment horizontal="center" vertical="center" wrapText="1"/>
    </xf>
    <xf numFmtId="9" fontId="41" fillId="0" borderId="0" xfId="42" applyFont="1"/>
    <xf numFmtId="0" fontId="47" fillId="51" borderId="16" xfId="0" applyFont="1" applyFill="1" applyBorder="1" applyAlignment="1">
      <alignment horizontal="center" vertical="center" wrapText="1"/>
    </xf>
    <xf numFmtId="0" fontId="47" fillId="51" borderId="17" xfId="0" applyFont="1" applyFill="1" applyBorder="1" applyAlignment="1">
      <alignment horizontal="center" vertical="center" wrapText="1"/>
    </xf>
    <xf numFmtId="0" fontId="47" fillId="51" borderId="29" xfId="0" applyFont="1" applyFill="1" applyBorder="1" applyAlignment="1">
      <alignment horizontal="center" vertical="center" wrapText="1"/>
    </xf>
    <xf numFmtId="0" fontId="43" fillId="0" borderId="50" xfId="0" applyFont="1" applyBorder="1" applyAlignment="1">
      <alignment vertical="center" wrapText="1"/>
    </xf>
    <xf numFmtId="0" fontId="33" fillId="0" borderId="1" xfId="0" applyFont="1" applyBorder="1" applyAlignment="1">
      <alignment horizontal="left"/>
    </xf>
    <xf numFmtId="0" fontId="33" fillId="0" borderId="3" xfId="0" applyFont="1" applyBorder="1" applyAlignment="1">
      <alignment horizontal="left"/>
    </xf>
    <xf numFmtId="0" fontId="33"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43" fontId="37" fillId="41" borderId="1" xfId="0" applyNumberFormat="1" applyFont="1" applyFill="1" applyBorder="1" applyAlignment="1">
      <alignment horizontal="right" wrapText="1"/>
    </xf>
    <xf numFmtId="43" fontId="37" fillId="41" borderId="27" xfId="28" applyFont="1" applyFill="1" applyBorder="1" applyAlignment="1">
      <alignment wrapText="1"/>
    </xf>
    <xf numFmtId="43" fontId="15" fillId="0" borderId="0" xfId="42" applyNumberFormat="1" applyFont="1"/>
    <xf numFmtId="43" fontId="8" fillId="50" borderId="3" xfId="0" applyNumberFormat="1" applyFont="1" applyFill="1" applyBorder="1" applyAlignment="1">
      <alignment wrapText="1"/>
    </xf>
    <xf numFmtId="43" fontId="41" fillId="0" borderId="0" xfId="0" applyNumberFormat="1" applyFont="1"/>
    <xf numFmtId="43" fontId="37" fillId="50" borderId="13" xfId="28" applyFont="1" applyFill="1" applyBorder="1" applyAlignment="1">
      <alignment horizontal="right" wrapText="1"/>
    </xf>
    <xf numFmtId="43" fontId="37" fillId="50" borderId="1" xfId="28" applyFont="1" applyFill="1" applyBorder="1" applyAlignment="1">
      <alignment horizontal="right" wrapText="1"/>
    </xf>
    <xf numFmtId="43" fontId="37" fillId="50" borderId="1" xfId="0" applyNumberFormat="1" applyFont="1" applyFill="1" applyBorder="1" applyAlignment="1">
      <alignment wrapText="1"/>
    </xf>
    <xf numFmtId="43" fontId="37" fillId="50" borderId="2" xfId="28" applyFont="1" applyFill="1" applyBorder="1" applyAlignment="1">
      <alignment wrapText="1"/>
    </xf>
    <xf numFmtId="0" fontId="41" fillId="52" borderId="0" xfId="0" applyFont="1" applyFill="1"/>
    <xf numFmtId="0" fontId="41" fillId="0" borderId="0" xfId="0" applyFont="1" applyBorder="1"/>
    <xf numFmtId="43" fontId="34" fillId="51" borderId="0" xfId="0" applyNumberFormat="1" applyFont="1" applyFill="1" applyBorder="1" applyAlignment="1">
      <alignment vertical="center" wrapText="1"/>
    </xf>
    <xf numFmtId="9" fontId="33" fillId="51" borderId="0" xfId="42" applyFont="1" applyFill="1" applyBorder="1" applyAlignment="1">
      <alignment vertical="center" wrapText="1"/>
    </xf>
    <xf numFmtId="0" fontId="34" fillId="51" borderId="0" xfId="0" applyFont="1" applyFill="1" applyBorder="1" applyAlignment="1">
      <alignment vertical="center" wrapText="1"/>
    </xf>
    <xf numFmtId="0" fontId="37" fillId="0" borderId="23" xfId="0" applyFont="1" applyBorder="1" applyAlignment="1">
      <alignment horizontal="left" wrapText="1"/>
    </xf>
    <xf numFmtId="0" fontId="37" fillId="0" borderId="11" xfId="0" applyFont="1" applyBorder="1" applyAlignment="1">
      <alignment horizontal="left" wrapText="1"/>
    </xf>
    <xf numFmtId="0" fontId="52" fillId="0" borderId="2" xfId="0" applyFont="1" applyBorder="1" applyAlignment="1" applyProtection="1">
      <alignment horizontal="left" vertical="top" wrapText="1"/>
      <protection locked="0"/>
    </xf>
    <xf numFmtId="0" fontId="52" fillId="35" borderId="2" xfId="0" applyFont="1" applyFill="1" applyBorder="1" applyAlignment="1" applyProtection="1">
      <alignment horizontal="left" vertical="top" wrapText="1"/>
      <protection locked="0"/>
    </xf>
    <xf numFmtId="43" fontId="33" fillId="50" borderId="2" xfId="0" applyNumberFormat="1" applyFont="1" applyFill="1" applyBorder="1" applyAlignment="1">
      <alignment vertical="center" wrapText="1"/>
    </xf>
    <xf numFmtId="43" fontId="34" fillId="50" borderId="2" xfId="0" applyNumberFormat="1" applyFont="1" applyFill="1" applyBorder="1" applyAlignment="1">
      <alignment vertical="center" wrapText="1"/>
    </xf>
    <xf numFmtId="9" fontId="34" fillId="50" borderId="2" xfId="42" applyFont="1" applyFill="1" applyBorder="1" applyAlignment="1">
      <alignment vertical="center" wrapText="1"/>
    </xf>
    <xf numFmtId="43" fontId="33" fillId="41" borderId="2" xfId="28" applyFont="1" applyFill="1" applyBorder="1" applyAlignment="1">
      <alignment vertical="center" wrapText="1"/>
    </xf>
    <xf numFmtId="9" fontId="33" fillId="50" borderId="2" xfId="42" applyFont="1" applyFill="1" applyBorder="1" applyAlignment="1">
      <alignment vertical="center" wrapText="1"/>
    </xf>
    <xf numFmtId="0" fontId="41" fillId="0" borderId="0" xfId="0" applyFont="1" applyAlignment="1">
      <alignment horizontal="right"/>
    </xf>
    <xf numFmtId="0" fontId="33" fillId="45" borderId="2" xfId="0" applyFont="1" applyFill="1" applyBorder="1" applyAlignment="1">
      <alignment horizontal="right" vertical="center" wrapText="1"/>
    </xf>
    <xf numFmtId="0" fontId="34" fillId="51" borderId="0" xfId="0" applyFont="1" applyFill="1" applyBorder="1" applyAlignment="1">
      <alignment horizontal="right" vertical="center" wrapText="1"/>
    </xf>
    <xf numFmtId="9" fontId="52" fillId="45" borderId="2" xfId="42" applyFont="1" applyFill="1" applyBorder="1" applyAlignment="1" applyProtection="1">
      <alignment horizontal="right" vertical="center" wrapText="1"/>
      <protection locked="0"/>
    </xf>
    <xf numFmtId="0" fontId="33" fillId="35" borderId="2" xfId="0" applyFont="1" applyFill="1" applyBorder="1" applyAlignment="1">
      <alignment vertical="center" wrapText="1"/>
    </xf>
    <xf numFmtId="0" fontId="48" fillId="35" borderId="2" xfId="0" applyFont="1" applyFill="1" applyBorder="1" applyAlignment="1">
      <alignment horizontal="justify" vertical="center"/>
    </xf>
    <xf numFmtId="9" fontId="33" fillId="45" borderId="2" xfId="42" applyFont="1" applyFill="1" applyBorder="1" applyAlignment="1">
      <alignment horizontal="right" vertical="center" wrapText="1"/>
    </xf>
    <xf numFmtId="43" fontId="33" fillId="35" borderId="2" xfId="0" applyNumberFormat="1" applyFont="1" applyFill="1" applyBorder="1" applyAlignment="1">
      <alignment vertical="center" wrapText="1"/>
    </xf>
    <xf numFmtId="9" fontId="34" fillId="41" borderId="2" xfId="42" applyFont="1" applyFill="1" applyBorder="1" applyAlignment="1">
      <alignment horizontal="right" vertical="center" wrapText="1"/>
    </xf>
    <xf numFmtId="9" fontId="52" fillId="54" borderId="2" xfId="42" applyFont="1" applyFill="1" applyBorder="1" applyAlignment="1" applyProtection="1">
      <alignment horizontal="right" vertical="center" wrapText="1"/>
      <protection locked="0"/>
    </xf>
    <xf numFmtId="43" fontId="34" fillId="51" borderId="0" xfId="28" applyFont="1" applyFill="1" applyBorder="1" applyAlignment="1">
      <alignment vertical="center" wrapText="1"/>
    </xf>
    <xf numFmtId="164" fontId="0" fillId="0" borderId="0" xfId="0" applyNumberFormat="1"/>
    <xf numFmtId="43" fontId="53" fillId="53" borderId="2" xfId="28" applyFont="1" applyFill="1" applyBorder="1" applyAlignment="1" applyProtection="1">
      <alignment horizontal="right" wrapText="1"/>
      <protection locked="0"/>
    </xf>
    <xf numFmtId="43" fontId="34" fillId="41" borderId="2" xfId="28" applyFont="1" applyFill="1" applyBorder="1" applyAlignment="1">
      <alignment vertical="center" wrapText="1"/>
    </xf>
    <xf numFmtId="43" fontId="34" fillId="54" borderId="2" xfId="28" applyFont="1" applyFill="1" applyBorder="1" applyAlignment="1">
      <alignment vertical="center" wrapText="1"/>
    </xf>
    <xf numFmtId="9" fontId="34" fillId="54" borderId="2" xfId="42" applyFont="1" applyFill="1" applyBorder="1" applyAlignment="1">
      <alignment vertical="center" wrapText="1"/>
    </xf>
    <xf numFmtId="4" fontId="34" fillId="50" borderId="2" xfId="0" applyNumberFormat="1" applyFont="1" applyFill="1" applyBorder="1" applyAlignment="1">
      <alignment vertical="center" wrapText="1"/>
    </xf>
    <xf numFmtId="43" fontId="48" fillId="41" borderId="2" xfId="28" applyFont="1" applyFill="1" applyBorder="1" applyAlignment="1">
      <alignment vertical="center" wrapText="1"/>
    </xf>
    <xf numFmtId="43" fontId="52" fillId="41" borderId="2" xfId="28" applyFont="1" applyFill="1" applyBorder="1" applyAlignment="1" applyProtection="1">
      <alignment vertical="center" wrapText="1"/>
      <protection locked="0"/>
    </xf>
    <xf numFmtId="43" fontId="34" fillId="51" borderId="2" xfId="0" applyNumberFormat="1" applyFont="1" applyFill="1" applyBorder="1" applyAlignment="1">
      <alignment vertical="center" wrapText="1"/>
    </xf>
    <xf numFmtId="43" fontId="34" fillId="51" borderId="2" xfId="28" applyFont="1" applyFill="1" applyBorder="1" applyAlignment="1">
      <alignment vertical="center" wrapText="1"/>
    </xf>
    <xf numFmtId="164" fontId="41" fillId="0" borderId="0" xfId="0" applyNumberFormat="1" applyFont="1"/>
    <xf numFmtId="43" fontId="33" fillId="54" borderId="2" xfId="28" applyFont="1" applyFill="1" applyBorder="1" applyAlignment="1">
      <alignment vertical="center" wrapText="1"/>
    </xf>
    <xf numFmtId="167" fontId="45" fillId="33" borderId="18" xfId="42" applyNumberFormat="1" applyFont="1" applyFill="1" applyBorder="1" applyAlignment="1">
      <alignment wrapText="1"/>
    </xf>
    <xf numFmtId="167" fontId="44" fillId="45" borderId="25" xfId="42" applyNumberFormat="1" applyFont="1" applyFill="1" applyBorder="1"/>
    <xf numFmtId="0" fontId="34" fillId="51" borderId="2" xfId="0" applyFont="1" applyFill="1" applyBorder="1" applyAlignment="1">
      <alignment vertical="center" wrapText="1"/>
    </xf>
    <xf numFmtId="9" fontId="34" fillId="51" borderId="2" xfId="42" applyFont="1" applyFill="1" applyBorder="1" applyAlignment="1">
      <alignment vertical="center" wrapText="1"/>
    </xf>
    <xf numFmtId="0" fontId="33" fillId="0" borderId="2" xfId="0" applyFont="1" applyBorder="1" applyAlignment="1">
      <alignment vertical="center" wrapText="1"/>
    </xf>
    <xf numFmtId="0" fontId="34" fillId="50" borderId="2" xfId="0" applyFont="1" applyFill="1" applyBorder="1" applyAlignment="1">
      <alignment horizontal="center" vertical="center" wrapText="1"/>
    </xf>
    <xf numFmtId="0" fontId="30" fillId="50" borderId="2" xfId="0" applyFont="1" applyFill="1" applyBorder="1" applyAlignment="1">
      <alignment horizontal="center" vertical="center" wrapText="1"/>
    </xf>
    <xf numFmtId="165" fontId="30" fillId="50" borderId="2" xfId="28" applyNumberFormat="1" applyFont="1" applyFill="1" applyBorder="1" applyAlignment="1">
      <alignment horizontal="center" vertical="center" wrapText="1"/>
    </xf>
    <xf numFmtId="9" fontId="30" fillId="50" borderId="2" xfId="42" applyFont="1" applyFill="1" applyBorder="1" applyAlignment="1">
      <alignment horizontal="center" vertical="center" wrapText="1"/>
    </xf>
    <xf numFmtId="43" fontId="34" fillId="41" borderId="2" xfId="28" applyFont="1" applyFill="1" applyBorder="1" applyAlignment="1">
      <alignment horizontal="center" vertical="center" wrapText="1"/>
    </xf>
    <xf numFmtId="43" fontId="30" fillId="41" borderId="2" xfId="28" applyFont="1" applyFill="1" applyBorder="1" applyAlignment="1">
      <alignment horizontal="center" vertical="center" wrapText="1"/>
    </xf>
    <xf numFmtId="165" fontId="30" fillId="41" borderId="2" xfId="28" applyNumberFormat="1" applyFont="1" applyFill="1" applyBorder="1" applyAlignment="1">
      <alignment horizontal="center" vertical="center" wrapText="1"/>
    </xf>
    <xf numFmtId="9" fontId="30" fillId="41" borderId="2" xfId="42" applyFont="1" applyFill="1" applyBorder="1" applyAlignment="1">
      <alignment horizontal="center" vertical="center" wrapText="1"/>
    </xf>
    <xf numFmtId="0" fontId="33" fillId="45" borderId="2" xfId="0" applyFont="1" applyFill="1" applyBorder="1" applyAlignment="1">
      <alignment vertical="center" wrapText="1"/>
    </xf>
    <xf numFmtId="0" fontId="34" fillId="54" borderId="2" xfId="0" applyFont="1" applyFill="1" applyBorder="1" applyAlignment="1">
      <alignment vertical="center" wrapText="1"/>
    </xf>
    <xf numFmtId="43" fontId="34" fillId="54" borderId="2" xfId="0" applyNumberFormat="1" applyFont="1" applyFill="1" applyBorder="1" applyAlignment="1">
      <alignment vertical="center" wrapText="1"/>
    </xf>
    <xf numFmtId="0" fontId="33" fillId="54" borderId="2" xfId="0" applyFont="1" applyFill="1" applyBorder="1" applyAlignment="1">
      <alignment vertical="center" wrapText="1"/>
    </xf>
    <xf numFmtId="9" fontId="34" fillId="41" borderId="2" xfId="42" applyFont="1" applyFill="1" applyBorder="1" applyAlignment="1">
      <alignment vertical="center" wrapText="1"/>
    </xf>
    <xf numFmtId="43" fontId="41" fillId="41" borderId="2" xfId="28" applyFont="1" applyFill="1" applyBorder="1" applyAlignment="1">
      <alignment vertical="center" wrapText="1"/>
    </xf>
    <xf numFmtId="0" fontId="33" fillId="45" borderId="2" xfId="0" applyFont="1" applyFill="1" applyBorder="1" applyAlignment="1">
      <alignment vertical="top" wrapText="1"/>
    </xf>
    <xf numFmtId="9" fontId="33" fillId="54" borderId="2" xfId="42" applyFont="1" applyFill="1" applyBorder="1" applyAlignment="1">
      <alignment horizontal="right" vertical="center" wrapText="1"/>
    </xf>
    <xf numFmtId="0" fontId="4" fillId="35" borderId="2" xfId="0" applyFont="1" applyFill="1" applyBorder="1" applyAlignment="1">
      <alignment vertical="center" wrapText="1"/>
    </xf>
    <xf numFmtId="43" fontId="35" fillId="41" borderId="2" xfId="28" applyFont="1" applyFill="1" applyBorder="1" applyAlignment="1">
      <alignment vertical="center" wrapText="1"/>
    </xf>
    <xf numFmtId="43" fontId="49" fillId="41" borderId="2" xfId="28" applyFont="1" applyFill="1" applyBorder="1" applyAlignment="1">
      <alignment vertical="center" wrapText="1"/>
    </xf>
    <xf numFmtId="43" fontId="40" fillId="50" borderId="2" xfId="28" applyFont="1" applyFill="1" applyBorder="1" applyAlignment="1">
      <alignment horizontal="center" vertical="center"/>
    </xf>
    <xf numFmtId="43" fontId="34" fillId="50" borderId="2" xfId="28" applyFont="1" applyFill="1" applyBorder="1" applyAlignment="1">
      <alignment vertical="center" wrapText="1"/>
    </xf>
    <xf numFmtId="0" fontId="33" fillId="50" borderId="2" xfId="0" applyFont="1" applyFill="1" applyBorder="1" applyAlignment="1">
      <alignment vertical="center" wrapText="1"/>
    </xf>
    <xf numFmtId="0" fontId="34" fillId="35" borderId="2" xfId="0" applyFont="1" applyFill="1" applyBorder="1" applyAlignment="1">
      <alignment vertical="center" wrapText="1"/>
    </xf>
    <xf numFmtId="0" fontId="34" fillId="45" borderId="2" xfId="0" applyFont="1" applyFill="1" applyBorder="1" applyAlignment="1">
      <alignment vertical="center" wrapText="1"/>
    </xf>
    <xf numFmtId="0" fontId="34" fillId="51" borderId="2" xfId="0" applyFont="1" applyFill="1" applyBorder="1" applyAlignment="1">
      <alignment horizontal="left" vertical="center" wrapText="1"/>
    </xf>
    <xf numFmtId="0" fontId="48" fillId="35" borderId="2" xfId="0" applyFont="1" applyFill="1" applyBorder="1" applyAlignment="1">
      <alignment horizontal="justify" vertical="center" wrapText="1"/>
    </xf>
    <xf numFmtId="166" fontId="34" fillId="51" borderId="2" xfId="0" applyNumberFormat="1" applyFont="1" applyFill="1" applyBorder="1" applyAlignment="1">
      <alignment vertical="center" wrapText="1"/>
    </xf>
    <xf numFmtId="9" fontId="34" fillId="54" borderId="2" xfId="42" applyFont="1" applyFill="1" applyBorder="1" applyAlignment="1">
      <alignment horizontal="right" vertical="center" wrapText="1"/>
    </xf>
    <xf numFmtId="43" fontId="33" fillId="54" borderId="2" xfId="0" applyNumberFormat="1" applyFont="1" applyFill="1" applyBorder="1" applyAlignment="1">
      <alignment vertical="center" wrapText="1"/>
    </xf>
    <xf numFmtId="167" fontId="34" fillId="51" borderId="2" xfId="42" applyNumberFormat="1" applyFont="1" applyFill="1" applyBorder="1" applyAlignment="1">
      <alignment vertical="center" wrapText="1"/>
    </xf>
    <xf numFmtId="0" fontId="34" fillId="51" borderId="2" xfId="0" applyFont="1" applyFill="1" applyBorder="1" applyAlignment="1">
      <alignment vertical="center" wrapText="1"/>
    </xf>
    <xf numFmtId="9" fontId="30" fillId="51" borderId="36" xfId="42" applyFont="1" applyFill="1" applyBorder="1" applyAlignment="1">
      <alignment horizontal="center" vertical="center" wrapText="1"/>
    </xf>
    <xf numFmtId="9" fontId="30" fillId="51" borderId="37" xfId="42" applyFont="1" applyFill="1" applyBorder="1" applyAlignment="1">
      <alignment horizontal="center" vertical="center" wrapText="1"/>
    </xf>
    <xf numFmtId="0" fontId="47" fillId="51" borderId="38" xfId="0" applyFont="1" applyFill="1" applyBorder="1" applyAlignment="1">
      <alignment horizontal="center" vertical="center" wrapText="1"/>
    </xf>
    <xf numFmtId="0" fontId="47" fillId="51" borderId="4" xfId="0" applyFont="1" applyFill="1" applyBorder="1" applyAlignment="1">
      <alignment horizontal="center" vertical="center" wrapText="1"/>
    </xf>
    <xf numFmtId="0" fontId="47" fillId="51" borderId="31" xfId="0" applyFont="1" applyFill="1" applyBorder="1" applyAlignment="1">
      <alignment horizontal="center" vertical="center" wrapText="1"/>
    </xf>
    <xf numFmtId="0" fontId="47" fillId="51" borderId="29" xfId="0" applyFont="1" applyFill="1" applyBorder="1" applyAlignment="1">
      <alignment horizontal="center" vertical="center" wrapText="1"/>
    </xf>
    <xf numFmtId="0" fontId="30" fillId="51" borderId="31" xfId="0" applyFont="1" applyFill="1" applyBorder="1" applyAlignment="1">
      <alignment horizontal="center" vertical="center" wrapText="1"/>
    </xf>
    <xf numFmtId="0" fontId="30" fillId="51" borderId="29" xfId="0" applyFont="1" applyFill="1" applyBorder="1" applyAlignment="1">
      <alignment horizontal="center" vertical="center" wrapText="1"/>
    </xf>
    <xf numFmtId="0" fontId="44" fillId="45" borderId="1" xfId="0" applyFont="1" applyFill="1" applyBorder="1" applyAlignment="1">
      <alignment horizontal="left" vertical="center" wrapText="1"/>
    </xf>
    <xf numFmtId="0" fontId="47" fillId="51" borderId="16" xfId="0" applyFont="1" applyFill="1" applyBorder="1" applyAlignment="1">
      <alignment horizontal="center" vertical="center" wrapText="1"/>
    </xf>
    <xf numFmtId="0" fontId="47" fillId="51" borderId="17" xfId="0" applyFont="1" applyFill="1" applyBorder="1" applyAlignment="1">
      <alignment horizontal="center" vertical="center" wrapText="1"/>
    </xf>
    <xf numFmtId="0" fontId="47" fillId="51" borderId="18" xfId="0" applyFont="1" applyFill="1" applyBorder="1" applyAlignment="1">
      <alignment horizontal="center" vertical="center" wrapText="1"/>
    </xf>
    <xf numFmtId="0" fontId="47" fillId="51" borderId="30" xfId="0" applyFont="1" applyFill="1" applyBorder="1" applyAlignment="1">
      <alignment horizontal="center" vertical="center" wrapText="1"/>
    </xf>
    <xf numFmtId="0" fontId="47" fillId="51" borderId="32" xfId="0" applyFont="1" applyFill="1" applyBorder="1" applyAlignment="1">
      <alignment horizontal="center" vertical="center" wrapText="1"/>
    </xf>
    <xf numFmtId="0" fontId="47" fillId="51" borderId="33" xfId="0" applyFont="1" applyFill="1" applyBorder="1" applyAlignment="1">
      <alignment horizontal="center" vertical="center" wrapText="1"/>
    </xf>
    <xf numFmtId="0" fontId="47" fillId="51" borderId="34" xfId="0" applyFont="1" applyFill="1" applyBorder="1" applyAlignment="1">
      <alignment horizontal="center" vertical="center" wrapText="1"/>
    </xf>
    <xf numFmtId="0" fontId="46" fillId="33" borderId="17" xfId="0" applyFont="1" applyFill="1" applyBorder="1" applyAlignment="1">
      <alignment horizontal="left" vertical="center" wrapText="1"/>
    </xf>
    <xf numFmtId="0" fontId="44" fillId="45" borderId="3" xfId="0" applyFont="1" applyFill="1" applyBorder="1" applyAlignment="1">
      <alignment horizontal="left" vertical="center" wrapText="1"/>
    </xf>
    <xf numFmtId="0" fontId="50" fillId="45" borderId="2" xfId="0" applyFont="1" applyFill="1" applyBorder="1" applyAlignment="1">
      <alignment horizontal="left" wrapText="1"/>
    </xf>
    <xf numFmtId="0" fontId="44" fillId="45" borderId="2" xfId="0" applyFont="1" applyFill="1" applyBorder="1" applyAlignment="1">
      <alignment horizontal="left" vertical="center" wrapText="1"/>
    </xf>
    <xf numFmtId="0" fontId="51" fillId="51" borderId="35" xfId="0" applyFont="1" applyFill="1" applyBorder="1" applyAlignment="1">
      <alignment horizontal="center" vertical="center" wrapText="1"/>
    </xf>
    <xf numFmtId="0" fontId="44" fillId="45" borderId="2" xfId="0" applyFont="1" applyFill="1" applyBorder="1" applyAlignment="1">
      <alignment horizontal="left" wrapText="1"/>
    </xf>
    <xf numFmtId="0" fontId="4" fillId="0" borderId="2" xfId="0" applyFont="1" applyBorder="1" applyAlignment="1">
      <alignment horizontal="center" vertical="center" wrapText="1"/>
    </xf>
    <xf numFmtId="0" fontId="34" fillId="38" borderId="1" xfId="0" applyFont="1" applyFill="1" applyBorder="1" applyAlignment="1">
      <alignment horizontal="center"/>
    </xf>
    <xf numFmtId="0" fontId="4" fillId="0" borderId="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3" xfId="0" applyFont="1" applyBorder="1" applyAlignment="1">
      <alignment horizontal="center" vertical="center" wrapText="1"/>
    </xf>
    <xf numFmtId="0" fontId="33" fillId="35" borderId="1"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3" xfId="0" applyFont="1" applyFill="1" applyBorder="1" applyAlignment="1">
      <alignment horizontal="center" vertical="center" wrapText="1"/>
    </xf>
    <xf numFmtId="0" fontId="33" fillId="0" borderId="15"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2" xfId="0" applyFont="1" applyBorder="1" applyAlignment="1">
      <alignment horizontal="center" vertical="center" wrapText="1"/>
    </xf>
    <xf numFmtId="165" fontId="34" fillId="45" borderId="1" xfId="28" applyNumberFormat="1" applyFont="1" applyFill="1" applyBorder="1" applyAlignment="1">
      <alignment horizontal="center"/>
    </xf>
    <xf numFmtId="0" fontId="34" fillId="36" borderId="1" xfId="0" applyFont="1" applyFill="1" applyBorder="1" applyAlignment="1">
      <alignment horizontal="center"/>
    </xf>
    <xf numFmtId="0" fontId="34" fillId="0" borderId="5" xfId="0" applyFont="1" applyBorder="1" applyAlignment="1">
      <alignment horizontal="center" vertical="center" wrapText="1"/>
    </xf>
    <xf numFmtId="0" fontId="34" fillId="0" borderId="26" xfId="0" applyFont="1" applyBorder="1" applyAlignment="1">
      <alignment horizontal="center" vertical="center" wrapText="1"/>
    </xf>
    <xf numFmtId="0" fontId="37" fillId="0" borderId="38" xfId="0" applyFont="1" applyBorder="1" applyAlignment="1">
      <alignment horizontal="left" vertical="center" wrapText="1"/>
    </xf>
    <xf numFmtId="0" fontId="37" fillId="0" borderId="20" xfId="0" applyFont="1" applyBorder="1" applyAlignment="1">
      <alignment horizontal="left" vertical="center" wrapText="1"/>
    </xf>
    <xf numFmtId="0" fontId="37" fillId="0" borderId="4" xfId="0" applyFont="1" applyBorder="1" applyAlignment="1">
      <alignment horizontal="left" vertical="center" wrapText="1"/>
    </xf>
    <xf numFmtId="0" fontId="37" fillId="0" borderId="38" xfId="0" applyFont="1" applyBorder="1" applyAlignment="1">
      <alignment horizontal="center" vertical="center" wrapText="1"/>
    </xf>
    <xf numFmtId="0" fontId="37" fillId="0" borderId="4" xfId="0" applyFont="1" applyBorder="1" applyAlignment="1">
      <alignment horizontal="center" vertical="center" wrapText="1"/>
    </xf>
    <xf numFmtId="0" fontId="43" fillId="0" borderId="51" xfId="0" applyFont="1" applyBorder="1" applyAlignment="1">
      <alignment vertical="center" wrapText="1"/>
    </xf>
    <xf numFmtId="0" fontId="43" fillId="0" borderId="50" xfId="0" applyFont="1" applyBorder="1" applyAlignment="1">
      <alignment vertical="center" wrapText="1"/>
    </xf>
    <xf numFmtId="43" fontId="33" fillId="37" borderId="6" xfId="0" applyNumberFormat="1" applyFont="1" applyFill="1" applyBorder="1" applyAlignment="1">
      <alignment horizontal="center"/>
    </xf>
    <xf numFmtId="43" fontId="33" fillId="37" borderId="39" xfId="0" applyNumberFormat="1" applyFont="1" applyFill="1" applyBorder="1" applyAlignment="1">
      <alignment horizontal="center"/>
    </xf>
    <xf numFmtId="43" fontId="33" fillId="37" borderId="10" xfId="0" applyNumberFormat="1" applyFont="1" applyFill="1" applyBorder="1" applyAlignment="1">
      <alignment horizontal="center"/>
    </xf>
    <xf numFmtId="165" fontId="33" fillId="37" borderId="6" xfId="28" applyNumberFormat="1" applyFont="1" applyFill="1" applyBorder="1" applyAlignment="1">
      <alignment horizontal="center"/>
    </xf>
    <xf numFmtId="165" fontId="33" fillId="37" borderId="39" xfId="28" applyNumberFormat="1" applyFont="1" applyFill="1" applyBorder="1" applyAlignment="1">
      <alignment horizontal="center"/>
    </xf>
    <xf numFmtId="165" fontId="33" fillId="37" borderId="10" xfId="28" applyNumberFormat="1" applyFont="1" applyFill="1" applyBorder="1" applyAlignment="1">
      <alignment horizontal="center"/>
    </xf>
    <xf numFmtId="0" fontId="33" fillId="0" borderId="1" xfId="0" applyFont="1" applyBorder="1" applyAlignment="1">
      <alignment horizontal="left"/>
    </xf>
    <xf numFmtId="0" fontId="33" fillId="0" borderId="21" xfId="0" applyFont="1" applyBorder="1" applyAlignment="1">
      <alignment horizontal="left"/>
    </xf>
    <xf numFmtId="0" fontId="33" fillId="0" borderId="3" xfId="0" applyFont="1" applyBorder="1" applyAlignment="1">
      <alignment horizontal="left"/>
    </xf>
    <xf numFmtId="43" fontId="4" fillId="37" borderId="6" xfId="0" applyNumberFormat="1" applyFont="1" applyFill="1" applyBorder="1" applyAlignment="1">
      <alignment horizontal="center"/>
    </xf>
    <xf numFmtId="43" fontId="4" fillId="37" borderId="39" xfId="0" applyNumberFormat="1" applyFont="1" applyFill="1" applyBorder="1" applyAlignment="1">
      <alignment horizontal="center"/>
    </xf>
    <xf numFmtId="43" fontId="4" fillId="37" borderId="10" xfId="0" applyNumberFormat="1" applyFont="1" applyFill="1" applyBorder="1" applyAlignment="1">
      <alignment horizontal="center"/>
    </xf>
    <xf numFmtId="0" fontId="33" fillId="0" borderId="2" xfId="0" applyFont="1" applyBorder="1" applyAlignment="1">
      <alignment horizontal="center"/>
    </xf>
    <xf numFmtId="0" fontId="43" fillId="0" borderId="52" xfId="0" applyFont="1" applyBorder="1" applyAlignment="1">
      <alignment vertical="center" wrapText="1"/>
    </xf>
    <xf numFmtId="0" fontId="8" fillId="0" borderId="2" xfId="0" applyFont="1" applyBorder="1" applyAlignment="1">
      <alignment horizontal="left" vertical="center" wrapText="1"/>
    </xf>
    <xf numFmtId="0" fontId="37" fillId="0" borderId="2" xfId="0" applyFont="1" applyBorder="1" applyAlignment="1">
      <alignment horizontal="left" vertical="center" wrapText="1"/>
    </xf>
    <xf numFmtId="0" fontId="8" fillId="0" borderId="20" xfId="0" applyFont="1" applyBorder="1" applyAlignment="1">
      <alignment horizontal="left" vertical="center" wrapText="1"/>
    </xf>
  </cellXfs>
  <cellStyles count="11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Explanatory Text" xfId="30" builtinId="53" customBuilti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Input" xfId="36" builtinId="20" customBuiltin="1"/>
    <cellStyle name="Linked Cell" xfId="37" builtinId="24" customBuiltin="1"/>
    <cellStyle name="Neutral 2" xfId="38" xr:uid="{00000000-0005-0000-0000-00006A000000}"/>
    <cellStyle name="Normal" xfId="0" builtinId="0"/>
    <cellStyle name="Normal 2 2" xfId="39" xr:uid="{00000000-0005-0000-0000-00006C000000}"/>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D62"/>
  <sheetViews>
    <sheetView tabSelected="1" topLeftCell="A7" zoomScale="70" zoomScaleNormal="70" zoomScaleSheetLayoutView="100" workbookViewId="0">
      <pane xSplit="1" ySplit="2" topLeftCell="B15" activePane="bottomRight" state="frozen"/>
      <selection activeCell="A7" sqref="A7"/>
      <selection pane="topRight" activeCell="B7" sqref="B7"/>
      <selection pane="bottomLeft" activeCell="A9" sqref="A9"/>
      <selection pane="bottomRight" activeCell="J21" sqref="J21"/>
    </sheetView>
  </sheetViews>
  <sheetFormatPr defaultColWidth="8.453125" defaultRowHeight="13" outlineLevelRow="1"/>
  <cols>
    <col min="1" max="1" width="21.453125" style="125" customWidth="1"/>
    <col min="2" max="2" width="70.36328125" style="125" customWidth="1"/>
    <col min="3" max="4" width="20.453125" style="125" customWidth="1"/>
    <col min="5" max="5" width="19" style="125" customWidth="1"/>
    <col min="6" max="6" width="18.453125" style="214" customWidth="1"/>
    <col min="7" max="7" width="19.453125" style="127" bestFit="1" customWidth="1"/>
    <col min="8" max="9" width="25.453125" style="127" customWidth="1"/>
    <col min="10" max="10" width="20.453125" style="214" customWidth="1"/>
    <col min="11" max="11" width="25.453125" style="247" customWidth="1"/>
    <col min="12" max="12" width="26.453125" style="125" customWidth="1"/>
    <col min="13" max="15" width="28.453125" style="125" customWidth="1"/>
    <col min="16" max="16" width="34.453125" style="125" customWidth="1"/>
    <col min="17" max="16384" width="8.453125" style="125"/>
  </cols>
  <sheetData>
    <row r="1" spans="1:14">
      <c r="A1" s="124" t="s">
        <v>0</v>
      </c>
      <c r="B1" s="124"/>
    </row>
    <row r="2" spans="1:14">
      <c r="A2" s="124"/>
      <c r="B2" s="124"/>
    </row>
    <row r="3" spans="1:14">
      <c r="A3" s="126"/>
      <c r="B3" s="124"/>
    </row>
    <row r="5" spans="1:14">
      <c r="A5" s="124" t="s">
        <v>1</v>
      </c>
    </row>
    <row r="7" spans="1:14" ht="80.25" customHeight="1">
      <c r="A7" s="274" t="s">
        <v>2</v>
      </c>
      <c r="B7" s="274" t="s">
        <v>3</v>
      </c>
      <c r="C7" s="275" t="s">
        <v>4</v>
      </c>
      <c r="D7" s="276" t="s">
        <v>5</v>
      </c>
      <c r="E7" s="277" t="s">
        <v>6</v>
      </c>
      <c r="F7" s="278" t="s">
        <v>7</v>
      </c>
      <c r="G7" s="279" t="s">
        <v>8</v>
      </c>
      <c r="H7" s="280" t="s">
        <v>9</v>
      </c>
      <c r="I7" s="281" t="s">
        <v>10</v>
      </c>
      <c r="J7" s="282" t="s">
        <v>7</v>
      </c>
      <c r="K7" s="248" t="s">
        <v>11</v>
      </c>
      <c r="L7" s="283" t="s">
        <v>12</v>
      </c>
    </row>
    <row r="8" spans="1:14" ht="26" customHeight="1">
      <c r="A8" s="305" t="s">
        <v>310</v>
      </c>
      <c r="B8" s="305"/>
      <c r="C8" s="305"/>
      <c r="D8" s="305"/>
      <c r="E8" s="305"/>
      <c r="F8" s="305"/>
      <c r="G8" s="305"/>
      <c r="H8" s="305"/>
      <c r="I8" s="305"/>
      <c r="J8" s="305"/>
      <c r="K8" s="305"/>
      <c r="L8" s="305"/>
    </row>
    <row r="9" spans="1:14" ht="57.5" customHeight="1">
      <c r="A9" s="284" t="s">
        <v>13</v>
      </c>
      <c r="B9" s="284" t="s">
        <v>311</v>
      </c>
      <c r="C9" s="285">
        <v>438000</v>
      </c>
      <c r="D9" s="285">
        <f>D10+D11+D12+D13+D14+D15+D16</f>
        <v>481043.49</v>
      </c>
      <c r="E9" s="285"/>
      <c r="F9" s="262">
        <f>(D9+E9)/C9</f>
        <v>1.0982728082191782</v>
      </c>
      <c r="G9" s="261">
        <v>0</v>
      </c>
      <c r="H9" s="261"/>
      <c r="I9" s="261"/>
      <c r="J9" s="262">
        <v>0</v>
      </c>
      <c r="K9" s="256"/>
      <c r="L9" s="286"/>
    </row>
    <row r="10" spans="1:14" ht="54" customHeight="1" outlineLevel="1">
      <c r="A10" s="251" t="s">
        <v>14</v>
      </c>
      <c r="B10" s="240" t="s">
        <v>15</v>
      </c>
      <c r="C10" s="242">
        <v>16000</v>
      </c>
      <c r="D10" s="243">
        <v>16000</v>
      </c>
      <c r="E10" s="243"/>
      <c r="F10" s="244">
        <f>(D10+E10)/C10</f>
        <v>1</v>
      </c>
      <c r="G10" s="245">
        <v>0</v>
      </c>
      <c r="H10" s="245"/>
      <c r="I10" s="245"/>
      <c r="J10" s="287">
        <v>0</v>
      </c>
      <c r="K10" s="250">
        <v>1</v>
      </c>
      <c r="L10" s="283"/>
    </row>
    <row r="11" spans="1:14" ht="100" customHeight="1" outlineLevel="1">
      <c r="A11" s="251" t="s">
        <v>16</v>
      </c>
      <c r="B11" s="240" t="s">
        <v>17</v>
      </c>
      <c r="C11" s="242">
        <v>36000</v>
      </c>
      <c r="D11" s="243">
        <v>29200</v>
      </c>
      <c r="E11" s="242"/>
      <c r="F11" s="244">
        <f t="shared" ref="F11:F24" si="0">(D11+E11)/C11</f>
        <v>0.81111111111111112</v>
      </c>
      <c r="G11" s="245">
        <v>0</v>
      </c>
      <c r="H11" s="245"/>
      <c r="I11" s="245"/>
      <c r="J11" s="287">
        <v>0</v>
      </c>
      <c r="K11" s="250">
        <v>1</v>
      </c>
      <c r="L11" s="283"/>
    </row>
    <row r="12" spans="1:14" ht="115.5" customHeight="1" outlineLevel="1">
      <c r="A12" s="251" t="s">
        <v>18</v>
      </c>
      <c r="B12" s="240" t="s">
        <v>312</v>
      </c>
      <c r="C12" s="242">
        <v>32000</v>
      </c>
      <c r="D12" s="243">
        <v>32000</v>
      </c>
      <c r="E12" s="242"/>
      <c r="F12" s="244">
        <f t="shared" si="0"/>
        <v>1</v>
      </c>
      <c r="G12" s="245">
        <v>0</v>
      </c>
      <c r="H12" s="288"/>
      <c r="I12" s="288"/>
      <c r="J12" s="287">
        <v>0</v>
      </c>
      <c r="K12" s="250">
        <v>0.8</v>
      </c>
      <c r="L12" s="283"/>
    </row>
    <row r="13" spans="1:14" ht="56" customHeight="1" outlineLevel="1">
      <c r="A13" s="251" t="s">
        <v>19</v>
      </c>
      <c r="B13" s="240" t="s">
        <v>316</v>
      </c>
      <c r="C13" s="242">
        <v>90000</v>
      </c>
      <c r="D13" s="243">
        <v>117386.05</v>
      </c>
      <c r="E13" s="242"/>
      <c r="F13" s="244">
        <f t="shared" si="0"/>
        <v>1.3042894444444444</v>
      </c>
      <c r="G13" s="245">
        <v>0</v>
      </c>
      <c r="H13" s="245"/>
      <c r="I13" s="245"/>
      <c r="J13" s="287">
        <v>0</v>
      </c>
      <c r="K13" s="250">
        <v>0.8</v>
      </c>
      <c r="L13" s="289" t="s">
        <v>331</v>
      </c>
      <c r="M13" s="268"/>
    </row>
    <row r="14" spans="1:14" ht="49" customHeight="1" outlineLevel="1">
      <c r="A14" s="251" t="s">
        <v>20</v>
      </c>
      <c r="B14" s="240" t="s">
        <v>313</v>
      </c>
      <c r="C14" s="242">
        <v>70000</v>
      </c>
      <c r="D14" s="243">
        <v>68125</v>
      </c>
      <c r="E14" s="242"/>
      <c r="F14" s="244">
        <f t="shared" si="0"/>
        <v>0.9732142857142857</v>
      </c>
      <c r="G14" s="245">
        <v>0</v>
      </c>
      <c r="H14" s="245"/>
      <c r="I14" s="245"/>
      <c r="J14" s="287">
        <v>0</v>
      </c>
      <c r="K14" s="250">
        <v>0.8</v>
      </c>
      <c r="L14" s="283"/>
      <c r="M14" s="268">
        <f>C12-D12</f>
        <v>0</v>
      </c>
      <c r="N14" s="268">
        <f>D13-M14</f>
        <v>117386.05</v>
      </c>
    </row>
    <row r="15" spans="1:14" ht="108.5" customHeight="1" outlineLevel="1">
      <c r="A15" s="251" t="s">
        <v>21</v>
      </c>
      <c r="B15" s="240" t="s">
        <v>314</v>
      </c>
      <c r="C15" s="242">
        <v>90000</v>
      </c>
      <c r="D15" s="243">
        <v>90000</v>
      </c>
      <c r="E15" s="242"/>
      <c r="F15" s="244">
        <f t="shared" si="0"/>
        <v>1</v>
      </c>
      <c r="G15" s="245">
        <f>-G14-G128</f>
        <v>0</v>
      </c>
      <c r="H15" s="245"/>
      <c r="I15" s="245"/>
      <c r="J15" s="287">
        <v>0</v>
      </c>
      <c r="K15" s="250">
        <v>1</v>
      </c>
      <c r="L15" s="283"/>
    </row>
    <row r="16" spans="1:14" ht="74" customHeight="1" outlineLevel="1">
      <c r="A16" s="251" t="s">
        <v>22</v>
      </c>
      <c r="B16" s="241" t="s">
        <v>315</v>
      </c>
      <c r="C16" s="242">
        <v>104000</v>
      </c>
      <c r="D16" s="243">
        <v>128332.44</v>
      </c>
      <c r="E16" s="242"/>
      <c r="F16" s="244">
        <f t="shared" si="0"/>
        <v>1.2339657692307693</v>
      </c>
      <c r="G16" s="245">
        <v>0</v>
      </c>
      <c r="H16" s="245"/>
      <c r="I16" s="245"/>
      <c r="J16" s="287">
        <v>0</v>
      </c>
      <c r="K16" s="250">
        <v>1</v>
      </c>
      <c r="L16" s="283" t="s">
        <v>331</v>
      </c>
      <c r="M16" s="268"/>
    </row>
    <row r="17" spans="1:30" ht="47" customHeight="1">
      <c r="A17" s="284" t="s">
        <v>23</v>
      </c>
      <c r="B17" s="284" t="s">
        <v>317</v>
      </c>
      <c r="C17" s="261">
        <f>SUM(C18:C24)</f>
        <v>279000</v>
      </c>
      <c r="D17" s="261">
        <f>D18+D19+D20+D21+D22+D23+D24</f>
        <v>277241.59999999998</v>
      </c>
      <c r="E17" s="261"/>
      <c r="F17" s="262">
        <f t="shared" si="0"/>
        <v>0.99369749103942639</v>
      </c>
      <c r="G17" s="261">
        <f>SUM(G18:G24)</f>
        <v>0</v>
      </c>
      <c r="H17" s="261"/>
      <c r="I17" s="261"/>
      <c r="J17" s="262">
        <v>0</v>
      </c>
      <c r="K17" s="290">
        <v>0.8</v>
      </c>
      <c r="L17" s="269">
        <f>SUM(L18:L24)</f>
        <v>0</v>
      </c>
    </row>
    <row r="18" spans="1:30" ht="77.5" outlineLevel="1">
      <c r="A18" s="251" t="s">
        <v>24</v>
      </c>
      <c r="B18" s="240" t="s">
        <v>318</v>
      </c>
      <c r="C18" s="263">
        <v>19000</v>
      </c>
      <c r="D18" s="243">
        <v>19000</v>
      </c>
      <c r="E18" s="243"/>
      <c r="F18" s="244">
        <f>(D18+E18)/C18</f>
        <v>1</v>
      </c>
      <c r="G18" s="245">
        <v>0</v>
      </c>
      <c r="H18" s="245"/>
      <c r="I18" s="245"/>
      <c r="J18" s="287">
        <v>0</v>
      </c>
      <c r="K18" s="250">
        <v>0.8</v>
      </c>
      <c r="L18" s="283"/>
    </row>
    <row r="19" spans="1:30" ht="93" outlineLevel="1">
      <c r="A19" s="251" t="s">
        <v>25</v>
      </c>
      <c r="B19" s="240" t="s">
        <v>319</v>
      </c>
      <c r="C19" s="263">
        <v>30000</v>
      </c>
      <c r="D19" s="243">
        <v>30000</v>
      </c>
      <c r="E19" s="243"/>
      <c r="F19" s="244">
        <f t="shared" si="0"/>
        <v>1</v>
      </c>
      <c r="G19" s="245">
        <v>0</v>
      </c>
      <c r="H19" s="245"/>
      <c r="I19" s="245"/>
      <c r="J19" s="287">
        <v>0</v>
      </c>
      <c r="K19" s="250">
        <v>0.9</v>
      </c>
      <c r="L19" s="283"/>
    </row>
    <row r="20" spans="1:30" ht="32" customHeight="1" outlineLevel="1">
      <c r="A20" s="291" t="s">
        <v>26</v>
      </c>
      <c r="B20" s="240" t="s">
        <v>320</v>
      </c>
      <c r="C20" s="243">
        <v>14000</v>
      </c>
      <c r="D20" s="243"/>
      <c r="E20" s="243"/>
      <c r="F20" s="244"/>
      <c r="G20" s="292">
        <v>0</v>
      </c>
      <c r="H20" s="293"/>
      <c r="I20" s="293"/>
      <c r="J20" s="287">
        <v>0</v>
      </c>
      <c r="K20" s="250">
        <v>0.8</v>
      </c>
      <c r="L20" s="283"/>
    </row>
    <row r="21" spans="1:30" ht="77.5" outlineLevel="1">
      <c r="A21" s="251" t="s">
        <v>27</v>
      </c>
      <c r="B21" s="240" t="s">
        <v>28</v>
      </c>
      <c r="C21" s="294">
        <v>50000</v>
      </c>
      <c r="D21" s="243">
        <v>51640</v>
      </c>
      <c r="E21" s="243"/>
      <c r="F21" s="244">
        <f t="shared" si="0"/>
        <v>1.0327999999999999</v>
      </c>
      <c r="G21" s="245">
        <v>0</v>
      </c>
      <c r="H21" s="245"/>
      <c r="I21" s="245"/>
      <c r="J21" s="287">
        <v>0</v>
      </c>
      <c r="K21" s="250">
        <v>0.8</v>
      </c>
      <c r="L21" s="283"/>
    </row>
    <row r="22" spans="1:30" ht="93" outlineLevel="1">
      <c r="A22" s="251" t="s">
        <v>29</v>
      </c>
      <c r="B22" s="240" t="s">
        <v>321</v>
      </c>
      <c r="C22" s="295">
        <v>56000</v>
      </c>
      <c r="D22" s="243">
        <v>60711.6</v>
      </c>
      <c r="E22" s="243"/>
      <c r="F22" s="244">
        <f t="shared" si="0"/>
        <v>1.0841357142857142</v>
      </c>
      <c r="G22" s="245">
        <v>0</v>
      </c>
      <c r="H22" s="245"/>
      <c r="I22" s="245"/>
      <c r="J22" s="287">
        <v>0</v>
      </c>
      <c r="K22" s="250">
        <v>0.8</v>
      </c>
      <c r="L22" s="283"/>
    </row>
    <row r="23" spans="1:30" ht="77.5" outlineLevel="1">
      <c r="A23" s="251" t="s">
        <v>30</v>
      </c>
      <c r="B23" s="240" t="s">
        <v>322</v>
      </c>
      <c r="C23" s="295">
        <v>60000</v>
      </c>
      <c r="D23" s="243">
        <v>60000</v>
      </c>
      <c r="E23" s="243"/>
      <c r="F23" s="244">
        <f t="shared" si="0"/>
        <v>1</v>
      </c>
      <c r="G23" s="245">
        <v>0</v>
      </c>
      <c r="H23" s="245"/>
      <c r="I23" s="245"/>
      <c r="J23" s="287">
        <v>0</v>
      </c>
      <c r="K23" s="250">
        <v>0.8</v>
      </c>
      <c r="L23" s="283"/>
    </row>
    <row r="24" spans="1:30" ht="62" outlineLevel="1">
      <c r="A24" s="251" t="s">
        <v>31</v>
      </c>
      <c r="B24" s="241" t="s">
        <v>323</v>
      </c>
      <c r="C24" s="295">
        <v>50000</v>
      </c>
      <c r="D24" s="243">
        <v>55890</v>
      </c>
      <c r="E24" s="243"/>
      <c r="F24" s="244">
        <f t="shared" si="0"/>
        <v>1.1177999999999999</v>
      </c>
      <c r="G24" s="245">
        <v>0</v>
      </c>
      <c r="H24" s="245"/>
      <c r="I24" s="245"/>
      <c r="J24" s="287">
        <v>0</v>
      </c>
      <c r="K24" s="250">
        <v>0.8</v>
      </c>
      <c r="L24" s="283"/>
    </row>
    <row r="25" spans="1:30" s="233" customFormat="1" ht="37.5" customHeight="1">
      <c r="A25" s="284" t="s">
        <v>32</v>
      </c>
      <c r="B25" s="284" t="s">
        <v>324</v>
      </c>
      <c r="C25" s="285">
        <v>0</v>
      </c>
      <c r="D25" s="285">
        <v>0</v>
      </c>
      <c r="E25" s="285"/>
      <c r="F25" s="262">
        <v>0</v>
      </c>
      <c r="G25" s="261">
        <f>SUM(G26:G33)</f>
        <v>325000</v>
      </c>
      <c r="H25" s="261">
        <f>SUM(H26:H33)</f>
        <v>217880.82242990655</v>
      </c>
      <c r="I25" s="261">
        <f>SUM(I26:I33)</f>
        <v>5448.6728971962611</v>
      </c>
      <c r="J25" s="302">
        <f>(H25+I25)/G25</f>
        <v>0.68716767792954714</v>
      </c>
      <c r="K25" s="290"/>
      <c r="L25" s="303">
        <f>SUM(L26:L33)</f>
        <v>0</v>
      </c>
      <c r="M25" s="125"/>
      <c r="N25" s="125"/>
      <c r="O25" s="125"/>
      <c r="P25" s="125"/>
      <c r="Q25" s="125"/>
      <c r="R25" s="125"/>
      <c r="S25" s="125"/>
      <c r="T25" s="125"/>
      <c r="U25" s="125"/>
      <c r="V25" s="125"/>
      <c r="W25" s="125"/>
      <c r="X25" s="125"/>
      <c r="Y25" s="125"/>
      <c r="Z25" s="125"/>
      <c r="AA25" s="125"/>
      <c r="AB25" s="125"/>
      <c r="AC25" s="125"/>
      <c r="AD25" s="125"/>
    </row>
    <row r="26" spans="1:30" ht="31.5" customHeight="1" outlineLevel="1">
      <c r="A26" s="251" t="s">
        <v>33</v>
      </c>
      <c r="B26" s="241" t="s">
        <v>325</v>
      </c>
      <c r="C26" s="242"/>
      <c r="D26" s="296"/>
      <c r="E26" s="242"/>
      <c r="F26" s="244">
        <v>0</v>
      </c>
      <c r="G26" s="245">
        <v>35000</v>
      </c>
      <c r="H26" s="259">
        <v>23464.088569374551</v>
      </c>
      <c r="I26" s="259">
        <v>5448.6728971962611</v>
      </c>
      <c r="J26" s="255">
        <f>(I26+H26)/G26</f>
        <v>0.82607889904488041</v>
      </c>
      <c r="K26" s="250">
        <v>0.35</v>
      </c>
      <c r="L26" s="283"/>
    </row>
    <row r="27" spans="1:30" ht="77.5" outlineLevel="1">
      <c r="A27" s="251" t="s">
        <v>34</v>
      </c>
      <c r="B27" s="241" t="s">
        <v>35</v>
      </c>
      <c r="C27" s="296"/>
      <c r="D27" s="296"/>
      <c r="E27" s="296"/>
      <c r="F27" s="244">
        <v>0</v>
      </c>
      <c r="G27" s="245">
        <v>50000</v>
      </c>
      <c r="H27" s="259">
        <v>33520.12652767793</v>
      </c>
      <c r="I27" s="259"/>
      <c r="J27" s="255">
        <f>(I27+H27)/G27</f>
        <v>0.67040253055355858</v>
      </c>
      <c r="K27" s="250">
        <v>0.79</v>
      </c>
      <c r="L27" s="283"/>
    </row>
    <row r="28" spans="1:30" ht="31" outlineLevel="1">
      <c r="A28" s="251" t="s">
        <v>36</v>
      </c>
      <c r="B28" s="241" t="s">
        <v>37</v>
      </c>
      <c r="C28" s="296"/>
      <c r="D28" s="296"/>
      <c r="E28" s="296"/>
      <c r="F28" s="244"/>
      <c r="G28" s="245">
        <v>40000</v>
      </c>
      <c r="H28" s="259">
        <v>26816.101222142348</v>
      </c>
      <c r="I28" s="259"/>
      <c r="J28" s="255">
        <f>(I28+H28)/G28</f>
        <v>0.6704025305535587</v>
      </c>
      <c r="K28" s="250">
        <v>0</v>
      </c>
      <c r="L28" s="283"/>
    </row>
    <row r="29" spans="1:30" ht="31" outlineLevel="1">
      <c r="A29" s="251" t="s">
        <v>38</v>
      </c>
      <c r="B29" s="241" t="s">
        <v>326</v>
      </c>
      <c r="C29" s="296"/>
      <c r="D29" s="296"/>
      <c r="E29" s="296"/>
      <c r="F29" s="244"/>
      <c r="G29" s="245">
        <v>80000</v>
      </c>
      <c r="H29" s="259">
        <v>53632.202444284696</v>
      </c>
      <c r="I29" s="259"/>
      <c r="J29" s="255">
        <f t="shared" ref="J29:J32" si="1">(I29+H29)/G29</f>
        <v>0.6704025305535587</v>
      </c>
      <c r="K29" s="250">
        <v>0.05</v>
      </c>
      <c r="L29" s="283"/>
    </row>
    <row r="30" spans="1:30" ht="31" outlineLevel="1">
      <c r="A30" s="251" t="s">
        <v>39</v>
      </c>
      <c r="B30" s="241" t="s">
        <v>327</v>
      </c>
      <c r="C30" s="296"/>
      <c r="D30" s="296"/>
      <c r="E30" s="296"/>
      <c r="F30" s="244"/>
      <c r="G30" s="245">
        <v>30000</v>
      </c>
      <c r="H30" s="259">
        <v>20112.075916606758</v>
      </c>
      <c r="I30" s="259"/>
      <c r="J30" s="255">
        <f t="shared" si="1"/>
        <v>0.67040253055355858</v>
      </c>
      <c r="K30" s="250">
        <v>0</v>
      </c>
      <c r="L30" s="283"/>
    </row>
    <row r="31" spans="1:30" ht="31" outlineLevel="1">
      <c r="A31" s="251" t="s">
        <v>40</v>
      </c>
      <c r="B31" s="241" t="s">
        <v>328</v>
      </c>
      <c r="C31" s="296"/>
      <c r="D31" s="296"/>
      <c r="E31" s="296"/>
      <c r="F31" s="244"/>
      <c r="G31" s="245">
        <v>20000</v>
      </c>
      <c r="H31" s="259">
        <v>13408.050611071174</v>
      </c>
      <c r="I31" s="259"/>
      <c r="J31" s="255">
        <f t="shared" si="1"/>
        <v>0.6704025305535587</v>
      </c>
      <c r="K31" s="250">
        <v>0</v>
      </c>
      <c r="L31" s="283"/>
    </row>
    <row r="32" spans="1:30" ht="46.5" outlineLevel="1">
      <c r="A32" s="251" t="s">
        <v>41</v>
      </c>
      <c r="B32" s="241" t="s">
        <v>42</v>
      </c>
      <c r="C32" s="296"/>
      <c r="D32" s="296"/>
      <c r="E32" s="296"/>
      <c r="F32" s="244"/>
      <c r="G32" s="245">
        <v>20000</v>
      </c>
      <c r="H32" s="259">
        <v>13408.050611071174</v>
      </c>
      <c r="I32" s="259"/>
      <c r="J32" s="255">
        <f t="shared" si="1"/>
        <v>0.6704025305535587</v>
      </c>
      <c r="K32" s="250">
        <v>0.44</v>
      </c>
      <c r="L32" s="283"/>
    </row>
    <row r="33" spans="1:12" ht="46.5" outlineLevel="1">
      <c r="A33" s="251" t="s">
        <v>43</v>
      </c>
      <c r="B33" s="241" t="s">
        <v>329</v>
      </c>
      <c r="C33" s="296"/>
      <c r="D33" s="296"/>
      <c r="E33" s="296"/>
      <c r="F33" s="244"/>
      <c r="G33" s="245">
        <v>50000</v>
      </c>
      <c r="H33" s="259">
        <v>33520.12652767793</v>
      </c>
      <c r="I33" s="259"/>
      <c r="J33" s="255">
        <f>(I33+H33)/G33</f>
        <v>0.67040253055355858</v>
      </c>
      <c r="K33" s="250">
        <v>0.89</v>
      </c>
      <c r="L33" s="283"/>
    </row>
    <row r="34" spans="1:12" s="124" customFormat="1" ht="50" customHeight="1">
      <c r="A34" s="297" t="s">
        <v>44</v>
      </c>
      <c r="B34" s="241" t="s">
        <v>45</v>
      </c>
      <c r="C34" s="295"/>
      <c r="D34" s="296">
        <v>0</v>
      </c>
      <c r="E34" s="295">
        <v>0</v>
      </c>
      <c r="F34" s="244">
        <v>0</v>
      </c>
      <c r="G34" s="260">
        <f>SUM(G35:G40)</f>
        <v>230000</v>
      </c>
      <c r="H34" s="260">
        <f>SUM(H35:H40)</f>
        <v>270085.86915887846</v>
      </c>
      <c r="I34" s="260">
        <f>I35+I36+I37+I38+I39+I40</f>
        <v>116717.70757009339</v>
      </c>
      <c r="J34" s="255">
        <f>(H34+I34)/G34</f>
        <v>1.6817546814303124</v>
      </c>
      <c r="K34" s="250"/>
      <c r="L34" s="298"/>
    </row>
    <row r="35" spans="1:12" s="124" customFormat="1" ht="34.5" customHeight="1">
      <c r="A35" s="251" t="s">
        <v>46</v>
      </c>
      <c r="B35" s="241" t="s">
        <v>47</v>
      </c>
      <c r="C35" s="295"/>
      <c r="D35" s="296"/>
      <c r="E35" s="295"/>
      <c r="F35" s="244"/>
      <c r="G35" s="264">
        <v>50000</v>
      </c>
      <c r="H35" s="259">
        <v>58714.319382364891</v>
      </c>
      <c r="I35" s="259"/>
      <c r="J35" s="255">
        <f t="shared" ref="J35:J41" si="2">(I35+H35)/G35</f>
        <v>1.1742863876472978</v>
      </c>
      <c r="K35" s="250">
        <v>0.45</v>
      </c>
      <c r="L35" s="298"/>
    </row>
    <row r="36" spans="1:12" s="124" customFormat="1" ht="15.5">
      <c r="A36" s="251" t="s">
        <v>48</v>
      </c>
      <c r="B36" s="241" t="s">
        <v>49</v>
      </c>
      <c r="C36" s="295"/>
      <c r="D36" s="296">
        <f>-F358</f>
        <v>0</v>
      </c>
      <c r="E36" s="295">
        <v>0</v>
      </c>
      <c r="F36" s="244">
        <v>0</v>
      </c>
      <c r="G36" s="264">
        <v>40000</v>
      </c>
      <c r="H36" s="259">
        <v>46971.455505891914</v>
      </c>
      <c r="I36" s="259"/>
      <c r="J36" s="255">
        <f t="shared" si="2"/>
        <v>1.1742863876472978</v>
      </c>
      <c r="K36" s="250">
        <v>0.59</v>
      </c>
      <c r="L36" s="298"/>
    </row>
    <row r="37" spans="1:12" ht="46.5" outlineLevel="1">
      <c r="A37" s="251" t="s">
        <v>50</v>
      </c>
      <c r="B37" s="241" t="s">
        <v>51</v>
      </c>
      <c r="C37" s="242"/>
      <c r="D37" s="242">
        <v>0</v>
      </c>
      <c r="E37" s="295">
        <v>0</v>
      </c>
      <c r="F37" s="244">
        <v>0</v>
      </c>
      <c r="G37" s="264">
        <v>20000</v>
      </c>
      <c r="H37" s="259">
        <v>23485.727752945957</v>
      </c>
      <c r="I37" s="259"/>
      <c r="J37" s="255">
        <f t="shared" si="2"/>
        <v>1.1742863876472978</v>
      </c>
      <c r="K37" s="250">
        <v>0.04</v>
      </c>
      <c r="L37" s="283"/>
    </row>
    <row r="38" spans="1:12" ht="46.5" outlineLevel="1">
      <c r="A38" s="251" t="s">
        <v>52</v>
      </c>
      <c r="B38" s="241" t="s">
        <v>53</v>
      </c>
      <c r="C38" s="242"/>
      <c r="D38" s="242"/>
      <c r="E38" s="295"/>
      <c r="F38" s="244"/>
      <c r="G38" s="264">
        <v>10000</v>
      </c>
      <c r="H38" s="259">
        <v>11742.863876472979</v>
      </c>
      <c r="I38" s="259"/>
      <c r="J38" s="255">
        <f t="shared" si="2"/>
        <v>1.1742863876472978</v>
      </c>
      <c r="K38" s="250">
        <v>0.32</v>
      </c>
      <c r="L38" s="283"/>
    </row>
    <row r="39" spans="1:12" ht="46.5" outlineLevel="1">
      <c r="A39" s="251" t="s">
        <v>54</v>
      </c>
      <c r="B39" s="241" t="s">
        <v>55</v>
      </c>
      <c r="C39" s="242"/>
      <c r="D39" s="242">
        <v>0</v>
      </c>
      <c r="E39" s="242"/>
      <c r="F39" s="244">
        <v>0</v>
      </c>
      <c r="G39" s="245">
        <v>60000</v>
      </c>
      <c r="H39" s="259">
        <v>70457.183258837875</v>
      </c>
      <c r="I39" s="259"/>
      <c r="J39" s="255">
        <f t="shared" si="2"/>
        <v>1.174286387647298</v>
      </c>
      <c r="K39" s="250">
        <v>1.2999999999999999E-2</v>
      </c>
      <c r="L39" s="283"/>
    </row>
    <row r="40" spans="1:12" ht="31" outlineLevel="1">
      <c r="A40" s="251" t="s">
        <v>56</v>
      </c>
      <c r="B40" s="241" t="s">
        <v>57</v>
      </c>
      <c r="C40" s="242"/>
      <c r="D40" s="242">
        <v>0</v>
      </c>
      <c r="E40" s="242"/>
      <c r="F40" s="244">
        <v>0</v>
      </c>
      <c r="G40" s="245">
        <v>50000</v>
      </c>
      <c r="H40" s="259">
        <v>58714.319382364891</v>
      </c>
      <c r="I40" s="259">
        <v>116717.70757009339</v>
      </c>
      <c r="J40" s="255">
        <f t="shared" si="2"/>
        <v>3.5086405390491655</v>
      </c>
      <c r="K40" s="250">
        <v>0</v>
      </c>
      <c r="L40" s="283"/>
    </row>
    <row r="41" spans="1:12" ht="39" outlineLevel="1">
      <c r="A41" s="299" t="s">
        <v>58</v>
      </c>
      <c r="B41" s="300"/>
      <c r="C41" s="242">
        <v>357766.36</v>
      </c>
      <c r="D41" s="242">
        <f>D42+D43+D44+D45</f>
        <v>265732.64999999997</v>
      </c>
      <c r="E41" s="243"/>
      <c r="F41" s="244">
        <f>(D41+E41)/C41</f>
        <v>0.74275471288021599</v>
      </c>
      <c r="G41" s="260">
        <f>SUM(G42:G45)</f>
        <v>239392.53</v>
      </c>
      <c r="H41" s="260">
        <f>SUM(H42:H45)</f>
        <v>184259.45794392526</v>
      </c>
      <c r="I41" s="260">
        <f>SUM(I42:I45)</f>
        <v>0</v>
      </c>
      <c r="J41" s="255">
        <f t="shared" si="2"/>
        <v>0.76969593806425474</v>
      </c>
      <c r="K41" s="253"/>
      <c r="L41" s="283"/>
    </row>
    <row r="42" spans="1:12" ht="15.5" customHeight="1" outlineLevel="1">
      <c r="A42" s="251" t="s">
        <v>59</v>
      </c>
      <c r="B42" s="252"/>
      <c r="C42" s="242">
        <v>221044</v>
      </c>
      <c r="D42" s="242">
        <v>224514.52</v>
      </c>
      <c r="E42" s="243"/>
      <c r="F42" s="244">
        <f>(D42+E42)/C42</f>
        <v>1.0157005844990137</v>
      </c>
      <c r="G42" s="245">
        <v>140000</v>
      </c>
      <c r="H42" s="259">
        <v>159062.57943925235</v>
      </c>
      <c r="I42" s="259"/>
      <c r="J42" s="255">
        <f t="shared" ref="J42:J44" si="3">(I42+H42)/G42</f>
        <v>1.1361612817089455</v>
      </c>
      <c r="K42" s="253"/>
      <c r="L42" s="283"/>
    </row>
    <row r="43" spans="1:12" ht="14.5" outlineLevel="1">
      <c r="A43" s="251" t="s">
        <v>60</v>
      </c>
      <c r="B43" s="252"/>
      <c r="C43" s="242">
        <v>40000</v>
      </c>
      <c r="D43" s="242">
        <v>12982.44</v>
      </c>
      <c r="E43" s="243"/>
      <c r="F43" s="244">
        <f t="shared" ref="F43:F45" si="4">(D43+E43)/C43</f>
        <v>0.32456099999999999</v>
      </c>
      <c r="G43" s="245">
        <v>60000</v>
      </c>
      <c r="H43" s="259">
        <v>18691.588785046726</v>
      </c>
      <c r="I43" s="259"/>
      <c r="J43" s="255">
        <f t="shared" si="3"/>
        <v>0.3115264797507788</v>
      </c>
      <c r="K43" s="253"/>
      <c r="L43" s="283"/>
    </row>
    <row r="44" spans="1:12" ht="14.5" outlineLevel="1">
      <c r="A44" s="251" t="s">
        <v>61</v>
      </c>
      <c r="B44" s="252"/>
      <c r="C44" s="242">
        <v>46000</v>
      </c>
      <c r="D44" s="242">
        <v>28235.69</v>
      </c>
      <c r="E44" s="243"/>
      <c r="F44" s="244">
        <f t="shared" si="4"/>
        <v>0.61381934782608694</v>
      </c>
      <c r="G44" s="245">
        <v>39392.53</v>
      </c>
      <c r="H44" s="259">
        <v>6505.2897196261674</v>
      </c>
      <c r="I44" s="259"/>
      <c r="J44" s="255">
        <f t="shared" si="3"/>
        <v>0.16514018570592362</v>
      </c>
      <c r="K44" s="253"/>
      <c r="L44" s="283"/>
    </row>
    <row r="45" spans="1:12" ht="15.5" customHeight="1" outlineLevel="1">
      <c r="A45" s="251" t="s">
        <v>62</v>
      </c>
      <c r="B45" s="252"/>
      <c r="C45" s="242">
        <v>50000</v>
      </c>
      <c r="D45" s="242">
        <v>0</v>
      </c>
      <c r="E45" s="243"/>
      <c r="F45" s="244">
        <f t="shared" si="4"/>
        <v>0</v>
      </c>
      <c r="G45" s="245">
        <f>-B42</f>
        <v>0</v>
      </c>
      <c r="H45" s="265"/>
      <c r="I45" s="265"/>
      <c r="J45" s="255"/>
      <c r="K45" s="253"/>
      <c r="L45" s="283"/>
    </row>
    <row r="46" spans="1:12" ht="17.5" customHeight="1">
      <c r="A46" s="251"/>
      <c r="B46" s="251"/>
      <c r="C46" s="242">
        <v>0</v>
      </c>
      <c r="D46" s="242">
        <v>0</v>
      </c>
      <c r="E46" s="242">
        <v>0</v>
      </c>
      <c r="F46" s="244"/>
      <c r="G46" s="245">
        <v>0</v>
      </c>
      <c r="H46" s="265"/>
      <c r="I46" s="265"/>
      <c r="J46" s="255"/>
      <c r="K46" s="248"/>
      <c r="L46" s="283"/>
    </row>
    <row r="47" spans="1:12" ht="39.5" customHeight="1">
      <c r="A47" s="272" t="s">
        <v>63</v>
      </c>
      <c r="B47" s="251"/>
      <c r="C47" s="242">
        <f>C9+C17+C41</f>
        <v>1074766.3599999999</v>
      </c>
      <c r="D47" s="242">
        <f>D9+D17+D42+D43+D44+D45</f>
        <v>1024017.7399999999</v>
      </c>
      <c r="E47" s="242"/>
      <c r="F47" s="244">
        <f>(D47+E47)/C47</f>
        <v>0.95278171899611741</v>
      </c>
      <c r="G47" s="245">
        <f>G25+G34+G41</f>
        <v>794392.53</v>
      </c>
      <c r="H47" s="245">
        <f t="shared" ref="H47:I47" si="5">H25+H34+H41</f>
        <v>672226.14953271032</v>
      </c>
      <c r="I47" s="245">
        <f t="shared" si="5"/>
        <v>122166.38046728965</v>
      </c>
      <c r="J47" s="255">
        <f>(I47+H47)/G47</f>
        <v>1</v>
      </c>
      <c r="K47" s="248"/>
      <c r="L47" s="283"/>
    </row>
    <row r="48" spans="1:12" ht="42.5" customHeight="1">
      <c r="A48" s="251" t="s">
        <v>64</v>
      </c>
      <c r="B48" s="254"/>
      <c r="C48" s="242">
        <f>7%*C47</f>
        <v>75233.645199999999</v>
      </c>
      <c r="D48" s="242">
        <v>52663.55</v>
      </c>
      <c r="E48" s="242">
        <f>C48-D48</f>
        <v>22570.095199999996</v>
      </c>
      <c r="F48" s="246">
        <f>(D48+E48)/C48</f>
        <v>1</v>
      </c>
      <c r="G48" s="245">
        <f>7%*G47</f>
        <v>55607.477100000004</v>
      </c>
      <c r="H48" s="245">
        <f t="shared" ref="H48:I48" si="6">7%*H47</f>
        <v>47055.830467289728</v>
      </c>
      <c r="I48" s="245">
        <f t="shared" si="6"/>
        <v>8551.6466327102771</v>
      </c>
      <c r="J48" s="255">
        <f>(I48+H48)/G48</f>
        <v>1</v>
      </c>
      <c r="K48" s="248"/>
      <c r="L48" s="283"/>
    </row>
    <row r="49" spans="1:12" ht="34.5" customHeight="1">
      <c r="A49" s="272" t="s">
        <v>65</v>
      </c>
      <c r="B49" s="266"/>
      <c r="C49" s="266">
        <f>SUM(C46:C48)</f>
        <v>1150000.0051999998</v>
      </c>
      <c r="D49" s="266">
        <f>+D47+D48</f>
        <v>1076681.2899999998</v>
      </c>
      <c r="E49" s="266">
        <f>SUM(E46:E48)</f>
        <v>22570.095199999996</v>
      </c>
      <c r="F49" s="304">
        <f>(D49+E49)/C49</f>
        <v>0.95587076541693228</v>
      </c>
      <c r="G49" s="266">
        <f t="shared" ref="G49:H49" si="7">+G47+G48</f>
        <v>850000.00710000005</v>
      </c>
      <c r="H49" s="267">
        <f t="shared" si="7"/>
        <v>719281.9800000001</v>
      </c>
      <c r="I49" s="267">
        <f>+I47+I48</f>
        <v>130718.02709999993</v>
      </c>
      <c r="J49" s="273">
        <f>(H49+I49)/G49</f>
        <v>1</v>
      </c>
      <c r="K49" s="304">
        <f>(F49+J49)/2</f>
        <v>0.97793538270846614</v>
      </c>
      <c r="L49" s="301"/>
    </row>
    <row r="50" spans="1:12" s="234" customFormat="1">
      <c r="B50" s="235"/>
      <c r="C50" s="125"/>
      <c r="D50" s="235"/>
      <c r="E50" s="235"/>
      <c r="F50" s="236"/>
      <c r="G50" s="235"/>
      <c r="H50" s="257"/>
      <c r="I50" s="257"/>
      <c r="J50" s="214"/>
      <c r="K50" s="249"/>
      <c r="L50" s="237"/>
    </row>
    <row r="51" spans="1:12">
      <c r="D51" s="228"/>
      <c r="E51" s="228"/>
    </row>
    <row r="52" spans="1:12">
      <c r="B52" s="214"/>
      <c r="C52" s="214"/>
      <c r="D52" s="214"/>
      <c r="E52" s="214"/>
    </row>
    <row r="53" spans="1:12">
      <c r="B53" s="214"/>
      <c r="C53" s="214"/>
      <c r="D53" s="214"/>
      <c r="E53" s="214"/>
    </row>
    <row r="54" spans="1:12">
      <c r="B54" s="214"/>
      <c r="C54" s="214"/>
      <c r="D54" s="214"/>
      <c r="E54" s="214"/>
    </row>
    <row r="55" spans="1:12">
      <c r="B55" s="214"/>
      <c r="C55" s="214"/>
      <c r="D55" s="214"/>
      <c r="E55" s="214"/>
    </row>
    <row r="56" spans="1:12">
      <c r="B56" s="214"/>
      <c r="C56" s="214"/>
      <c r="D56" s="214"/>
      <c r="E56" s="214"/>
    </row>
    <row r="57" spans="1:12">
      <c r="B57" s="214"/>
      <c r="C57" s="214"/>
      <c r="D57" s="214"/>
      <c r="E57" s="214"/>
    </row>
    <row r="58" spans="1:12">
      <c r="B58" s="214"/>
      <c r="C58" s="214"/>
      <c r="D58" s="214"/>
      <c r="E58" s="214"/>
    </row>
    <row r="59" spans="1:12">
      <c r="B59" s="214"/>
      <c r="C59" s="214"/>
      <c r="D59" s="214"/>
      <c r="E59" s="214"/>
    </row>
    <row r="60" spans="1:12">
      <c r="B60" s="214"/>
      <c r="C60" s="214"/>
      <c r="D60" s="214"/>
      <c r="E60" s="214"/>
    </row>
    <row r="61" spans="1:12">
      <c r="B61" s="214"/>
      <c r="C61" s="214"/>
      <c r="D61" s="214"/>
      <c r="E61" s="214"/>
    </row>
    <row r="62" spans="1:12">
      <c r="B62" s="214"/>
      <c r="C62" s="214"/>
      <c r="D62" s="214"/>
      <c r="E62" s="214"/>
    </row>
  </sheetData>
  <mergeCells count="1">
    <mergeCell ref="A8:L8"/>
  </mergeCells>
  <phoneticPr fontId="10" type="noConversion"/>
  <dataValidations disablePrompts="1" count="1">
    <dataValidation allowBlank="1" showInputMessage="1" showErrorMessage="1" prompt="Insert *text* description of Activity here" sqref="B10 B18 B26" xr:uid="{00000000-0002-0000-0000-000000000000}"/>
  </dataValidations>
  <pageMargins left="0.7" right="0.7" top="0.75" bottom="0.75" header="0.3" footer="0.3"/>
  <pageSetup scale="58" orientation="landscape" r:id="rId1"/>
  <rowBreaks count="1" manualBreakCount="1">
    <brk id="24" max="15" man="1"/>
  </rowBreaks>
  <ignoredErrors>
    <ignoredError sqref="D49 J34" formula="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C29"/>
  <sheetViews>
    <sheetView topLeftCell="B1" zoomScale="70" zoomScaleNormal="70" workbookViewId="0">
      <selection activeCell="P25" sqref="P25"/>
    </sheetView>
  </sheetViews>
  <sheetFormatPr defaultColWidth="8.453125" defaultRowHeight="14.5"/>
  <cols>
    <col min="1" max="1" width="0.453125" customWidth="1"/>
    <col min="2" max="2" width="26.453125" customWidth="1"/>
    <col min="3" max="4" width="15.453125" customWidth="1"/>
    <col min="5" max="5" width="16" customWidth="1"/>
    <col min="6" max="6" width="15.81640625" customWidth="1"/>
    <col min="7" max="7" width="15" customWidth="1"/>
    <col min="8" max="8" width="15.453125" style="168" customWidth="1"/>
    <col min="9" max="9" width="13.81640625" bestFit="1" customWidth="1"/>
    <col min="10" max="10" width="16.6328125" customWidth="1"/>
    <col min="11" max="11" width="15" customWidth="1"/>
    <col min="12" max="12" width="15.08984375" customWidth="1"/>
    <col min="13" max="13" width="14.90625" customWidth="1"/>
    <col min="14" max="14" width="11.453125" style="168" customWidth="1"/>
    <col min="15" max="15" width="14.453125" customWidth="1"/>
    <col min="16" max="16" width="13.453125" customWidth="1"/>
    <col min="17" max="17" width="17" customWidth="1"/>
    <col min="18" max="18" width="16.453125" customWidth="1"/>
    <col min="19" max="26" width="8.453125" customWidth="1"/>
    <col min="27" max="27" width="13.453125" customWidth="1"/>
    <col min="28" max="28" width="15.7265625" style="168" customWidth="1"/>
  </cols>
  <sheetData>
    <row r="1" spans="2:28" ht="15.5">
      <c r="B1" s="1" t="s">
        <v>66</v>
      </c>
      <c r="C1" s="1"/>
      <c r="D1" s="1"/>
      <c r="E1" s="1"/>
      <c r="F1" s="1"/>
      <c r="G1" s="1"/>
      <c r="H1" s="166"/>
      <c r="I1" s="1"/>
      <c r="K1" s="1"/>
      <c r="L1" s="1"/>
      <c r="M1" s="1"/>
      <c r="N1" s="166"/>
    </row>
    <row r="2" spans="2:28">
      <c r="B2" s="2"/>
      <c r="C2" s="2"/>
      <c r="D2" s="2"/>
      <c r="E2" s="2"/>
      <c r="F2" s="2"/>
      <c r="G2" s="2"/>
      <c r="H2" s="167"/>
      <c r="I2" s="2"/>
      <c r="K2" s="2"/>
      <c r="L2" s="2"/>
      <c r="M2" s="2"/>
      <c r="N2" s="167"/>
    </row>
    <row r="3" spans="2:28">
      <c r="B3" s="2" t="s">
        <v>67</v>
      </c>
      <c r="C3" s="2"/>
      <c r="D3" s="2"/>
      <c r="E3" s="2"/>
      <c r="F3" s="2"/>
      <c r="G3" s="2"/>
      <c r="H3" s="167"/>
      <c r="I3" s="2"/>
      <c r="K3" s="2"/>
      <c r="L3" s="2"/>
      <c r="M3" s="2"/>
      <c r="N3" s="167"/>
    </row>
    <row r="4" spans="2:28" ht="15" thickBot="1"/>
    <row r="5" spans="2:28" ht="25.5" customHeight="1" thickBot="1">
      <c r="B5" s="320" t="s">
        <v>68</v>
      </c>
      <c r="C5" s="315" t="s">
        <v>69</v>
      </c>
      <c r="D5" s="316"/>
      <c r="E5" s="316"/>
      <c r="F5" s="316"/>
      <c r="G5" s="316"/>
      <c r="H5" s="317"/>
      <c r="I5" s="318" t="s">
        <v>70</v>
      </c>
      <c r="J5" s="310"/>
      <c r="K5" s="310"/>
      <c r="L5" s="310"/>
      <c r="M5" s="310"/>
      <c r="N5" s="319"/>
      <c r="O5" s="308" t="s">
        <v>71</v>
      </c>
      <c r="P5" s="310" t="s">
        <v>72</v>
      </c>
      <c r="Q5" s="310" t="s">
        <v>73</v>
      </c>
      <c r="R5" s="312" t="s">
        <v>74</v>
      </c>
      <c r="S5" s="211"/>
      <c r="T5" s="211"/>
      <c r="U5" s="211"/>
      <c r="V5" s="211"/>
      <c r="W5" s="211"/>
      <c r="X5" s="211"/>
      <c r="Y5" s="211"/>
      <c r="Z5" s="211"/>
      <c r="AA5" s="312" t="s">
        <v>75</v>
      </c>
      <c r="AB5" s="306" t="s">
        <v>330</v>
      </c>
    </row>
    <row r="6" spans="2:28" ht="15" thickBot="1">
      <c r="B6" s="321"/>
      <c r="C6" s="217" t="s">
        <v>76</v>
      </c>
      <c r="D6" s="217" t="s">
        <v>77</v>
      </c>
      <c r="E6" s="217" t="s">
        <v>78</v>
      </c>
      <c r="F6" s="217" t="s">
        <v>79</v>
      </c>
      <c r="G6" s="217" t="s">
        <v>80</v>
      </c>
      <c r="H6" s="213" t="s">
        <v>81</v>
      </c>
      <c r="I6" s="215" t="s">
        <v>76</v>
      </c>
      <c r="J6" s="216" t="s">
        <v>77</v>
      </c>
      <c r="K6" s="216" t="s">
        <v>78</v>
      </c>
      <c r="L6" s="216" t="s">
        <v>79</v>
      </c>
      <c r="M6" s="216" t="s">
        <v>80</v>
      </c>
      <c r="N6" s="212" t="s">
        <v>81</v>
      </c>
      <c r="O6" s="309"/>
      <c r="P6" s="311"/>
      <c r="Q6" s="311"/>
      <c r="R6" s="313"/>
      <c r="S6" s="326" t="s">
        <v>82</v>
      </c>
      <c r="T6" s="326"/>
      <c r="U6" s="326"/>
      <c r="V6" s="326"/>
      <c r="W6" s="326"/>
      <c r="X6" s="326"/>
      <c r="Y6" s="326"/>
      <c r="Z6" s="326"/>
      <c r="AA6" s="313"/>
      <c r="AB6" s="307"/>
    </row>
    <row r="7" spans="2:28" ht="38.25" customHeight="1">
      <c r="B7" s="238" t="s">
        <v>83</v>
      </c>
      <c r="C7" s="200">
        <v>154730.79999999999</v>
      </c>
      <c r="D7" s="201">
        <v>66313.2</v>
      </c>
      <c r="E7" s="202">
        <v>221044</v>
      </c>
      <c r="F7" s="202">
        <v>224514.52</v>
      </c>
      <c r="G7" s="227">
        <v>0</v>
      </c>
      <c r="H7" s="203">
        <f t="shared" ref="H7:H16" si="0">(F7+G7)/E7</f>
        <v>1.0157005844990137</v>
      </c>
      <c r="I7" s="204">
        <f t="shared" ref="I7:I13" si="1">+K7*0.7</f>
        <v>98000</v>
      </c>
      <c r="J7" s="205">
        <f>K7*0.3</f>
        <v>42000</v>
      </c>
      <c r="K7" s="205">
        <v>140000</v>
      </c>
      <c r="L7" s="225">
        <v>159062.57943925235</v>
      </c>
      <c r="M7" s="205"/>
      <c r="N7" s="206">
        <f>(L7+M7)/I7</f>
        <v>1.6230875452984934</v>
      </c>
      <c r="O7" s="207">
        <f t="shared" ref="O7:P13" si="2">C7+I7</f>
        <v>252730.8</v>
      </c>
      <c r="P7" s="208">
        <f t="shared" si="2"/>
        <v>108313.2</v>
      </c>
      <c r="Q7" s="208">
        <f t="shared" ref="Q7:Q13" si="3">+O7+P7</f>
        <v>361044</v>
      </c>
      <c r="R7" s="209">
        <f t="shared" ref="R7:R13" si="4">F7+L7</f>
        <v>383577.09943925234</v>
      </c>
      <c r="S7" s="323" t="s">
        <v>84</v>
      </c>
      <c r="T7" s="323"/>
      <c r="U7" s="323"/>
      <c r="V7" s="323"/>
      <c r="W7" s="323"/>
      <c r="X7" s="323"/>
      <c r="Y7" s="323"/>
      <c r="Z7" s="323"/>
      <c r="AA7" s="209">
        <f t="shared" ref="AA7:AA13" si="5">G7+M7</f>
        <v>0</v>
      </c>
      <c r="AB7" s="210">
        <f t="shared" ref="AB7:AB16" si="6">(R7+AA7)/Q7</f>
        <v>1.0624109511285393</v>
      </c>
    </row>
    <row r="8" spans="2:28" ht="51" customHeight="1">
      <c r="B8" s="239" t="s">
        <v>85</v>
      </c>
      <c r="C8" s="176">
        <f t="shared" ref="C8:C12" si="7">+E8*70/100</f>
        <v>30800</v>
      </c>
      <c r="D8" s="169">
        <f t="shared" ref="D8:D13" si="8">+E8*30/100</f>
        <v>13200</v>
      </c>
      <c r="E8" s="232">
        <v>44000</v>
      </c>
      <c r="F8" s="232">
        <v>1200</v>
      </c>
      <c r="G8" s="227">
        <v>0</v>
      </c>
      <c r="H8" s="177">
        <f t="shared" si="0"/>
        <v>2.7272727272727271E-2</v>
      </c>
      <c r="I8" s="174">
        <f t="shared" si="1"/>
        <v>35000</v>
      </c>
      <c r="J8" s="171">
        <f t="shared" ref="J8" si="9">+K8*0.3</f>
        <v>15000</v>
      </c>
      <c r="K8" s="171">
        <v>50000</v>
      </c>
      <c r="L8" s="205">
        <v>19697.392523364484</v>
      </c>
      <c r="M8" s="205">
        <v>5448.6728971962611</v>
      </c>
      <c r="N8" s="206">
        <f>(L8+M8)/I8</f>
        <v>0.71845901201602136</v>
      </c>
      <c r="O8" s="207">
        <f t="shared" si="2"/>
        <v>65800</v>
      </c>
      <c r="P8" s="208">
        <f t="shared" si="2"/>
        <v>28200</v>
      </c>
      <c r="Q8" s="172">
        <f t="shared" si="3"/>
        <v>94000</v>
      </c>
      <c r="R8" s="209">
        <f t="shared" si="4"/>
        <v>20897.392523364484</v>
      </c>
      <c r="S8" s="324" t="s">
        <v>86</v>
      </c>
      <c r="T8" s="324"/>
      <c r="U8" s="324"/>
      <c r="V8" s="324"/>
      <c r="W8" s="324"/>
      <c r="X8" s="324"/>
      <c r="Y8" s="324"/>
      <c r="Z8" s="324"/>
      <c r="AA8" s="209">
        <f t="shared" si="5"/>
        <v>5448.6728971962611</v>
      </c>
      <c r="AB8" s="210">
        <f t="shared" si="6"/>
        <v>0.28027729170809307</v>
      </c>
    </row>
    <row r="9" spans="2:28" ht="56.5" customHeight="1">
      <c r="B9" s="239" t="s">
        <v>87</v>
      </c>
      <c r="C9" s="176">
        <v>28000</v>
      </c>
      <c r="D9" s="169">
        <v>12000</v>
      </c>
      <c r="E9" s="170">
        <v>40000</v>
      </c>
      <c r="F9" s="170">
        <v>4516.12</v>
      </c>
      <c r="G9" s="227"/>
      <c r="H9" s="177">
        <f t="shared" si="0"/>
        <v>0.112903</v>
      </c>
      <c r="I9" s="174">
        <f>-J90</f>
        <v>0</v>
      </c>
      <c r="J9" s="171">
        <f>K9*0.3</f>
        <v>0</v>
      </c>
      <c r="K9" s="171">
        <v>0</v>
      </c>
      <c r="L9" s="171">
        <v>10377.149532710278</v>
      </c>
      <c r="M9" s="205"/>
      <c r="N9" s="206" t="e">
        <f>(L9+M9)/I9</f>
        <v>#DIV/0!</v>
      </c>
      <c r="O9" s="207">
        <f t="shared" si="2"/>
        <v>28000</v>
      </c>
      <c r="P9" s="208">
        <f t="shared" si="2"/>
        <v>12000</v>
      </c>
      <c r="Q9" s="172">
        <f t="shared" si="3"/>
        <v>40000</v>
      </c>
      <c r="R9" s="209">
        <f t="shared" si="4"/>
        <v>14893.269532710277</v>
      </c>
      <c r="S9" s="325" t="s">
        <v>88</v>
      </c>
      <c r="T9" s="325"/>
      <c r="U9" s="325"/>
      <c r="V9" s="325"/>
      <c r="W9" s="325"/>
      <c r="X9" s="325"/>
      <c r="Y9" s="325"/>
      <c r="Z9" s="325"/>
      <c r="AA9" s="209">
        <f t="shared" si="5"/>
        <v>0</v>
      </c>
      <c r="AB9" s="210">
        <f t="shared" si="6"/>
        <v>0.37233173831775696</v>
      </c>
    </row>
    <row r="10" spans="2:28" ht="57.75" customHeight="1">
      <c r="B10" s="239" t="s">
        <v>89</v>
      </c>
      <c r="C10" s="176">
        <f t="shared" si="7"/>
        <v>158200.00700000001</v>
      </c>
      <c r="D10" s="169">
        <v>67800</v>
      </c>
      <c r="E10" s="170">
        <v>226000.01</v>
      </c>
      <c r="F10" s="170">
        <v>33688.54</v>
      </c>
      <c r="G10" s="227"/>
      <c r="H10" s="177">
        <f t="shared" si="0"/>
        <v>0.14906432968741903</v>
      </c>
      <c r="I10" s="174">
        <f t="shared" si="1"/>
        <v>167574.77099999998</v>
      </c>
      <c r="J10" s="171">
        <f>K10*0.3</f>
        <v>71817.758999999991</v>
      </c>
      <c r="K10" s="171">
        <v>239392.53</v>
      </c>
      <c r="L10" s="171">
        <v>128145.47663551402</v>
      </c>
      <c r="M10" s="205"/>
      <c r="N10" s="206">
        <f t="shared" ref="N10:N12" si="10">(L10+M10)/I10</f>
        <v>0.76470626139488518</v>
      </c>
      <c r="O10" s="207">
        <f t="shared" si="2"/>
        <v>325774.77799999999</v>
      </c>
      <c r="P10" s="208">
        <f t="shared" si="2"/>
        <v>139617.75899999999</v>
      </c>
      <c r="Q10" s="172">
        <f t="shared" si="3"/>
        <v>465392.53700000001</v>
      </c>
      <c r="R10" s="209">
        <f t="shared" si="4"/>
        <v>161834.01663551401</v>
      </c>
      <c r="S10" s="327" t="s">
        <v>90</v>
      </c>
      <c r="T10" s="327"/>
      <c r="U10" s="327"/>
      <c r="V10" s="327"/>
      <c r="W10" s="327"/>
      <c r="X10" s="327"/>
      <c r="Y10" s="327"/>
      <c r="Z10" s="327"/>
      <c r="AA10" s="209">
        <f t="shared" si="5"/>
        <v>0</v>
      </c>
      <c r="AB10" s="210">
        <f t="shared" si="6"/>
        <v>0.34773659603293983</v>
      </c>
    </row>
    <row r="11" spans="2:28" ht="29.5" customHeight="1">
      <c r="B11" s="239" t="s">
        <v>91</v>
      </c>
      <c r="C11" s="176">
        <v>83805.64</v>
      </c>
      <c r="D11" s="169">
        <v>35916.660000000003</v>
      </c>
      <c r="E11" s="170">
        <v>119722.35</v>
      </c>
      <c r="F11" s="170">
        <v>43010.8</v>
      </c>
      <c r="G11" s="227">
        <v>0</v>
      </c>
      <c r="H11" s="177">
        <f t="shared" si="0"/>
        <v>0.35925455856822058</v>
      </c>
      <c r="I11" s="174">
        <f t="shared" si="1"/>
        <v>24500</v>
      </c>
      <c r="J11" s="171">
        <f t="shared" ref="J11:J13" si="11">+K11*0.3</f>
        <v>10500</v>
      </c>
      <c r="K11" s="173">
        <v>35000</v>
      </c>
      <c r="L11" s="173">
        <v>99601.588785046726</v>
      </c>
      <c r="M11" s="205"/>
      <c r="N11" s="206">
        <f t="shared" si="10"/>
        <v>4.0653709708182335</v>
      </c>
      <c r="O11" s="207">
        <f t="shared" si="2"/>
        <v>108305.64</v>
      </c>
      <c r="P11" s="208">
        <f t="shared" si="2"/>
        <v>46416.66</v>
      </c>
      <c r="Q11" s="172">
        <f t="shared" si="3"/>
        <v>154722.29999999999</v>
      </c>
      <c r="R11" s="209">
        <f t="shared" si="4"/>
        <v>142612.38878504673</v>
      </c>
      <c r="S11" s="327" t="s">
        <v>92</v>
      </c>
      <c r="T11" s="327"/>
      <c r="U11" s="327"/>
      <c r="V11" s="327"/>
      <c r="W11" s="327"/>
      <c r="X11" s="327"/>
      <c r="Y11" s="327"/>
      <c r="Z11" s="327"/>
      <c r="AA11" s="209">
        <f t="shared" si="5"/>
        <v>0</v>
      </c>
      <c r="AB11" s="210">
        <f t="shared" si="6"/>
        <v>0.92173131335978553</v>
      </c>
    </row>
    <row r="12" spans="2:28" ht="51" customHeight="1">
      <c r="B12" s="239" t="s">
        <v>93</v>
      </c>
      <c r="C12" s="176">
        <f t="shared" si="7"/>
        <v>282800</v>
      </c>
      <c r="D12" s="169">
        <v>121200</v>
      </c>
      <c r="E12" s="170">
        <v>404000</v>
      </c>
      <c r="F12" s="170">
        <v>703198</v>
      </c>
      <c r="G12" s="227">
        <v>0</v>
      </c>
      <c r="H12" s="177">
        <f t="shared" si="0"/>
        <v>1.7405891089108911</v>
      </c>
      <c r="I12" s="174">
        <f t="shared" si="1"/>
        <v>189000</v>
      </c>
      <c r="J12" s="171">
        <f t="shared" si="11"/>
        <v>81000</v>
      </c>
      <c r="K12" s="173">
        <v>270000</v>
      </c>
      <c r="L12" s="173">
        <v>0</v>
      </c>
      <c r="M12" s="205"/>
      <c r="N12" s="206">
        <f t="shared" si="10"/>
        <v>0</v>
      </c>
      <c r="O12" s="207">
        <f t="shared" si="2"/>
        <v>471800</v>
      </c>
      <c r="P12" s="208">
        <f t="shared" si="2"/>
        <v>202200</v>
      </c>
      <c r="Q12" s="172">
        <f t="shared" si="3"/>
        <v>674000</v>
      </c>
      <c r="R12" s="209">
        <f t="shared" si="4"/>
        <v>703198</v>
      </c>
      <c r="S12" s="325" t="s">
        <v>94</v>
      </c>
      <c r="T12" s="325"/>
      <c r="U12" s="325"/>
      <c r="V12" s="325"/>
      <c r="W12" s="325"/>
      <c r="X12" s="325"/>
      <c r="Y12" s="325"/>
      <c r="Z12" s="325"/>
      <c r="AA12" s="209">
        <f t="shared" si="5"/>
        <v>0</v>
      </c>
      <c r="AB12" s="210">
        <f t="shared" si="6"/>
        <v>1.043320474777448</v>
      </c>
    </row>
    <row r="13" spans="2:28" ht="40.5" customHeight="1" thickBot="1">
      <c r="B13" s="178" t="s">
        <v>95</v>
      </c>
      <c r="C13" s="229">
        <f>+E13*70/100</f>
        <v>14000</v>
      </c>
      <c r="D13" s="230">
        <f t="shared" si="8"/>
        <v>6000</v>
      </c>
      <c r="E13" s="231">
        <v>20000</v>
      </c>
      <c r="F13" s="202">
        <v>13889.76</v>
      </c>
      <c r="G13" s="227"/>
      <c r="H13" s="177">
        <f t="shared" si="0"/>
        <v>0.69448799999999999</v>
      </c>
      <c r="I13" s="174">
        <f t="shared" si="1"/>
        <v>42000</v>
      </c>
      <c r="J13" s="171">
        <f t="shared" si="11"/>
        <v>18000</v>
      </c>
      <c r="K13" s="224">
        <v>60000</v>
      </c>
      <c r="L13" s="224">
        <v>255342.18691588784</v>
      </c>
      <c r="M13" s="205">
        <v>116717.70757009339</v>
      </c>
      <c r="N13" s="179">
        <f>(L13+M13)/K13</f>
        <v>6.2009982414330205</v>
      </c>
      <c r="O13" s="207">
        <f t="shared" si="2"/>
        <v>56000</v>
      </c>
      <c r="P13" s="208">
        <f t="shared" si="2"/>
        <v>24000</v>
      </c>
      <c r="Q13" s="180">
        <f t="shared" si="3"/>
        <v>80000</v>
      </c>
      <c r="R13" s="209">
        <f t="shared" si="4"/>
        <v>269231.94691588782</v>
      </c>
      <c r="S13" s="314" t="s">
        <v>96</v>
      </c>
      <c r="T13" s="314"/>
      <c r="U13" s="314"/>
      <c r="V13" s="314"/>
      <c r="W13" s="314"/>
      <c r="X13" s="314"/>
      <c r="Y13" s="314"/>
      <c r="Z13" s="314"/>
      <c r="AA13" s="209">
        <f t="shared" si="5"/>
        <v>116717.70757009339</v>
      </c>
      <c r="AB13" s="210">
        <f t="shared" si="6"/>
        <v>4.8243706810747655</v>
      </c>
    </row>
    <row r="14" spans="2:28" s="2" customFormat="1" ht="18" customHeight="1" thickBot="1">
      <c r="B14" s="181" t="s">
        <v>97</v>
      </c>
      <c r="C14" s="182">
        <f>SUM(C7:C13)</f>
        <v>752336.44700000004</v>
      </c>
      <c r="D14" s="183">
        <f>SUM(D7:D13)</f>
        <v>322429.86</v>
      </c>
      <c r="E14" s="183">
        <f>SUM(E7:E13)</f>
        <v>1074766.3599999999</v>
      </c>
      <c r="F14" s="183">
        <f>SUM(F7:F13)</f>
        <v>1024017.74</v>
      </c>
      <c r="G14" s="183">
        <f>SUM(G7:G13)</f>
        <v>0</v>
      </c>
      <c r="H14" s="184">
        <f t="shared" si="0"/>
        <v>0.95278171899611752</v>
      </c>
      <c r="I14" s="182">
        <f>SUM(I7:I13)</f>
        <v>556074.77099999995</v>
      </c>
      <c r="J14" s="183">
        <f>SUM(J7:J13)</f>
        <v>238317.75899999999</v>
      </c>
      <c r="K14" s="183">
        <f>SUM(K7:K13)</f>
        <v>794392.53</v>
      </c>
      <c r="L14" s="183">
        <f>SUM(L7:L13)</f>
        <v>672226.37383177574</v>
      </c>
      <c r="M14" s="183">
        <f>SUM(M7:M13)</f>
        <v>122166.38046728965</v>
      </c>
      <c r="N14" s="185">
        <f>(L14+M14)/I14</f>
        <v>1.4285718319327696</v>
      </c>
      <c r="O14" s="182">
        <f>SUM(O7:O13)</f>
        <v>1308411.2179999999</v>
      </c>
      <c r="P14" s="182">
        <f>SUM(P7:P13)</f>
        <v>560747.61900000006</v>
      </c>
      <c r="Q14" s="182">
        <f>SUM(Q7:Q13)</f>
        <v>1869158.8370000001</v>
      </c>
      <c r="R14" s="182">
        <f>SUM(R7:R13)</f>
        <v>1696244.1138317757</v>
      </c>
      <c r="S14" s="322" t="s">
        <v>98</v>
      </c>
      <c r="T14" s="322"/>
      <c r="U14" s="322"/>
      <c r="V14" s="322"/>
      <c r="W14" s="322"/>
      <c r="X14" s="322"/>
      <c r="Y14" s="322"/>
      <c r="Z14" s="322"/>
      <c r="AA14" s="186">
        <f>SUM(AA7:AA13)</f>
        <v>122166.38046728965</v>
      </c>
      <c r="AB14" s="210">
        <f t="shared" si="6"/>
        <v>0.97284963605212604</v>
      </c>
    </row>
    <row r="15" spans="2:28" ht="15" thickBot="1">
      <c r="B15" s="188" t="s">
        <v>99</v>
      </c>
      <c r="C15" s="189">
        <f>+E15*70/100</f>
        <v>52663.551639999998</v>
      </c>
      <c r="D15" s="190">
        <f>+E15*30/100</f>
        <v>22570.093560000001</v>
      </c>
      <c r="E15" s="191">
        <f>+E14*0.07</f>
        <v>75233.645199999999</v>
      </c>
      <c r="F15" s="191">
        <v>52663.55</v>
      </c>
      <c r="G15" s="191">
        <v>22570</v>
      </c>
      <c r="H15" s="192">
        <f t="shared" si="0"/>
        <v>0.99999873460870148</v>
      </c>
      <c r="I15" s="193">
        <f>+K15*0.7</f>
        <v>38925.233970000001</v>
      </c>
      <c r="J15" s="194">
        <f>+K15*0.3</f>
        <v>16682.243129999999</v>
      </c>
      <c r="K15" s="195">
        <f>+K14*0.07</f>
        <v>55607.477100000004</v>
      </c>
      <c r="L15" s="195">
        <f>+L14*0.07</f>
        <v>47055.846168224307</v>
      </c>
      <c r="M15" s="195">
        <f>+M14*0.07</f>
        <v>8551.6466327102771</v>
      </c>
      <c r="N15" s="196">
        <f t="shared" ref="N15" si="12">(L15+M15)/I15</f>
        <v>1.4285718319327698</v>
      </c>
      <c r="O15" s="197">
        <f>SUM(O14*0.07)</f>
        <v>91588.785260000004</v>
      </c>
      <c r="P15" s="197">
        <f>SUM(P14*0.07)</f>
        <v>39252.333330000009</v>
      </c>
      <c r="Q15" s="197">
        <f>SUM(Q14*0.07)</f>
        <v>130841.11859000001</v>
      </c>
      <c r="R15" s="198">
        <f>L15+F15</f>
        <v>99719.39616822431</v>
      </c>
      <c r="S15" s="199"/>
      <c r="T15" s="199"/>
      <c r="U15" s="199"/>
      <c r="V15" s="199"/>
      <c r="W15" s="199"/>
      <c r="X15" s="199"/>
      <c r="Y15" s="199"/>
      <c r="Z15" s="199"/>
      <c r="AA15" s="198">
        <f>M15+G15</f>
        <v>31121.646632710275</v>
      </c>
      <c r="AB15" s="210">
        <f t="shared" si="6"/>
        <v>0.99999942075498705</v>
      </c>
    </row>
    <row r="16" spans="2:28" s="2" customFormat="1" ht="21.75" customHeight="1" thickBot="1">
      <c r="B16" s="181" t="s">
        <v>100</v>
      </c>
      <c r="C16" s="182">
        <f>+C14+C15</f>
        <v>804999.99864000001</v>
      </c>
      <c r="D16" s="183">
        <f>+D14+D15</f>
        <v>344999.95355999999</v>
      </c>
      <c r="E16" s="183">
        <f>+E14+E15</f>
        <v>1150000.0051999998</v>
      </c>
      <c r="F16" s="183">
        <f>+F14+F15</f>
        <v>1076681.29</v>
      </c>
      <c r="G16" s="183">
        <f>+G14+G15</f>
        <v>22570</v>
      </c>
      <c r="H16" s="270">
        <f t="shared" si="0"/>
        <v>0.95587068263432406</v>
      </c>
      <c r="I16" s="182">
        <f>+I14+I15</f>
        <v>595000.00496999989</v>
      </c>
      <c r="J16" s="183">
        <f>+J14+J15</f>
        <v>255000.00212999998</v>
      </c>
      <c r="K16" s="183">
        <f>+K14+K15</f>
        <v>850000.00710000005</v>
      </c>
      <c r="L16" s="183">
        <f>SUM(L14:L15)</f>
        <v>719282.22000000009</v>
      </c>
      <c r="M16" s="183">
        <f>SUM(M14:M15)</f>
        <v>130718.02709999993</v>
      </c>
      <c r="N16" s="185">
        <f>(L16+M16)/I16</f>
        <v>1.42857183193277</v>
      </c>
      <c r="O16" s="182">
        <f>+O14+O15</f>
        <v>1400000.0032599999</v>
      </c>
      <c r="P16" s="183">
        <f>+P14+P15</f>
        <v>599999.95233000012</v>
      </c>
      <c r="Q16" s="183">
        <f>+Q14+Q15</f>
        <v>1999999.9555900001</v>
      </c>
      <c r="R16" s="186">
        <f>SUM(R14:R15)</f>
        <v>1795963.51</v>
      </c>
      <c r="S16" s="187"/>
      <c r="T16" s="187"/>
      <c r="U16" s="187"/>
      <c r="V16" s="187"/>
      <c r="W16" s="187"/>
      <c r="X16" s="187"/>
      <c r="Y16" s="187"/>
      <c r="Z16" s="187"/>
      <c r="AA16" s="186">
        <f>SUM(AA14:AA15)</f>
        <v>153288.02709999992</v>
      </c>
      <c r="AB16" s="271">
        <f t="shared" si="6"/>
        <v>0.97462579019156548</v>
      </c>
    </row>
    <row r="17" spans="2:29" hidden="1">
      <c r="E17" s="131" t="e">
        <v>#REF!</v>
      </c>
      <c r="F17" s="131"/>
      <c r="G17" s="131"/>
      <c r="H17" s="175" t="e">
        <f>(F17+G17)/C17</f>
        <v>#DIV/0!</v>
      </c>
      <c r="K17" s="133">
        <v>1043557.7320000001</v>
      </c>
      <c r="L17" s="133"/>
      <c r="M17" s="133">
        <f>SUM(M7:M16)</f>
        <v>383602.43466728949</v>
      </c>
    </row>
    <row r="18" spans="2:29">
      <c r="E18" s="131"/>
      <c r="F18" s="168"/>
      <c r="G18" s="131"/>
      <c r="K18" s="131"/>
      <c r="L18" s="131"/>
      <c r="M18" s="131"/>
    </row>
    <row r="19" spans="2:29">
      <c r="C19" s="133"/>
      <c r="D19" s="168"/>
      <c r="E19" s="168"/>
      <c r="G19" s="133"/>
      <c r="I19" s="133"/>
      <c r="J19" s="133"/>
      <c r="K19" s="133"/>
      <c r="L19" s="133"/>
      <c r="M19" s="133"/>
      <c r="O19" s="133"/>
      <c r="P19" s="133"/>
      <c r="Q19" s="133"/>
      <c r="R19" s="258"/>
    </row>
    <row r="20" spans="2:29">
      <c r="C20" s="258"/>
      <c r="D20" s="168"/>
      <c r="E20" s="168"/>
      <c r="F20" s="226"/>
      <c r="G20" s="131"/>
      <c r="K20" s="131"/>
      <c r="L20" s="131"/>
      <c r="M20" s="131"/>
    </row>
    <row r="21" spans="2:29">
      <c r="C21" s="258"/>
      <c r="D21" s="168"/>
      <c r="E21" s="168"/>
      <c r="F21" s="168"/>
      <c r="G21" s="131"/>
      <c r="K21" s="131"/>
    </row>
    <row r="22" spans="2:29" ht="15" thickBot="1">
      <c r="D22" s="168"/>
      <c r="E22" s="168"/>
      <c r="F22" s="168"/>
    </row>
    <row r="23" spans="2:29" ht="15" thickBot="1">
      <c r="C23" s="258">
        <f>F16-'Financial report_By activity'!D49</f>
        <v>0</v>
      </c>
      <c r="D23" s="168"/>
      <c r="E23" s="168"/>
      <c r="F23" s="183"/>
      <c r="G23" s="131"/>
      <c r="H23" s="226"/>
      <c r="K23" s="131"/>
    </row>
    <row r="24" spans="2:29">
      <c r="B24" s="258"/>
      <c r="D24" s="168"/>
      <c r="E24" s="168"/>
      <c r="F24" s="168"/>
      <c r="G24" s="131"/>
      <c r="H24" s="226"/>
      <c r="I24" s="131"/>
      <c r="J24" s="131"/>
      <c r="K24" s="258"/>
    </row>
    <row r="25" spans="2:29">
      <c r="C25" s="258"/>
      <c r="D25" s="168"/>
      <c r="E25" s="168"/>
      <c r="F25" s="168"/>
      <c r="J25" s="131"/>
      <c r="K25" s="258"/>
    </row>
    <row r="26" spans="2:29">
      <c r="H26" s="226"/>
      <c r="J26" s="131"/>
    </row>
    <row r="28" spans="2:29">
      <c r="AC28" s="168"/>
    </row>
    <row r="29" spans="2:29">
      <c r="E29" s="258"/>
    </row>
  </sheetData>
  <mergeCells count="18">
    <mergeCell ref="S13:Z13"/>
    <mergeCell ref="C5:H5"/>
    <mergeCell ref="I5:N5"/>
    <mergeCell ref="B5:B6"/>
    <mergeCell ref="S14:Z14"/>
    <mergeCell ref="S7:Z7"/>
    <mergeCell ref="S8:Z8"/>
    <mergeCell ref="S9:Z9"/>
    <mergeCell ref="Q5:Q6"/>
    <mergeCell ref="S6:Z6"/>
    <mergeCell ref="S10:Z10"/>
    <mergeCell ref="S11:Z11"/>
    <mergeCell ref="S12:Z12"/>
    <mergeCell ref="AB5:AB6"/>
    <mergeCell ref="O5:O6"/>
    <mergeCell ref="P5:P6"/>
    <mergeCell ref="R5:R6"/>
    <mergeCell ref="AA5:AA6"/>
  </mergeCells>
  <pageMargins left="0.7" right="0.7" top="0.75" bottom="0.75" header="0.3" footer="0.3"/>
  <pageSetup orientation="portrait"/>
  <ignoredErrors>
    <ignoredError sqref="H16 N13:N14 H14" formula="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outlinePr summaryBelow="0"/>
  </sheetPr>
  <dimension ref="A1:IV234"/>
  <sheetViews>
    <sheetView zoomScale="90" zoomScaleNormal="90" zoomScalePageLayoutView="90" workbookViewId="0">
      <pane ySplit="1" topLeftCell="A195" activePane="bottomLeft" state="frozen"/>
      <selection activeCell="B1" sqref="B1"/>
      <selection pane="bottomLeft" activeCell="H214" sqref="H214"/>
    </sheetView>
  </sheetViews>
  <sheetFormatPr defaultColWidth="20.453125" defaultRowHeight="13" outlineLevelRow="4"/>
  <cols>
    <col min="1" max="1" width="28.453125" style="5" customWidth="1"/>
    <col min="2" max="2" width="17.453125" style="24" customWidth="1"/>
    <col min="3" max="3" width="12.453125" style="24" customWidth="1"/>
    <col min="4" max="5" width="12.453125" style="5" customWidth="1"/>
    <col min="6" max="7" width="12.453125" style="111" customWidth="1"/>
    <col min="8" max="8" width="13.453125" style="111" customWidth="1"/>
    <col min="9" max="9" width="13.453125" style="48" customWidth="1"/>
    <col min="10" max="11" width="11.453125" style="48" customWidth="1"/>
    <col min="12" max="12" width="14" style="5" customWidth="1"/>
    <col min="13" max="13" width="7.453125" style="5" customWidth="1"/>
    <col min="14" max="14" width="7" style="5" customWidth="1"/>
    <col min="15" max="16384" width="20.453125" style="5"/>
  </cols>
  <sheetData>
    <row r="1" spans="1:256" ht="26">
      <c r="A1" s="3" t="s">
        <v>101</v>
      </c>
      <c r="B1" s="79" t="s">
        <v>102</v>
      </c>
      <c r="C1" s="30">
        <v>2020</v>
      </c>
      <c r="D1" s="4">
        <v>2021</v>
      </c>
      <c r="E1" s="4">
        <v>2022</v>
      </c>
      <c r="F1" s="102">
        <v>2020</v>
      </c>
      <c r="G1" s="102">
        <v>2021</v>
      </c>
      <c r="H1" s="102">
        <v>2022</v>
      </c>
      <c r="I1" s="89">
        <v>2020</v>
      </c>
      <c r="J1" s="89">
        <v>2021</v>
      </c>
      <c r="K1" s="89">
        <v>2022</v>
      </c>
      <c r="L1" s="36"/>
      <c r="AW1" s="5" t="s">
        <v>103</v>
      </c>
      <c r="AX1" s="5" t="s">
        <v>103</v>
      </c>
      <c r="AY1" s="5" t="s">
        <v>103</v>
      </c>
      <c r="AZ1" s="5" t="s">
        <v>103</v>
      </c>
      <c r="BA1" s="5" t="s">
        <v>103</v>
      </c>
      <c r="BB1" s="5" t="s">
        <v>103</v>
      </c>
      <c r="BC1" s="5" t="s">
        <v>103</v>
      </c>
      <c r="BD1" s="5" t="s">
        <v>103</v>
      </c>
      <c r="BE1" s="5" t="s">
        <v>103</v>
      </c>
      <c r="BF1" s="5" t="s">
        <v>103</v>
      </c>
      <c r="BG1" s="5" t="s">
        <v>103</v>
      </c>
      <c r="BH1" s="5" t="s">
        <v>103</v>
      </c>
      <c r="BI1" s="5" t="s">
        <v>103</v>
      </c>
      <c r="BJ1" s="5" t="s">
        <v>103</v>
      </c>
      <c r="BK1" s="5" t="s">
        <v>103</v>
      </c>
      <c r="BL1" s="5" t="s">
        <v>103</v>
      </c>
      <c r="BM1" s="5" t="s">
        <v>103</v>
      </c>
      <c r="BN1" s="5" t="s">
        <v>103</v>
      </c>
      <c r="BO1" s="5" t="s">
        <v>103</v>
      </c>
      <c r="BP1" s="5" t="s">
        <v>103</v>
      </c>
      <c r="BQ1" s="5" t="s">
        <v>103</v>
      </c>
      <c r="BR1" s="5" t="s">
        <v>103</v>
      </c>
      <c r="BS1" s="5" t="s">
        <v>103</v>
      </c>
      <c r="BT1" s="5" t="s">
        <v>103</v>
      </c>
      <c r="BU1" s="5" t="s">
        <v>103</v>
      </c>
      <c r="BV1" s="5" t="s">
        <v>103</v>
      </c>
      <c r="BW1" s="5" t="s">
        <v>103</v>
      </c>
      <c r="BX1" s="5" t="s">
        <v>103</v>
      </c>
      <c r="BY1" s="5" t="s">
        <v>103</v>
      </c>
      <c r="BZ1" s="5" t="s">
        <v>103</v>
      </c>
      <c r="CA1" s="5" t="s">
        <v>103</v>
      </c>
      <c r="CB1" s="5" t="s">
        <v>103</v>
      </c>
      <c r="CC1" s="5" t="s">
        <v>103</v>
      </c>
      <c r="CD1" s="5" t="s">
        <v>103</v>
      </c>
      <c r="CE1" s="5" t="s">
        <v>103</v>
      </c>
      <c r="CF1" s="5" t="s">
        <v>103</v>
      </c>
      <c r="CG1" s="5" t="s">
        <v>103</v>
      </c>
      <c r="CH1" s="5" t="s">
        <v>103</v>
      </c>
      <c r="CI1" s="5" t="s">
        <v>103</v>
      </c>
      <c r="CJ1" s="5" t="s">
        <v>103</v>
      </c>
      <c r="CK1" s="5" t="s">
        <v>103</v>
      </c>
      <c r="CL1" s="5" t="s">
        <v>103</v>
      </c>
      <c r="CM1" s="5" t="s">
        <v>103</v>
      </c>
      <c r="CN1" s="5" t="s">
        <v>103</v>
      </c>
      <c r="CO1" s="5" t="s">
        <v>103</v>
      </c>
      <c r="CP1" s="5" t="s">
        <v>103</v>
      </c>
      <c r="CQ1" s="5" t="s">
        <v>103</v>
      </c>
      <c r="CR1" s="5" t="s">
        <v>103</v>
      </c>
      <c r="CS1" s="5" t="s">
        <v>103</v>
      </c>
      <c r="CT1" s="5" t="s">
        <v>103</v>
      </c>
      <c r="CU1" s="5" t="s">
        <v>103</v>
      </c>
      <c r="CV1" s="5" t="s">
        <v>103</v>
      </c>
      <c r="CW1" s="5" t="s">
        <v>103</v>
      </c>
      <c r="CX1" s="5" t="s">
        <v>103</v>
      </c>
      <c r="CY1" s="5" t="s">
        <v>103</v>
      </c>
      <c r="CZ1" s="5" t="s">
        <v>103</v>
      </c>
      <c r="DA1" s="5" t="s">
        <v>103</v>
      </c>
      <c r="DB1" s="5" t="s">
        <v>103</v>
      </c>
      <c r="DC1" s="5" t="s">
        <v>103</v>
      </c>
      <c r="DD1" s="5" t="s">
        <v>103</v>
      </c>
      <c r="DE1" s="5" t="s">
        <v>103</v>
      </c>
      <c r="DF1" s="5" t="s">
        <v>103</v>
      </c>
      <c r="DG1" s="5" t="s">
        <v>103</v>
      </c>
      <c r="DH1" s="5" t="s">
        <v>103</v>
      </c>
      <c r="DI1" s="5" t="s">
        <v>103</v>
      </c>
      <c r="DJ1" s="5" t="s">
        <v>103</v>
      </c>
      <c r="DK1" s="5" t="s">
        <v>103</v>
      </c>
      <c r="DL1" s="5" t="s">
        <v>103</v>
      </c>
      <c r="DM1" s="5" t="s">
        <v>103</v>
      </c>
      <c r="DN1" s="5" t="s">
        <v>103</v>
      </c>
      <c r="DO1" s="5" t="s">
        <v>103</v>
      </c>
      <c r="DP1" s="5" t="s">
        <v>103</v>
      </c>
      <c r="DQ1" s="5" t="s">
        <v>103</v>
      </c>
      <c r="DR1" s="5" t="s">
        <v>103</v>
      </c>
      <c r="DS1" s="5" t="s">
        <v>103</v>
      </c>
      <c r="DT1" s="5" t="s">
        <v>103</v>
      </c>
      <c r="DU1" s="5" t="s">
        <v>103</v>
      </c>
      <c r="DV1" s="5" t="s">
        <v>103</v>
      </c>
      <c r="DW1" s="5" t="s">
        <v>103</v>
      </c>
      <c r="DX1" s="5" t="s">
        <v>103</v>
      </c>
      <c r="DY1" s="5" t="s">
        <v>103</v>
      </c>
      <c r="DZ1" s="5" t="s">
        <v>103</v>
      </c>
      <c r="EA1" s="5" t="s">
        <v>103</v>
      </c>
      <c r="EB1" s="5" t="s">
        <v>103</v>
      </c>
      <c r="EC1" s="5" t="s">
        <v>103</v>
      </c>
      <c r="ED1" s="5" t="s">
        <v>103</v>
      </c>
      <c r="EE1" s="5" t="s">
        <v>103</v>
      </c>
      <c r="EF1" s="5" t="s">
        <v>103</v>
      </c>
      <c r="EG1" s="5" t="s">
        <v>103</v>
      </c>
      <c r="EH1" s="5" t="s">
        <v>103</v>
      </c>
      <c r="EI1" s="5" t="s">
        <v>103</v>
      </c>
      <c r="EJ1" s="5" t="s">
        <v>103</v>
      </c>
      <c r="EK1" s="5" t="s">
        <v>103</v>
      </c>
      <c r="EL1" s="5" t="s">
        <v>103</v>
      </c>
      <c r="EM1" s="5" t="s">
        <v>103</v>
      </c>
      <c r="EN1" s="5" t="s">
        <v>103</v>
      </c>
      <c r="EO1" s="5" t="s">
        <v>103</v>
      </c>
      <c r="EP1" s="5" t="s">
        <v>103</v>
      </c>
      <c r="EQ1" s="5" t="s">
        <v>103</v>
      </c>
      <c r="ER1" s="5" t="s">
        <v>103</v>
      </c>
      <c r="ES1" s="5" t="s">
        <v>103</v>
      </c>
      <c r="ET1" s="5" t="s">
        <v>103</v>
      </c>
      <c r="EU1" s="5" t="s">
        <v>103</v>
      </c>
      <c r="EV1" s="5" t="s">
        <v>103</v>
      </c>
      <c r="EW1" s="5" t="s">
        <v>103</v>
      </c>
      <c r="EX1" s="5" t="s">
        <v>103</v>
      </c>
      <c r="EY1" s="5" t="s">
        <v>103</v>
      </c>
      <c r="EZ1" s="5" t="s">
        <v>103</v>
      </c>
      <c r="FA1" s="5" t="s">
        <v>103</v>
      </c>
      <c r="FB1" s="5" t="s">
        <v>103</v>
      </c>
      <c r="FC1" s="5" t="s">
        <v>103</v>
      </c>
      <c r="FD1" s="5" t="s">
        <v>103</v>
      </c>
      <c r="FE1" s="5" t="s">
        <v>103</v>
      </c>
      <c r="FF1" s="5" t="s">
        <v>103</v>
      </c>
      <c r="FG1" s="5" t="s">
        <v>103</v>
      </c>
      <c r="FH1" s="5" t="s">
        <v>103</v>
      </c>
      <c r="FI1" s="5" t="s">
        <v>103</v>
      </c>
      <c r="FJ1" s="5" t="s">
        <v>103</v>
      </c>
      <c r="FK1" s="5" t="s">
        <v>103</v>
      </c>
      <c r="FL1" s="5" t="s">
        <v>103</v>
      </c>
      <c r="FM1" s="5" t="s">
        <v>103</v>
      </c>
      <c r="FN1" s="5" t="s">
        <v>103</v>
      </c>
      <c r="FO1" s="5" t="s">
        <v>103</v>
      </c>
      <c r="FP1" s="5" t="s">
        <v>103</v>
      </c>
      <c r="FQ1" s="5" t="s">
        <v>103</v>
      </c>
      <c r="FR1" s="5" t="s">
        <v>103</v>
      </c>
      <c r="FS1" s="5" t="s">
        <v>103</v>
      </c>
      <c r="FT1" s="5" t="s">
        <v>103</v>
      </c>
      <c r="FU1" s="5" t="s">
        <v>103</v>
      </c>
      <c r="FV1" s="5" t="s">
        <v>103</v>
      </c>
      <c r="FW1" s="5" t="s">
        <v>103</v>
      </c>
      <c r="FX1" s="5" t="s">
        <v>103</v>
      </c>
      <c r="FY1" s="5" t="s">
        <v>103</v>
      </c>
      <c r="FZ1" s="5" t="s">
        <v>103</v>
      </c>
      <c r="GA1" s="5" t="s">
        <v>103</v>
      </c>
      <c r="GB1" s="5" t="s">
        <v>103</v>
      </c>
      <c r="GC1" s="5" t="s">
        <v>103</v>
      </c>
      <c r="GD1" s="5" t="s">
        <v>103</v>
      </c>
      <c r="GE1" s="5" t="s">
        <v>103</v>
      </c>
      <c r="GF1" s="5" t="s">
        <v>103</v>
      </c>
      <c r="GG1" s="5" t="s">
        <v>103</v>
      </c>
      <c r="GH1" s="5" t="s">
        <v>103</v>
      </c>
      <c r="GI1" s="5" t="s">
        <v>103</v>
      </c>
      <c r="GJ1" s="5" t="s">
        <v>103</v>
      </c>
      <c r="GK1" s="5" t="s">
        <v>103</v>
      </c>
      <c r="GL1" s="5" t="s">
        <v>103</v>
      </c>
      <c r="GM1" s="5" t="s">
        <v>103</v>
      </c>
      <c r="GN1" s="5" t="s">
        <v>103</v>
      </c>
      <c r="GO1" s="5" t="s">
        <v>103</v>
      </c>
      <c r="GP1" s="5" t="s">
        <v>103</v>
      </c>
      <c r="GQ1" s="5" t="s">
        <v>103</v>
      </c>
      <c r="GR1" s="5" t="s">
        <v>103</v>
      </c>
      <c r="GS1" s="5" t="s">
        <v>103</v>
      </c>
      <c r="GT1" s="5" t="s">
        <v>103</v>
      </c>
      <c r="GU1" s="5" t="s">
        <v>103</v>
      </c>
      <c r="GV1" s="5" t="s">
        <v>103</v>
      </c>
      <c r="GW1" s="5" t="s">
        <v>103</v>
      </c>
      <c r="GX1" s="5" t="s">
        <v>103</v>
      </c>
      <c r="GY1" s="5" t="s">
        <v>103</v>
      </c>
      <c r="GZ1" s="5" t="s">
        <v>103</v>
      </c>
      <c r="HA1" s="5" t="s">
        <v>103</v>
      </c>
      <c r="HB1" s="5" t="s">
        <v>103</v>
      </c>
      <c r="HC1" s="5" t="s">
        <v>103</v>
      </c>
      <c r="HD1" s="5" t="s">
        <v>103</v>
      </c>
      <c r="HE1" s="5" t="s">
        <v>103</v>
      </c>
      <c r="HF1" s="5" t="s">
        <v>103</v>
      </c>
      <c r="HG1" s="5" t="s">
        <v>103</v>
      </c>
      <c r="HH1" s="5" t="s">
        <v>103</v>
      </c>
      <c r="HI1" s="5" t="s">
        <v>103</v>
      </c>
      <c r="HJ1" s="5" t="s">
        <v>103</v>
      </c>
      <c r="HK1" s="5" t="s">
        <v>103</v>
      </c>
      <c r="HL1" s="5" t="s">
        <v>103</v>
      </c>
      <c r="HM1" s="5" t="s">
        <v>103</v>
      </c>
      <c r="HN1" s="5" t="s">
        <v>103</v>
      </c>
      <c r="HO1" s="5" t="s">
        <v>103</v>
      </c>
      <c r="HP1" s="5" t="s">
        <v>103</v>
      </c>
      <c r="HQ1" s="5" t="s">
        <v>103</v>
      </c>
      <c r="HR1" s="5" t="s">
        <v>103</v>
      </c>
      <c r="HS1" s="5" t="s">
        <v>103</v>
      </c>
      <c r="HT1" s="5" t="s">
        <v>103</v>
      </c>
      <c r="HU1" s="5" t="s">
        <v>103</v>
      </c>
      <c r="HV1" s="5" t="s">
        <v>103</v>
      </c>
      <c r="HW1" s="5" t="s">
        <v>103</v>
      </c>
      <c r="HX1" s="5" t="s">
        <v>103</v>
      </c>
      <c r="HY1" s="5" t="s">
        <v>103</v>
      </c>
      <c r="HZ1" s="5" t="s">
        <v>103</v>
      </c>
      <c r="IA1" s="5" t="s">
        <v>103</v>
      </c>
      <c r="IB1" s="5" t="s">
        <v>103</v>
      </c>
      <c r="IC1" s="5" t="s">
        <v>103</v>
      </c>
      <c r="ID1" s="5" t="s">
        <v>103</v>
      </c>
      <c r="IE1" s="5" t="s">
        <v>103</v>
      </c>
      <c r="IF1" s="5" t="s">
        <v>103</v>
      </c>
      <c r="IG1" s="5" t="s">
        <v>103</v>
      </c>
      <c r="IH1" s="5" t="s">
        <v>103</v>
      </c>
      <c r="II1" s="5" t="s">
        <v>103</v>
      </c>
      <c r="IJ1" s="5" t="s">
        <v>103</v>
      </c>
      <c r="IK1" s="5" t="s">
        <v>103</v>
      </c>
      <c r="IL1" s="5" t="s">
        <v>103</v>
      </c>
      <c r="IM1" s="5" t="s">
        <v>103</v>
      </c>
      <c r="IN1" s="5" t="s">
        <v>103</v>
      </c>
      <c r="IO1" s="5" t="s">
        <v>103</v>
      </c>
      <c r="IP1" s="5" t="s">
        <v>103</v>
      </c>
      <c r="IQ1" s="5" t="s">
        <v>103</v>
      </c>
      <c r="IR1" s="5" t="s">
        <v>103</v>
      </c>
      <c r="IS1" s="5" t="s">
        <v>103</v>
      </c>
      <c r="IT1" s="5" t="s">
        <v>103</v>
      </c>
      <c r="IU1" s="5" t="s">
        <v>103</v>
      </c>
      <c r="IV1" s="5" t="s">
        <v>103</v>
      </c>
    </row>
    <row r="2" spans="1:256" ht="26">
      <c r="A2" s="6"/>
      <c r="B2" s="80" t="s">
        <v>104</v>
      </c>
      <c r="C2" s="343" t="s">
        <v>103</v>
      </c>
      <c r="D2" s="343"/>
      <c r="E2" s="343"/>
      <c r="F2" s="329" t="s">
        <v>70</v>
      </c>
      <c r="G2" s="329"/>
      <c r="H2" s="329"/>
      <c r="I2" s="342" t="s">
        <v>105</v>
      </c>
      <c r="J2" s="342"/>
      <c r="K2" s="342"/>
      <c r="L2" s="122">
        <f>+C3+D3+E3+E120+D120+C120</f>
        <v>1449705</v>
      </c>
    </row>
    <row r="3" spans="1:256" ht="52">
      <c r="A3" s="58" t="s">
        <v>106</v>
      </c>
      <c r="B3" s="87">
        <f>+C3+D3+E3+F3+G3+H3+I3+J3+K3</f>
        <v>1613670</v>
      </c>
      <c r="C3" s="59">
        <f t="shared" ref="C3:K3" si="0">+C4+C33+C66+C77+C100</f>
        <v>388405</v>
      </c>
      <c r="D3" s="59">
        <f t="shared" si="0"/>
        <v>240520</v>
      </c>
      <c r="E3" s="59">
        <f t="shared" si="0"/>
        <v>138480</v>
      </c>
      <c r="F3" s="59">
        <f t="shared" si="0"/>
        <v>344580</v>
      </c>
      <c r="G3" s="59">
        <f t="shared" si="0"/>
        <v>172705</v>
      </c>
      <c r="H3" s="59">
        <f t="shared" si="0"/>
        <v>67680</v>
      </c>
      <c r="I3" s="90">
        <f t="shared" si="0"/>
        <v>87100</v>
      </c>
      <c r="J3" s="90">
        <f t="shared" si="0"/>
        <v>87100</v>
      </c>
      <c r="K3" s="90">
        <f t="shared" si="0"/>
        <v>87100</v>
      </c>
      <c r="L3" s="36">
        <f t="shared" ref="L3:L14" si="1">+(C3+D3+E3)/$C$210</f>
        <v>0.36757904493608978</v>
      </c>
      <c r="M3" s="36">
        <f t="shared" ref="M3:M35" si="2">+(F3+G3+H3)/$F$210</f>
        <v>0.56054876703266088</v>
      </c>
      <c r="N3" s="36">
        <f t="shared" ref="N3:N35" si="3">+K3/$I$210</f>
        <v>0.10066606901490205</v>
      </c>
    </row>
    <row r="4" spans="1:256" s="27" customFormat="1" ht="143" outlineLevel="1">
      <c r="A4" s="7" t="s">
        <v>107</v>
      </c>
      <c r="B4" s="87">
        <f>+C4+D4+E4+F4+G4+H4+I4+J4+K4</f>
        <v>305490</v>
      </c>
      <c r="C4" s="26">
        <f t="shared" ref="C4:K4" si="4">SUM(C5:C32)</f>
        <v>114980</v>
      </c>
      <c r="D4" s="26">
        <f t="shared" si="4"/>
        <v>107810</v>
      </c>
      <c r="E4" s="26">
        <f t="shared" si="4"/>
        <v>72950</v>
      </c>
      <c r="F4" s="26">
        <f t="shared" si="4"/>
        <v>9750</v>
      </c>
      <c r="G4" s="26">
        <f t="shared" si="4"/>
        <v>0</v>
      </c>
      <c r="H4" s="26">
        <f t="shared" si="4"/>
        <v>0</v>
      </c>
      <c r="I4" s="26">
        <f t="shared" si="4"/>
        <v>0</v>
      </c>
      <c r="J4" s="26">
        <f t="shared" si="4"/>
        <v>0</v>
      </c>
      <c r="K4" s="26">
        <f t="shared" si="4"/>
        <v>0</v>
      </c>
      <c r="L4" s="36">
        <f t="shared" si="1"/>
        <v>0.14165639623067244</v>
      </c>
      <c r="M4" s="36">
        <f t="shared" si="2"/>
        <v>9.3430384357499063E-3</v>
      </c>
      <c r="N4" s="36">
        <f t="shared" si="3"/>
        <v>0</v>
      </c>
      <c r="O4" s="8"/>
      <c r="P4" s="8"/>
      <c r="Q4" s="8"/>
      <c r="R4" s="8"/>
      <c r="S4" s="8"/>
    </row>
    <row r="5" spans="1:256" ht="39" outlineLevel="4">
      <c r="A5" s="333" t="s">
        <v>108</v>
      </c>
      <c r="B5" s="136" t="s">
        <v>109</v>
      </c>
      <c r="C5" s="137">
        <f>450*100</f>
        <v>45000</v>
      </c>
      <c r="D5" s="138"/>
      <c r="E5" s="138"/>
      <c r="F5" s="103"/>
      <c r="G5" s="104"/>
      <c r="H5" s="104"/>
      <c r="I5" s="91"/>
      <c r="J5" s="91"/>
      <c r="K5" s="91"/>
      <c r="L5" s="36">
        <f t="shared" si="1"/>
        <v>2.1554533814770613E-2</v>
      </c>
      <c r="M5" s="36">
        <f t="shared" si="2"/>
        <v>0</v>
      </c>
      <c r="N5" s="36">
        <f t="shared" si="3"/>
        <v>0</v>
      </c>
    </row>
    <row r="6" spans="1:256" outlineLevel="4" collapsed="1">
      <c r="A6" s="334"/>
      <c r="B6" s="62" t="s">
        <v>110</v>
      </c>
      <c r="C6" s="147">
        <v>2000</v>
      </c>
      <c r="D6" s="10"/>
      <c r="E6" s="10"/>
      <c r="F6" s="103"/>
      <c r="G6" s="104"/>
      <c r="H6" s="104"/>
      <c r="I6" s="91"/>
      <c r="J6" s="91"/>
      <c r="K6" s="91"/>
      <c r="L6" s="36">
        <f t="shared" si="1"/>
        <v>9.5797928065647156E-4</v>
      </c>
      <c r="M6" s="36">
        <f t="shared" si="2"/>
        <v>0</v>
      </c>
      <c r="N6" s="36">
        <f t="shared" si="3"/>
        <v>0</v>
      </c>
    </row>
    <row r="7" spans="1:256" outlineLevel="4" collapsed="1">
      <c r="A7" s="334"/>
      <c r="B7" s="62" t="s">
        <v>111</v>
      </c>
      <c r="C7" s="147">
        <f>303*50</f>
        <v>15150</v>
      </c>
      <c r="D7" s="10"/>
      <c r="E7" s="10"/>
      <c r="F7" s="103"/>
      <c r="G7" s="104"/>
      <c r="H7" s="104"/>
      <c r="I7" s="91"/>
      <c r="J7" s="91"/>
      <c r="K7" s="91"/>
      <c r="L7" s="36">
        <f t="shared" si="1"/>
        <v>7.2566930509727727E-3</v>
      </c>
      <c r="M7" s="36">
        <f t="shared" si="2"/>
        <v>0</v>
      </c>
      <c r="N7" s="36">
        <f t="shared" si="3"/>
        <v>0</v>
      </c>
    </row>
    <row r="8" spans="1:256" ht="26" outlineLevel="4" collapsed="1">
      <c r="A8" s="334"/>
      <c r="B8" s="136" t="s">
        <v>112</v>
      </c>
      <c r="C8" s="137">
        <f>1000*2</f>
        <v>2000</v>
      </c>
      <c r="D8" s="10"/>
      <c r="E8" s="10"/>
      <c r="F8" s="103"/>
      <c r="G8" s="104"/>
      <c r="H8" s="104"/>
      <c r="I8" s="91"/>
      <c r="J8" s="91"/>
      <c r="K8" s="91"/>
      <c r="L8" s="36">
        <f t="shared" si="1"/>
        <v>9.5797928065647156E-4</v>
      </c>
      <c r="M8" s="36">
        <f t="shared" si="2"/>
        <v>0</v>
      </c>
      <c r="N8" s="36">
        <f t="shared" si="3"/>
        <v>0</v>
      </c>
    </row>
    <row r="9" spans="1:256" ht="31.5" customHeight="1" outlineLevel="4" collapsed="1">
      <c r="A9" s="334"/>
      <c r="B9" s="62" t="s">
        <v>113</v>
      </c>
      <c r="C9" s="147">
        <f>20*90</f>
        <v>1800</v>
      </c>
      <c r="D9" s="10"/>
      <c r="E9" s="10"/>
      <c r="F9" s="103"/>
      <c r="G9" s="104"/>
      <c r="H9" s="104"/>
      <c r="I9" s="91"/>
      <c r="J9" s="91"/>
      <c r="K9" s="91"/>
      <c r="L9" s="36">
        <f t="shared" si="1"/>
        <v>8.6218135259082443E-4</v>
      </c>
      <c r="M9" s="36">
        <f t="shared" si="2"/>
        <v>0</v>
      </c>
      <c r="N9" s="36">
        <f t="shared" si="3"/>
        <v>0</v>
      </c>
    </row>
    <row r="10" spans="1:256" ht="31.5" customHeight="1" outlineLevel="4" collapsed="1">
      <c r="A10" s="335"/>
      <c r="B10" s="62" t="s">
        <v>114</v>
      </c>
      <c r="C10" s="147">
        <v>10000</v>
      </c>
      <c r="D10" s="10"/>
      <c r="E10" s="10"/>
      <c r="F10" s="103"/>
      <c r="G10" s="104"/>
      <c r="H10" s="104"/>
      <c r="I10" s="91"/>
      <c r="J10" s="91"/>
      <c r="K10" s="91"/>
      <c r="L10" s="36">
        <f t="shared" si="1"/>
        <v>4.7898964032823581E-3</v>
      </c>
      <c r="M10" s="36">
        <f t="shared" si="2"/>
        <v>0</v>
      </c>
      <c r="N10" s="36">
        <f t="shared" si="3"/>
        <v>0</v>
      </c>
    </row>
    <row r="11" spans="1:256" ht="39" outlineLevel="4" collapsed="1">
      <c r="A11" s="333" t="s">
        <v>115</v>
      </c>
      <c r="B11" s="136" t="s">
        <v>109</v>
      </c>
      <c r="C11" s="137">
        <f>400*35</f>
        <v>14000</v>
      </c>
      <c r="D11" s="138"/>
      <c r="E11" s="138"/>
      <c r="F11" s="103"/>
      <c r="G11" s="104"/>
      <c r="H11" s="104"/>
      <c r="I11" s="91"/>
      <c r="J11" s="91"/>
      <c r="K11" s="91"/>
      <c r="L11" s="36">
        <f t="shared" si="1"/>
        <v>6.705854964595301E-3</v>
      </c>
      <c r="M11" s="36">
        <f t="shared" si="2"/>
        <v>0</v>
      </c>
      <c r="N11" s="36">
        <f t="shared" si="3"/>
        <v>0</v>
      </c>
    </row>
    <row r="12" spans="1:256" ht="30" customHeight="1" outlineLevel="4" collapsed="1">
      <c r="A12" s="334"/>
      <c r="B12" s="62" t="s">
        <v>110</v>
      </c>
      <c r="C12" s="147">
        <v>2000</v>
      </c>
      <c r="D12" s="10"/>
      <c r="E12" s="10"/>
      <c r="F12" s="103"/>
      <c r="G12" s="104"/>
      <c r="H12" s="104"/>
      <c r="I12" s="91"/>
      <c r="J12" s="91"/>
      <c r="K12" s="91"/>
      <c r="L12" s="36">
        <f t="shared" si="1"/>
        <v>9.5797928065647156E-4</v>
      </c>
      <c r="M12" s="36">
        <f t="shared" si="2"/>
        <v>0</v>
      </c>
      <c r="N12" s="36">
        <f t="shared" si="3"/>
        <v>0</v>
      </c>
    </row>
    <row r="13" spans="1:256" ht="30" customHeight="1" outlineLevel="4" collapsed="1">
      <c r="A13" s="334"/>
      <c r="B13" s="62" t="s">
        <v>111</v>
      </c>
      <c r="C13" s="147">
        <f>10*303</f>
        <v>3030</v>
      </c>
      <c r="D13" s="10"/>
      <c r="E13" s="10"/>
      <c r="F13" s="103"/>
      <c r="G13" s="104"/>
      <c r="H13" s="104"/>
      <c r="I13" s="91"/>
      <c r="J13" s="91"/>
      <c r="K13" s="91"/>
      <c r="L13" s="36">
        <f t="shared" si="1"/>
        <v>1.4513386101945545E-3</v>
      </c>
      <c r="M13" s="36">
        <f t="shared" si="2"/>
        <v>0</v>
      </c>
      <c r="N13" s="36">
        <f t="shared" si="3"/>
        <v>0</v>
      </c>
    </row>
    <row r="14" spans="1:256" ht="52" outlineLevel="4" collapsed="1">
      <c r="A14" s="334"/>
      <c r="B14" s="62" t="s">
        <v>116</v>
      </c>
      <c r="C14" s="9">
        <v>15000</v>
      </c>
      <c r="D14" s="9">
        <v>10000</v>
      </c>
      <c r="E14" s="55"/>
      <c r="F14" s="103"/>
      <c r="G14" s="104"/>
      <c r="H14" s="104"/>
      <c r="I14" s="91"/>
      <c r="J14" s="91"/>
      <c r="K14" s="91"/>
      <c r="L14" s="36">
        <f t="shared" si="1"/>
        <v>1.1974741008205895E-2</v>
      </c>
      <c r="M14" s="36">
        <f t="shared" si="2"/>
        <v>0</v>
      </c>
      <c r="N14" s="36">
        <f t="shared" si="3"/>
        <v>0</v>
      </c>
    </row>
    <row r="15" spans="1:256" ht="39" outlineLevel="4" collapsed="1">
      <c r="A15" s="333" t="s">
        <v>117</v>
      </c>
      <c r="B15" s="62" t="s">
        <v>118</v>
      </c>
      <c r="C15" s="12"/>
      <c r="D15" s="40"/>
      <c r="E15" s="41"/>
      <c r="F15" s="155">
        <f>250*25</f>
        <v>6250</v>
      </c>
      <c r="G15" s="104"/>
      <c r="H15" s="104"/>
      <c r="I15" s="91"/>
      <c r="J15" s="91"/>
      <c r="K15" s="91"/>
      <c r="L15" s="36">
        <f>+(C15+D15+F15)/$C$210</f>
        <v>2.9936852520514737E-3</v>
      </c>
      <c r="M15" s="36">
        <f t="shared" si="2"/>
        <v>5.9891272024037859E-3</v>
      </c>
      <c r="N15" s="36">
        <f t="shared" si="3"/>
        <v>0</v>
      </c>
    </row>
    <row r="16" spans="1:256" ht="26" outlineLevel="4" collapsed="1">
      <c r="A16" s="334"/>
      <c r="B16" s="62" t="s">
        <v>119</v>
      </c>
      <c r="C16" s="12"/>
      <c r="D16" s="40"/>
      <c r="E16" s="24"/>
      <c r="F16" s="155">
        <f>350*10</f>
        <v>3500</v>
      </c>
      <c r="G16" s="104"/>
      <c r="H16" s="104"/>
      <c r="I16" s="91"/>
      <c r="J16" s="91"/>
      <c r="K16" s="91"/>
      <c r="L16" s="36">
        <f>+(C16+D16+F16)/$C$210</f>
        <v>1.6764637411488253E-3</v>
      </c>
      <c r="M16" s="36">
        <f t="shared" si="2"/>
        <v>3.35391123334612E-3</v>
      </c>
      <c r="N16" s="36">
        <f t="shared" si="3"/>
        <v>0</v>
      </c>
    </row>
    <row r="17" spans="1:14" ht="39.75" customHeight="1" outlineLevel="4" collapsed="1">
      <c r="A17" s="334"/>
      <c r="B17" s="136" t="s">
        <v>120</v>
      </c>
      <c r="C17" s="139">
        <v>5000</v>
      </c>
      <c r="D17" s="140"/>
      <c r="E17" s="140"/>
      <c r="F17" s="105"/>
      <c r="G17" s="104"/>
      <c r="H17" s="104"/>
      <c r="I17" s="91"/>
      <c r="J17" s="91"/>
      <c r="K17" s="91"/>
      <c r="L17" s="36">
        <f t="shared" ref="L17:L35" si="5">+(C17+D17+E17)/$C$210</f>
        <v>2.3949482016411791E-3</v>
      </c>
      <c r="M17" s="36">
        <f t="shared" si="2"/>
        <v>0</v>
      </c>
      <c r="N17" s="36">
        <f t="shared" si="3"/>
        <v>0</v>
      </c>
    </row>
    <row r="18" spans="1:14" ht="27" customHeight="1" outlineLevel="4" collapsed="1">
      <c r="A18" s="333" t="s">
        <v>121</v>
      </c>
      <c r="B18" s="136" t="s">
        <v>122</v>
      </c>
      <c r="C18" s="141"/>
      <c r="D18" s="142">
        <f>300*55</f>
        <v>16500</v>
      </c>
      <c r="E18" s="143"/>
      <c r="F18" s="106"/>
      <c r="G18" s="104"/>
      <c r="H18" s="104"/>
      <c r="I18" s="91"/>
      <c r="J18" s="91"/>
      <c r="K18" s="91"/>
      <c r="L18" s="36">
        <f t="shared" si="5"/>
        <v>7.9033290654158903E-3</v>
      </c>
      <c r="M18" s="36">
        <f t="shared" si="2"/>
        <v>0</v>
      </c>
      <c r="N18" s="36">
        <f t="shared" si="3"/>
        <v>0</v>
      </c>
    </row>
    <row r="19" spans="1:14" ht="41.25" customHeight="1" outlineLevel="4" collapsed="1">
      <c r="A19" s="334"/>
      <c r="B19" s="136" t="s">
        <v>119</v>
      </c>
      <c r="C19" s="141"/>
      <c r="D19" s="142">
        <f>10*375</f>
        <v>3750</v>
      </c>
      <c r="E19" s="143"/>
      <c r="F19" s="106"/>
      <c r="G19" s="104"/>
      <c r="H19" s="104"/>
      <c r="I19" s="91"/>
      <c r="J19" s="91"/>
      <c r="K19" s="91"/>
      <c r="L19" s="36">
        <f t="shared" si="5"/>
        <v>1.7962111512308842E-3</v>
      </c>
      <c r="M19" s="36">
        <f t="shared" si="2"/>
        <v>0</v>
      </c>
      <c r="N19" s="36">
        <f t="shared" si="3"/>
        <v>0</v>
      </c>
    </row>
    <row r="20" spans="1:14" ht="41.25" customHeight="1" outlineLevel="4" collapsed="1">
      <c r="A20" s="334"/>
      <c r="B20" s="136" t="s">
        <v>120</v>
      </c>
      <c r="C20" s="141"/>
      <c r="D20" s="142">
        <v>5000</v>
      </c>
      <c r="E20" s="143"/>
      <c r="F20" s="106"/>
      <c r="G20" s="104"/>
      <c r="H20" s="104"/>
      <c r="I20" s="91"/>
      <c r="J20" s="91"/>
      <c r="K20" s="91"/>
      <c r="L20" s="36">
        <f t="shared" si="5"/>
        <v>2.3949482016411791E-3</v>
      </c>
      <c r="M20" s="36">
        <f t="shared" si="2"/>
        <v>0</v>
      </c>
      <c r="N20" s="36">
        <f t="shared" si="3"/>
        <v>0</v>
      </c>
    </row>
    <row r="21" spans="1:14" ht="42" customHeight="1" outlineLevel="4" collapsed="1">
      <c r="A21" s="335"/>
      <c r="B21" s="136" t="s">
        <v>123</v>
      </c>
      <c r="C21" s="141"/>
      <c r="D21" s="142">
        <f>400*5</f>
        <v>2000</v>
      </c>
      <c r="E21" s="143"/>
      <c r="F21" s="106"/>
      <c r="G21" s="104"/>
      <c r="H21" s="104"/>
      <c r="I21" s="91"/>
      <c r="J21" s="91"/>
      <c r="K21" s="91"/>
      <c r="L21" s="36">
        <f t="shared" si="5"/>
        <v>9.5797928065647156E-4</v>
      </c>
      <c r="M21" s="36">
        <f t="shared" si="2"/>
        <v>0</v>
      </c>
      <c r="N21" s="36">
        <f t="shared" si="3"/>
        <v>0</v>
      </c>
    </row>
    <row r="22" spans="1:14" ht="30.75" customHeight="1" outlineLevel="4" collapsed="1">
      <c r="A22" s="336" t="s">
        <v>124</v>
      </c>
      <c r="B22" s="136" t="s">
        <v>109</v>
      </c>
      <c r="C22" s="141"/>
      <c r="D22" s="142">
        <f>400*95</f>
        <v>38000</v>
      </c>
      <c r="E22" s="143"/>
      <c r="F22" s="106"/>
      <c r="G22" s="104"/>
      <c r="H22" s="104"/>
      <c r="I22" s="91"/>
      <c r="J22" s="91"/>
      <c r="K22" s="91"/>
      <c r="L22" s="36">
        <f t="shared" si="5"/>
        <v>1.8201606332472961E-2</v>
      </c>
      <c r="M22" s="36">
        <f t="shared" si="2"/>
        <v>0</v>
      </c>
      <c r="N22" s="36">
        <f t="shared" si="3"/>
        <v>0</v>
      </c>
    </row>
    <row r="23" spans="1:14" ht="30.75" customHeight="1" outlineLevel="4" collapsed="1">
      <c r="A23" s="337"/>
      <c r="B23" s="62" t="s">
        <v>110</v>
      </c>
      <c r="C23" s="13"/>
      <c r="D23" s="148">
        <f>2000*2</f>
        <v>4000</v>
      </c>
      <c r="E23" s="15"/>
      <c r="F23" s="106"/>
      <c r="G23" s="104"/>
      <c r="H23" s="104"/>
      <c r="I23" s="91"/>
      <c r="J23" s="91"/>
      <c r="K23" s="91"/>
      <c r="L23" s="36">
        <f t="shared" si="5"/>
        <v>1.9159585613129431E-3</v>
      </c>
      <c r="M23" s="36">
        <f t="shared" si="2"/>
        <v>0</v>
      </c>
      <c r="N23" s="36">
        <f t="shared" si="3"/>
        <v>0</v>
      </c>
    </row>
    <row r="24" spans="1:14" ht="30.75" customHeight="1" outlineLevel="4" collapsed="1">
      <c r="A24" s="337"/>
      <c r="B24" s="62" t="s">
        <v>111</v>
      </c>
      <c r="C24" s="13"/>
      <c r="D24" s="148">
        <f>303*20</f>
        <v>6060</v>
      </c>
      <c r="E24" s="15"/>
      <c r="F24" s="106"/>
      <c r="G24" s="104"/>
      <c r="H24" s="104"/>
      <c r="I24" s="91"/>
      <c r="J24" s="91"/>
      <c r="K24" s="91"/>
      <c r="L24" s="36">
        <f t="shared" si="5"/>
        <v>2.9026772203891091E-3</v>
      </c>
      <c r="M24" s="36">
        <f t="shared" si="2"/>
        <v>0</v>
      </c>
      <c r="N24" s="36">
        <f t="shared" si="3"/>
        <v>0</v>
      </c>
    </row>
    <row r="25" spans="1:14" ht="30.75" customHeight="1" outlineLevel="4" collapsed="1">
      <c r="A25" s="337"/>
      <c r="B25" s="136" t="s">
        <v>125</v>
      </c>
      <c r="C25" s="141"/>
      <c r="D25" s="142">
        <v>2500</v>
      </c>
      <c r="E25" s="143"/>
      <c r="F25" s="106"/>
      <c r="G25" s="104"/>
      <c r="H25" s="104"/>
      <c r="I25" s="91"/>
      <c r="J25" s="91"/>
      <c r="K25" s="91"/>
      <c r="L25" s="36">
        <f t="shared" si="5"/>
        <v>1.1974741008205895E-3</v>
      </c>
      <c r="M25" s="36">
        <f t="shared" si="2"/>
        <v>0</v>
      </c>
      <c r="N25" s="36">
        <f t="shared" si="3"/>
        <v>0</v>
      </c>
    </row>
    <row r="26" spans="1:14" ht="40.5" customHeight="1" outlineLevel="4" collapsed="1">
      <c r="A26" s="338"/>
      <c r="B26" s="62" t="s">
        <v>126</v>
      </c>
      <c r="C26" s="14"/>
      <c r="D26" s="25">
        <v>20000</v>
      </c>
      <c r="E26" s="25">
        <v>15000</v>
      </c>
      <c r="F26" s="106"/>
      <c r="G26" s="104"/>
      <c r="H26" s="104"/>
      <c r="I26" s="91"/>
      <c r="J26" s="91"/>
      <c r="K26" s="91"/>
      <c r="L26" s="36">
        <f t="shared" si="5"/>
        <v>1.6764637411488252E-2</v>
      </c>
      <c r="M26" s="36">
        <f t="shared" si="2"/>
        <v>0</v>
      </c>
      <c r="N26" s="36">
        <f t="shared" si="3"/>
        <v>0</v>
      </c>
    </row>
    <row r="27" spans="1:14" ht="39" outlineLevel="4" collapsed="1">
      <c r="A27" s="333" t="s">
        <v>127</v>
      </c>
      <c r="B27" s="62" t="s">
        <v>109</v>
      </c>
      <c r="C27" s="14"/>
      <c r="D27" s="15"/>
      <c r="E27" s="137">
        <f>450*60</f>
        <v>27000</v>
      </c>
      <c r="F27" s="106"/>
      <c r="G27" s="104"/>
      <c r="H27" s="104"/>
      <c r="I27" s="91"/>
      <c r="J27" s="91"/>
      <c r="K27" s="91"/>
      <c r="L27" s="36">
        <f t="shared" si="5"/>
        <v>1.2932720288862366E-2</v>
      </c>
      <c r="M27" s="36">
        <f t="shared" si="2"/>
        <v>0</v>
      </c>
      <c r="N27" s="36">
        <f t="shared" si="3"/>
        <v>0</v>
      </c>
    </row>
    <row r="28" spans="1:14" outlineLevel="4" collapsed="1">
      <c r="A28" s="334"/>
      <c r="B28" s="62" t="s">
        <v>110</v>
      </c>
      <c r="C28" s="14"/>
      <c r="D28" s="15"/>
      <c r="E28" s="147">
        <v>2000</v>
      </c>
      <c r="F28" s="106"/>
      <c r="G28" s="104"/>
      <c r="H28" s="104"/>
      <c r="I28" s="91"/>
      <c r="J28" s="91"/>
      <c r="K28" s="91"/>
      <c r="L28" s="36">
        <f t="shared" si="5"/>
        <v>9.5797928065647156E-4</v>
      </c>
      <c r="M28" s="36">
        <f t="shared" si="2"/>
        <v>0</v>
      </c>
      <c r="N28" s="36">
        <f t="shared" si="3"/>
        <v>0</v>
      </c>
    </row>
    <row r="29" spans="1:14" outlineLevel="4" collapsed="1">
      <c r="A29" s="334"/>
      <c r="B29" s="62" t="s">
        <v>111</v>
      </c>
      <c r="C29" s="14"/>
      <c r="D29" s="15"/>
      <c r="E29" s="147">
        <f>303*50</f>
        <v>15150</v>
      </c>
      <c r="F29" s="106"/>
      <c r="G29" s="104"/>
      <c r="H29" s="104"/>
      <c r="I29" s="91"/>
      <c r="J29" s="91"/>
      <c r="K29" s="91"/>
      <c r="L29" s="36">
        <f t="shared" si="5"/>
        <v>7.2566930509727727E-3</v>
      </c>
      <c r="M29" s="36">
        <f t="shared" si="2"/>
        <v>0</v>
      </c>
      <c r="N29" s="36">
        <f t="shared" si="3"/>
        <v>0</v>
      </c>
    </row>
    <row r="30" spans="1:14" ht="26" outlineLevel="4" collapsed="1">
      <c r="A30" s="334"/>
      <c r="B30" s="62" t="s">
        <v>112</v>
      </c>
      <c r="C30" s="14"/>
      <c r="D30" s="15"/>
      <c r="E30" s="137">
        <f>1000*2</f>
        <v>2000</v>
      </c>
      <c r="F30" s="106"/>
      <c r="G30" s="104"/>
      <c r="H30" s="104"/>
      <c r="I30" s="91"/>
      <c r="J30" s="91"/>
      <c r="K30" s="91"/>
      <c r="L30" s="36">
        <f t="shared" si="5"/>
        <v>9.5797928065647156E-4</v>
      </c>
      <c r="M30" s="36">
        <f t="shared" si="2"/>
        <v>0</v>
      </c>
      <c r="N30" s="36">
        <f t="shared" si="3"/>
        <v>0</v>
      </c>
    </row>
    <row r="31" spans="1:14" outlineLevel="4" collapsed="1">
      <c r="A31" s="334"/>
      <c r="B31" s="62" t="s">
        <v>113</v>
      </c>
      <c r="C31" s="14"/>
      <c r="D31" s="15"/>
      <c r="E31" s="147">
        <f>20*90</f>
        <v>1800</v>
      </c>
      <c r="F31" s="106"/>
      <c r="G31" s="104"/>
      <c r="H31" s="104"/>
      <c r="I31" s="91"/>
      <c r="J31" s="91"/>
      <c r="K31" s="91"/>
      <c r="L31" s="36">
        <f t="shared" si="5"/>
        <v>8.6218135259082443E-4</v>
      </c>
      <c r="M31" s="36">
        <f t="shared" si="2"/>
        <v>0</v>
      </c>
      <c r="N31" s="36">
        <f t="shared" si="3"/>
        <v>0</v>
      </c>
    </row>
    <row r="32" spans="1:14" ht="26" outlineLevel="4" collapsed="1">
      <c r="A32" s="334"/>
      <c r="B32" s="62" t="s">
        <v>128</v>
      </c>
      <c r="C32" s="14"/>
      <c r="D32" s="15"/>
      <c r="E32" s="9">
        <v>10000</v>
      </c>
      <c r="F32" s="106"/>
      <c r="G32" s="104"/>
      <c r="H32" s="104"/>
      <c r="I32" s="91"/>
      <c r="J32" s="91"/>
      <c r="K32" s="91"/>
      <c r="L32" s="36">
        <f t="shared" si="5"/>
        <v>4.7898964032823581E-3</v>
      </c>
      <c r="M32" s="36">
        <f t="shared" si="2"/>
        <v>0</v>
      </c>
      <c r="N32" s="36">
        <f t="shared" si="3"/>
        <v>0</v>
      </c>
    </row>
    <row r="33" spans="1:14" s="27" customFormat="1" ht="84" customHeight="1" outlineLevel="1">
      <c r="A33" s="7" t="s">
        <v>129</v>
      </c>
      <c r="B33" s="87">
        <f>+C33+D33+E33+F33+G33+H33+I33+J33+K33</f>
        <v>495890</v>
      </c>
      <c r="C33" s="29">
        <f t="shared" ref="C33:K33" si="6">SUM(C34:C65)</f>
        <v>0</v>
      </c>
      <c r="D33" s="29">
        <f t="shared" si="6"/>
        <v>42060</v>
      </c>
      <c r="E33" s="29">
        <f t="shared" si="6"/>
        <v>0</v>
      </c>
      <c r="F33" s="29">
        <f t="shared" si="6"/>
        <v>243445</v>
      </c>
      <c r="G33" s="29">
        <f t="shared" si="6"/>
        <v>142705</v>
      </c>
      <c r="H33" s="29">
        <f t="shared" si="6"/>
        <v>67680</v>
      </c>
      <c r="I33" s="29">
        <f t="shared" si="6"/>
        <v>0</v>
      </c>
      <c r="J33" s="29">
        <f t="shared" si="6"/>
        <v>0</v>
      </c>
      <c r="K33" s="29">
        <f t="shared" si="6"/>
        <v>0</v>
      </c>
      <c r="L33" s="36">
        <f t="shared" si="5"/>
        <v>2.0146304272205599E-2</v>
      </c>
      <c r="M33" s="36">
        <f t="shared" si="2"/>
        <v>0.43488729572270562</v>
      </c>
      <c r="N33" s="36">
        <f t="shared" si="3"/>
        <v>0</v>
      </c>
    </row>
    <row r="34" spans="1:14" s="24" customFormat="1" outlineLevel="2">
      <c r="A34" s="330" t="s">
        <v>130</v>
      </c>
      <c r="B34" s="28" t="s">
        <v>131</v>
      </c>
      <c r="C34" s="14"/>
      <c r="D34" s="14"/>
      <c r="E34" s="14"/>
      <c r="F34" s="107"/>
      <c r="G34" s="157">
        <f>(3*20*25*5)*3</f>
        <v>22500</v>
      </c>
      <c r="H34" s="107"/>
      <c r="I34" s="92"/>
      <c r="J34" s="92"/>
      <c r="K34" s="92"/>
      <c r="L34" s="36">
        <f t="shared" si="5"/>
        <v>0</v>
      </c>
      <c r="M34" s="36">
        <f t="shared" si="2"/>
        <v>2.1560857928653629E-2</v>
      </c>
      <c r="N34" s="36">
        <f t="shared" si="3"/>
        <v>0</v>
      </c>
    </row>
    <row r="35" spans="1:14" s="24" customFormat="1" ht="20.25" customHeight="1" outlineLevel="2" collapsed="1">
      <c r="A35" s="331"/>
      <c r="B35" s="28" t="s">
        <v>132</v>
      </c>
      <c r="C35" s="14"/>
      <c r="D35" s="14"/>
      <c r="E35" s="14"/>
      <c r="F35" s="107"/>
      <c r="G35" s="157">
        <f>225*60</f>
        <v>13500</v>
      </c>
      <c r="H35" s="107"/>
      <c r="I35" s="92"/>
      <c r="J35" s="92"/>
      <c r="K35" s="92"/>
      <c r="L35" s="36">
        <f t="shared" si="5"/>
        <v>0</v>
      </c>
      <c r="M35" s="36">
        <f t="shared" si="2"/>
        <v>1.2936514757192177E-2</v>
      </c>
      <c r="N35" s="36">
        <f t="shared" si="3"/>
        <v>0</v>
      </c>
    </row>
    <row r="36" spans="1:14" s="24" customFormat="1" ht="20.25" customHeight="1" outlineLevel="2">
      <c r="A36" s="331"/>
      <c r="B36" s="28" t="s">
        <v>133</v>
      </c>
      <c r="C36" s="14"/>
      <c r="D36" s="14"/>
      <c r="E36" s="14"/>
      <c r="F36" s="107"/>
      <c r="G36" s="156">
        <f>175*15</f>
        <v>2625</v>
      </c>
      <c r="H36" s="107"/>
      <c r="I36" s="92"/>
      <c r="J36" s="92"/>
      <c r="K36" s="92"/>
      <c r="L36" s="36"/>
      <c r="M36" s="36"/>
      <c r="N36" s="36"/>
    </row>
    <row r="37" spans="1:14" s="24" customFormat="1" ht="20.25" customHeight="1" outlineLevel="2" collapsed="1">
      <c r="A37" s="331"/>
      <c r="B37" s="62" t="s">
        <v>134</v>
      </c>
      <c r="C37" s="14"/>
      <c r="D37" s="14"/>
      <c r="E37" s="14"/>
      <c r="F37" s="107"/>
      <c r="G37" s="165">
        <f>25*5*2</f>
        <v>250</v>
      </c>
      <c r="H37" s="107"/>
      <c r="I37" s="92"/>
      <c r="J37" s="92"/>
      <c r="K37" s="92"/>
      <c r="L37" s="36"/>
      <c r="M37" s="36">
        <f t="shared" ref="M37:M42" si="7">+(F37+G37+H37)/$F$210</f>
        <v>2.3956508809615143E-4</v>
      </c>
      <c r="N37" s="36">
        <f t="shared" ref="N37:N52" si="8">+K37/$I$210</f>
        <v>0</v>
      </c>
    </row>
    <row r="38" spans="1:14" s="24" customFormat="1" ht="20.25" customHeight="1" outlineLevel="2" collapsed="1">
      <c r="A38" s="331"/>
      <c r="B38" s="62" t="s">
        <v>135</v>
      </c>
      <c r="C38" s="14"/>
      <c r="D38" s="14"/>
      <c r="E38" s="14"/>
      <c r="F38" s="107"/>
      <c r="G38" s="156">
        <f>70*5*7*3*2</f>
        <v>14700</v>
      </c>
      <c r="H38" s="107"/>
      <c r="I38" s="92"/>
      <c r="J38" s="92"/>
      <c r="K38" s="92"/>
      <c r="L38" s="36"/>
      <c r="M38" s="36">
        <f t="shared" si="7"/>
        <v>1.4086427180053703E-2</v>
      </c>
      <c r="N38" s="36">
        <f t="shared" si="8"/>
        <v>0</v>
      </c>
    </row>
    <row r="39" spans="1:14" s="24" customFormat="1" ht="33" customHeight="1" outlineLevel="2" collapsed="1">
      <c r="A39" s="332"/>
      <c r="B39" s="62" t="s">
        <v>136</v>
      </c>
      <c r="C39" s="14"/>
      <c r="D39" s="14"/>
      <c r="E39" s="14"/>
      <c r="F39" s="107"/>
      <c r="G39" s="156">
        <f>30*25*3</f>
        <v>2250</v>
      </c>
      <c r="H39" s="107"/>
      <c r="I39" s="92"/>
      <c r="J39" s="92"/>
      <c r="K39" s="92"/>
      <c r="L39" s="36">
        <f>+(C39+D39+E39)/$C$210</f>
        <v>0</v>
      </c>
      <c r="M39" s="36">
        <f t="shared" si="7"/>
        <v>2.1560857928653626E-3</v>
      </c>
      <c r="N39" s="36">
        <f t="shared" si="8"/>
        <v>0</v>
      </c>
    </row>
    <row r="40" spans="1:14" s="24" customFormat="1" ht="26" outlineLevel="2" collapsed="1">
      <c r="A40" s="330" t="s">
        <v>137</v>
      </c>
      <c r="B40" s="62" t="s">
        <v>134</v>
      </c>
      <c r="C40" s="14"/>
      <c r="D40" s="14"/>
      <c r="E40" s="14"/>
      <c r="F40" s="107"/>
      <c r="G40" s="164"/>
      <c r="H40" s="164"/>
      <c r="I40" s="92"/>
      <c r="J40" s="92"/>
      <c r="K40" s="92"/>
      <c r="L40" s="36">
        <f>+(C40+D40+E40)/$C$210</f>
        <v>0</v>
      </c>
      <c r="M40" s="36">
        <f t="shared" si="7"/>
        <v>0</v>
      </c>
      <c r="N40" s="36">
        <f t="shared" si="8"/>
        <v>0</v>
      </c>
    </row>
    <row r="41" spans="1:14" s="24" customFormat="1" ht="26" outlineLevel="2" collapsed="1">
      <c r="A41" s="331"/>
      <c r="B41" s="62" t="s">
        <v>138</v>
      </c>
      <c r="C41" s="14"/>
      <c r="D41" s="14"/>
      <c r="E41" s="14"/>
      <c r="F41" s="163">
        <f>4500*4</f>
        <v>18000</v>
      </c>
      <c r="G41" s="54"/>
      <c r="H41" s="54"/>
      <c r="I41" s="92"/>
      <c r="J41" s="92"/>
      <c r="K41" s="92"/>
      <c r="L41" s="36"/>
      <c r="M41" s="36">
        <f t="shared" si="7"/>
        <v>1.7248686342922901E-2</v>
      </c>
      <c r="N41" s="36">
        <f t="shared" si="8"/>
        <v>0</v>
      </c>
    </row>
    <row r="42" spans="1:14" s="24" customFormat="1" outlineLevel="2" collapsed="1">
      <c r="A42" s="331"/>
      <c r="B42" s="62" t="s">
        <v>139</v>
      </c>
      <c r="C42" s="14"/>
      <c r="D42" s="14"/>
      <c r="E42" s="14"/>
      <c r="F42" s="163">
        <v>71000</v>
      </c>
      <c r="G42" s="54"/>
      <c r="H42" s="54"/>
      <c r="I42" s="92"/>
      <c r="J42" s="92"/>
      <c r="K42" s="92"/>
      <c r="L42" s="36"/>
      <c r="M42" s="36">
        <f t="shared" si="7"/>
        <v>6.8036485019307008E-2</v>
      </c>
      <c r="N42" s="36">
        <f t="shared" si="8"/>
        <v>0</v>
      </c>
    </row>
    <row r="43" spans="1:14" s="24" customFormat="1" outlineLevel="2" collapsed="1">
      <c r="A43" s="330" t="s">
        <v>140</v>
      </c>
      <c r="B43" s="62" t="s">
        <v>122</v>
      </c>
      <c r="C43" s="14"/>
      <c r="D43" s="16"/>
      <c r="E43" s="16"/>
      <c r="F43" s="84"/>
      <c r="G43" s="157">
        <f>200*80</f>
        <v>16000</v>
      </c>
      <c r="H43" s="54"/>
      <c r="I43" s="92"/>
      <c r="J43" s="92"/>
      <c r="K43" s="92"/>
      <c r="L43" s="36">
        <f>+(C43+D43+E43)/$C$210</f>
        <v>0</v>
      </c>
      <c r="M43" s="36" t="e">
        <f>+(#REF!+G43+H43)/$F$210</f>
        <v>#REF!</v>
      </c>
      <c r="N43" s="36">
        <f t="shared" si="8"/>
        <v>0</v>
      </c>
    </row>
    <row r="44" spans="1:14" s="24" customFormat="1" ht="26" outlineLevel="2" collapsed="1">
      <c r="A44" s="331"/>
      <c r="B44" s="62" t="s">
        <v>141</v>
      </c>
      <c r="C44" s="14"/>
      <c r="D44" s="16"/>
      <c r="E44" s="16"/>
      <c r="F44" s="84"/>
      <c r="G44" s="157">
        <f>25*25*4</f>
        <v>2500</v>
      </c>
      <c r="H44" s="54"/>
      <c r="I44" s="92"/>
      <c r="J44" s="92"/>
      <c r="K44" s="92"/>
      <c r="L44" s="36"/>
      <c r="M44" s="36" t="e">
        <f>+(#REF!+G44+H44)/$F$210</f>
        <v>#REF!</v>
      </c>
      <c r="N44" s="36">
        <f t="shared" si="8"/>
        <v>0</v>
      </c>
    </row>
    <row r="45" spans="1:14" s="24" customFormat="1" outlineLevel="2" collapsed="1">
      <c r="A45" s="331"/>
      <c r="B45" s="62" t="s">
        <v>142</v>
      </c>
      <c r="C45" s="14"/>
      <c r="D45" s="16"/>
      <c r="E45" s="16"/>
      <c r="F45" s="84"/>
      <c r="G45" s="158">
        <f>70*10</f>
        <v>700</v>
      </c>
      <c r="H45" s="54"/>
      <c r="I45" s="92"/>
      <c r="J45" s="92"/>
      <c r="K45" s="92"/>
      <c r="L45" s="36"/>
      <c r="M45" s="36" t="e">
        <f>+(#REF!+G45+H45)/$F$210</f>
        <v>#REF!</v>
      </c>
      <c r="N45" s="36">
        <f t="shared" si="8"/>
        <v>0</v>
      </c>
    </row>
    <row r="46" spans="1:14" s="24" customFormat="1" ht="39" outlineLevel="2" collapsed="1">
      <c r="A46" s="331"/>
      <c r="B46" s="62" t="s">
        <v>109</v>
      </c>
      <c r="C46" s="14"/>
      <c r="D46" s="142">
        <f>400*80</f>
        <v>32000</v>
      </c>
      <c r="E46" s="16"/>
      <c r="F46" s="54"/>
      <c r="G46" s="54"/>
      <c r="H46" s="54"/>
      <c r="I46" s="92"/>
      <c r="J46" s="92"/>
      <c r="K46" s="92"/>
      <c r="L46" s="36" t="e">
        <f>+(D46+#REF!+E46)/$C$210</f>
        <v>#REF!</v>
      </c>
      <c r="M46" s="36">
        <f t="shared" ref="M46:M52" si="9">+(F46+G46+H46)/$F$210</f>
        <v>0</v>
      </c>
      <c r="N46" s="36">
        <f t="shared" si="8"/>
        <v>0</v>
      </c>
    </row>
    <row r="47" spans="1:14" s="24" customFormat="1" outlineLevel="2" collapsed="1">
      <c r="A47" s="331"/>
      <c r="B47" s="62" t="s">
        <v>110</v>
      </c>
      <c r="C47" s="14"/>
      <c r="D47" s="148">
        <f>2000*2</f>
        <v>4000</v>
      </c>
      <c r="E47" s="16"/>
      <c r="F47" s="54"/>
      <c r="G47" s="54"/>
      <c r="H47" s="54"/>
      <c r="I47" s="92"/>
      <c r="J47" s="92"/>
      <c r="K47" s="92"/>
      <c r="L47" s="36" t="e">
        <f>+(D47+#REF!+E47)/$C$210</f>
        <v>#REF!</v>
      </c>
      <c r="M47" s="36">
        <f t="shared" si="9"/>
        <v>0</v>
      </c>
      <c r="N47" s="36">
        <f t="shared" si="8"/>
        <v>0</v>
      </c>
    </row>
    <row r="48" spans="1:14" s="24" customFormat="1" outlineLevel="2" collapsed="1">
      <c r="A48" s="331"/>
      <c r="B48" s="62" t="s">
        <v>111</v>
      </c>
      <c r="C48" s="14"/>
      <c r="D48" s="148">
        <f>303*20</f>
        <v>6060</v>
      </c>
      <c r="E48" s="16"/>
      <c r="F48" s="54"/>
      <c r="G48" s="54"/>
      <c r="H48" s="54"/>
      <c r="I48" s="92"/>
      <c r="J48" s="92"/>
      <c r="K48" s="92"/>
      <c r="L48" s="36" t="e">
        <f>+(D48+#REF!+E48)/$C$210</f>
        <v>#REF!</v>
      </c>
      <c r="M48" s="36">
        <f t="shared" si="9"/>
        <v>0</v>
      </c>
      <c r="N48" s="36">
        <f t="shared" si="8"/>
        <v>0</v>
      </c>
    </row>
    <row r="49" spans="1:14" s="24" customFormat="1" ht="23.25" customHeight="1" outlineLevel="2" collapsed="1">
      <c r="A49" s="332"/>
      <c r="B49" s="62" t="s">
        <v>143</v>
      </c>
      <c r="C49" s="14"/>
      <c r="D49" s="16"/>
      <c r="E49" s="16"/>
      <c r="F49" s="54"/>
      <c r="G49" s="54"/>
      <c r="H49" s="54"/>
      <c r="I49" s="92"/>
      <c r="J49" s="92"/>
      <c r="K49" s="92"/>
      <c r="L49" s="36">
        <f>+(C49+D49+E49)/$C$210</f>
        <v>0</v>
      </c>
      <c r="M49" s="36">
        <f t="shared" si="9"/>
        <v>0</v>
      </c>
      <c r="N49" s="36">
        <f t="shared" si="8"/>
        <v>0</v>
      </c>
    </row>
    <row r="50" spans="1:14" ht="91" outlineLevel="2" collapsed="1">
      <c r="A50" s="17" t="s">
        <v>144</v>
      </c>
      <c r="B50" s="62" t="s">
        <v>145</v>
      </c>
      <c r="C50" s="16"/>
      <c r="D50" s="11"/>
      <c r="E50" s="11"/>
      <c r="F50" s="162">
        <v>30000</v>
      </c>
      <c r="G50" s="162">
        <v>20000</v>
      </c>
      <c r="H50" s="162">
        <v>20000</v>
      </c>
      <c r="I50" s="91"/>
      <c r="J50" s="91"/>
      <c r="K50" s="91"/>
      <c r="L50" s="36">
        <f>+(C50+D50+E50)/$C$210</f>
        <v>0</v>
      </c>
      <c r="M50" s="36">
        <f t="shared" si="9"/>
        <v>6.7078224666922398E-2</v>
      </c>
      <c r="N50" s="36">
        <f t="shared" si="8"/>
        <v>0</v>
      </c>
    </row>
    <row r="51" spans="1:14" ht="26" outlineLevel="2" collapsed="1">
      <c r="A51" s="333" t="s">
        <v>146</v>
      </c>
      <c r="B51" s="62" t="s">
        <v>147</v>
      </c>
      <c r="C51" s="16"/>
      <c r="D51" s="11"/>
      <c r="E51" s="11"/>
      <c r="F51" s="159">
        <f>400*100</f>
        <v>40000</v>
      </c>
      <c r="G51" s="104"/>
      <c r="H51" s="104"/>
      <c r="I51" s="91"/>
      <c r="J51" s="91"/>
      <c r="K51" s="91"/>
      <c r="L51" s="36">
        <f>+(C51+D51+E51)/$C$210</f>
        <v>0</v>
      </c>
      <c r="M51" s="36">
        <f t="shared" si="9"/>
        <v>3.8330414095384228E-2</v>
      </c>
      <c r="N51" s="36">
        <f t="shared" si="8"/>
        <v>0</v>
      </c>
    </row>
    <row r="52" spans="1:14" outlineLevel="2" collapsed="1">
      <c r="A52" s="334"/>
      <c r="B52" s="62" t="s">
        <v>148</v>
      </c>
      <c r="C52" s="16"/>
      <c r="D52" s="11"/>
      <c r="E52" s="11"/>
      <c r="F52" s="160">
        <f>70*80+303*5</f>
        <v>7115</v>
      </c>
      <c r="G52" s="104"/>
      <c r="H52" s="104"/>
      <c r="I52" s="91"/>
      <c r="J52" s="91"/>
      <c r="K52" s="91"/>
      <c r="L52" s="36"/>
      <c r="M52" s="36">
        <f t="shared" si="9"/>
        <v>6.8180224072164697E-3</v>
      </c>
      <c r="N52" s="36">
        <f t="shared" si="8"/>
        <v>0</v>
      </c>
    </row>
    <row r="53" spans="1:14" ht="26" outlineLevel="2">
      <c r="A53" s="334"/>
      <c r="B53" s="62" t="s">
        <v>149</v>
      </c>
      <c r="C53" s="16"/>
      <c r="D53" s="11"/>
      <c r="E53" s="11"/>
      <c r="F53" s="145"/>
      <c r="G53" s="145">
        <v>5000</v>
      </c>
      <c r="H53" s="145">
        <v>5000</v>
      </c>
      <c r="I53" s="91"/>
      <c r="J53" s="91"/>
      <c r="K53" s="91"/>
      <c r="L53" s="36"/>
      <c r="M53" s="36"/>
      <c r="N53" s="36"/>
    </row>
    <row r="54" spans="1:14" outlineLevel="2" collapsed="1">
      <c r="A54" s="335"/>
      <c r="B54" s="62" t="s">
        <v>150</v>
      </c>
      <c r="C54" s="16"/>
      <c r="D54" s="11"/>
      <c r="E54" s="11"/>
      <c r="F54" s="145">
        <f>250*100</f>
        <v>25000</v>
      </c>
      <c r="G54" s="145"/>
      <c r="H54" s="145"/>
      <c r="I54" s="91"/>
      <c r="J54" s="91"/>
      <c r="K54" s="91"/>
      <c r="L54" s="36"/>
      <c r="M54" s="36">
        <f t="shared" ref="M54:M91" si="10">+(F54+G54+H54)/$F$210</f>
        <v>2.3956508809615144E-2</v>
      </c>
      <c r="N54" s="36">
        <f t="shared" ref="N54:N85" si="11">+K54/$I$210</f>
        <v>0</v>
      </c>
    </row>
    <row r="55" spans="1:14" ht="22.5" customHeight="1" outlineLevel="2" collapsed="1">
      <c r="A55" s="333" t="s">
        <v>151</v>
      </c>
      <c r="B55" s="62" t="s">
        <v>152</v>
      </c>
      <c r="C55" s="16"/>
      <c r="D55" s="11"/>
      <c r="E55" s="11"/>
      <c r="F55" s="104"/>
      <c r="G55" s="104"/>
      <c r="H55" s="104"/>
      <c r="I55" s="91"/>
      <c r="J55" s="91"/>
      <c r="K55" s="91"/>
      <c r="L55" s="36">
        <f>+(C55+D55+E55)/$C$210</f>
        <v>0</v>
      </c>
      <c r="M55" s="36">
        <f t="shared" si="10"/>
        <v>0</v>
      </c>
      <c r="N55" s="36">
        <f t="shared" si="11"/>
        <v>0</v>
      </c>
    </row>
    <row r="56" spans="1:14" ht="22.5" customHeight="1" outlineLevel="2" collapsed="1">
      <c r="A56" s="334"/>
      <c r="B56" s="62" t="s">
        <v>153</v>
      </c>
      <c r="C56" s="16"/>
      <c r="D56" s="11"/>
      <c r="E56" s="11"/>
      <c r="F56" s="160">
        <f>45*70*3*2</f>
        <v>18900</v>
      </c>
      <c r="G56" s="160">
        <f>45*70*3*2</f>
        <v>18900</v>
      </c>
      <c r="H56" s="160">
        <f>45*70*3*2</f>
        <v>18900</v>
      </c>
      <c r="I56" s="91"/>
      <c r="J56" s="91"/>
      <c r="K56" s="91"/>
      <c r="L56" s="36"/>
      <c r="M56" s="36">
        <f t="shared" si="10"/>
        <v>5.4333361980207141E-2</v>
      </c>
      <c r="N56" s="36">
        <f t="shared" si="11"/>
        <v>0</v>
      </c>
    </row>
    <row r="57" spans="1:14" ht="22.5" customHeight="1" outlineLevel="2" collapsed="1">
      <c r="A57" s="334"/>
      <c r="B57" s="62" t="s">
        <v>154</v>
      </c>
      <c r="C57" s="16"/>
      <c r="D57" s="11"/>
      <c r="E57" s="11"/>
      <c r="F57" s="160">
        <f>175*4*3</f>
        <v>2100</v>
      </c>
      <c r="G57" s="160">
        <f>175*4*3</f>
        <v>2100</v>
      </c>
      <c r="H57" s="160">
        <f>175*4*3</f>
        <v>2100</v>
      </c>
      <c r="I57" s="91"/>
      <c r="J57" s="91"/>
      <c r="K57" s="91"/>
      <c r="L57" s="36"/>
      <c r="M57" s="36">
        <f t="shared" si="10"/>
        <v>6.0370402200230159E-3</v>
      </c>
      <c r="N57" s="36">
        <f t="shared" si="11"/>
        <v>0</v>
      </c>
    </row>
    <row r="58" spans="1:14" ht="25.5" customHeight="1" outlineLevel="2" collapsed="1">
      <c r="A58" s="334"/>
      <c r="B58" s="62" t="s">
        <v>155</v>
      </c>
      <c r="C58" s="16"/>
      <c r="D58" s="11"/>
      <c r="E58" s="11"/>
      <c r="F58" s="145">
        <f>50*3*20</f>
        <v>3000</v>
      </c>
      <c r="G58" s="145">
        <f>50*3*20</f>
        <v>3000</v>
      </c>
      <c r="H58" s="145">
        <f>50*3*20</f>
        <v>3000</v>
      </c>
      <c r="I58" s="91"/>
      <c r="J58" s="91"/>
      <c r="K58" s="91"/>
      <c r="L58" s="36"/>
      <c r="M58" s="36">
        <f t="shared" si="10"/>
        <v>8.6243431714614505E-3</v>
      </c>
      <c r="N58" s="36">
        <f t="shared" si="11"/>
        <v>0</v>
      </c>
    </row>
    <row r="59" spans="1:14" ht="13.5" customHeight="1" outlineLevel="2" collapsed="1">
      <c r="A59" s="333" t="s">
        <v>156</v>
      </c>
      <c r="B59" s="62" t="s">
        <v>157</v>
      </c>
      <c r="C59" s="16"/>
      <c r="D59" s="11"/>
      <c r="E59" s="11"/>
      <c r="F59" s="160">
        <f>2*70*12</f>
        <v>1680</v>
      </c>
      <c r="G59" s="160">
        <f>2*70*12</f>
        <v>1680</v>
      </c>
      <c r="H59" s="160">
        <f>2*70*12</f>
        <v>1680</v>
      </c>
      <c r="I59" s="91"/>
      <c r="J59" s="91"/>
      <c r="K59" s="91"/>
      <c r="L59" s="36">
        <f>+(C59+D59+E59)/$C$210</f>
        <v>0</v>
      </c>
      <c r="M59" s="36">
        <f t="shared" si="10"/>
        <v>4.8296321760184129E-3</v>
      </c>
      <c r="N59" s="36">
        <f t="shared" si="11"/>
        <v>0</v>
      </c>
    </row>
    <row r="60" spans="1:14" ht="17.25" customHeight="1" outlineLevel="2" collapsed="1">
      <c r="A60" s="334"/>
      <c r="B60" s="62" t="s">
        <v>158</v>
      </c>
      <c r="C60" s="16"/>
      <c r="D60" s="11"/>
      <c r="E60" s="11"/>
      <c r="F60" s="160">
        <v>1000</v>
      </c>
      <c r="G60" s="160">
        <v>1000</v>
      </c>
      <c r="H60" s="160">
        <v>1000</v>
      </c>
      <c r="I60" s="91"/>
      <c r="J60" s="91"/>
      <c r="K60" s="91"/>
      <c r="L60" s="36"/>
      <c r="M60" s="36">
        <f t="shared" si="10"/>
        <v>2.8747810571538171E-3</v>
      </c>
      <c r="N60" s="36">
        <f t="shared" si="11"/>
        <v>0</v>
      </c>
    </row>
    <row r="61" spans="1:14" ht="31.5" customHeight="1" outlineLevel="2" collapsed="1">
      <c r="A61" s="334"/>
      <c r="B61" s="62" t="s">
        <v>159</v>
      </c>
      <c r="C61" s="16"/>
      <c r="D61" s="11"/>
      <c r="E61" s="11"/>
      <c r="F61" s="145">
        <f>450*2</f>
        <v>900</v>
      </c>
      <c r="G61" s="104"/>
      <c r="H61" s="104"/>
      <c r="I61" s="91"/>
      <c r="J61" s="91"/>
      <c r="K61" s="91"/>
      <c r="L61" s="36"/>
      <c r="M61" s="36">
        <f t="shared" si="10"/>
        <v>8.624343171461451E-4</v>
      </c>
      <c r="N61" s="36">
        <f t="shared" si="11"/>
        <v>0</v>
      </c>
    </row>
    <row r="62" spans="1:14" ht="31.5" customHeight="1" outlineLevel="2" collapsed="1">
      <c r="A62" s="334"/>
      <c r="B62" s="62" t="s">
        <v>160</v>
      </c>
      <c r="C62" s="16"/>
      <c r="D62" s="11"/>
      <c r="E62" s="11"/>
      <c r="F62" s="145">
        <v>10000</v>
      </c>
      <c r="G62" s="145">
        <v>10000</v>
      </c>
      <c r="H62" s="145">
        <v>10000</v>
      </c>
      <c r="I62" s="91"/>
      <c r="J62" s="91"/>
      <c r="K62" s="91"/>
      <c r="L62" s="36"/>
      <c r="M62" s="36">
        <f t="shared" si="10"/>
        <v>2.874781057153817E-2</v>
      </c>
      <c r="N62" s="36">
        <f t="shared" si="11"/>
        <v>0</v>
      </c>
    </row>
    <row r="63" spans="1:14" ht="31.5" customHeight="1" outlineLevel="2" collapsed="1">
      <c r="A63" s="335"/>
      <c r="B63" s="62" t="s">
        <v>161</v>
      </c>
      <c r="C63" s="16"/>
      <c r="D63" s="11"/>
      <c r="E63" s="11"/>
      <c r="F63" s="145">
        <f>25*350</f>
        <v>8750</v>
      </c>
      <c r="G63" s="104"/>
      <c r="H63" s="104"/>
      <c r="I63" s="91"/>
      <c r="J63" s="91"/>
      <c r="K63" s="91"/>
      <c r="L63" s="36"/>
      <c r="M63" s="36">
        <f t="shared" si="10"/>
        <v>8.3847780833652998E-3</v>
      </c>
      <c r="N63" s="36">
        <f t="shared" si="11"/>
        <v>0</v>
      </c>
    </row>
    <row r="64" spans="1:14" ht="27.75" customHeight="1" outlineLevel="2" collapsed="1">
      <c r="A64" s="333" t="s">
        <v>162</v>
      </c>
      <c r="B64" s="62" t="s">
        <v>163</v>
      </c>
      <c r="C64" s="16"/>
      <c r="D64" s="11"/>
      <c r="E64" s="11"/>
      <c r="F64" s="145">
        <f>250*20</f>
        <v>5000</v>
      </c>
      <c r="G64" s="145">
        <f>250*20</f>
        <v>5000</v>
      </c>
      <c r="H64" s="145">
        <f>250*20</f>
        <v>5000</v>
      </c>
      <c r="I64" s="91"/>
      <c r="J64" s="91"/>
      <c r="K64" s="91"/>
      <c r="L64" s="36">
        <f>+(C64+D64+E64)/$C$210</f>
        <v>0</v>
      </c>
      <c r="M64" s="36">
        <f t="shared" si="10"/>
        <v>1.4373905285769085E-2</v>
      </c>
      <c r="N64" s="36">
        <f t="shared" si="11"/>
        <v>0</v>
      </c>
    </row>
    <row r="65" spans="1:14" ht="31.5" customHeight="1" outlineLevel="2" collapsed="1">
      <c r="A65" s="335"/>
      <c r="B65" s="62" t="s">
        <v>164</v>
      </c>
      <c r="C65" s="16"/>
      <c r="D65" s="11"/>
      <c r="E65" s="11"/>
      <c r="F65" s="145">
        <v>1000</v>
      </c>
      <c r="G65" s="145">
        <v>1000</v>
      </c>
      <c r="H65" s="145">
        <v>1000</v>
      </c>
      <c r="I65" s="91"/>
      <c r="J65" s="91"/>
      <c r="K65" s="91"/>
      <c r="L65" s="36"/>
      <c r="M65" s="36">
        <f t="shared" si="10"/>
        <v>2.8747810571538171E-3</v>
      </c>
      <c r="N65" s="36">
        <f t="shared" si="11"/>
        <v>0</v>
      </c>
    </row>
    <row r="66" spans="1:14" ht="65" outlineLevel="1">
      <c r="A66" s="7" t="s">
        <v>165</v>
      </c>
      <c r="B66" s="87">
        <f>+C66+D66+E66+F66+G66+H66+I66+J66+K66</f>
        <v>153495</v>
      </c>
      <c r="C66" s="52">
        <f>SUM(C67:C76)</f>
        <v>57435</v>
      </c>
      <c r="D66" s="52">
        <f t="shared" ref="D66:K66" si="12">SUM(D67:D76)</f>
        <v>0</v>
      </c>
      <c r="E66" s="52">
        <f t="shared" si="12"/>
        <v>0</v>
      </c>
      <c r="F66" s="52">
        <f t="shared" si="12"/>
        <v>66060</v>
      </c>
      <c r="G66" s="52">
        <f t="shared" si="12"/>
        <v>30000</v>
      </c>
      <c r="H66" s="52">
        <f t="shared" si="12"/>
        <v>0</v>
      </c>
      <c r="I66" s="52">
        <f t="shared" si="12"/>
        <v>0</v>
      </c>
      <c r="J66" s="52">
        <f t="shared" si="12"/>
        <v>0</v>
      </c>
      <c r="K66" s="52">
        <f t="shared" si="12"/>
        <v>0</v>
      </c>
      <c r="L66" s="36">
        <f t="shared" ref="L66:L73" si="13">+(C66+D66+E66)/$C$210</f>
        <v>2.7510769992252222E-2</v>
      </c>
      <c r="M66" s="36">
        <f t="shared" si="10"/>
        <v>9.205048945006522E-2</v>
      </c>
      <c r="N66" s="36">
        <f t="shared" si="11"/>
        <v>0</v>
      </c>
    </row>
    <row r="67" spans="1:14" ht="37.5" customHeight="1" outlineLevel="2">
      <c r="A67" s="333" t="s">
        <v>166</v>
      </c>
      <c r="B67" s="62" t="s">
        <v>109</v>
      </c>
      <c r="C67" s="142">
        <f>500*80</f>
        <v>40000</v>
      </c>
      <c r="D67" s="11"/>
      <c r="E67" s="11"/>
      <c r="F67" s="104"/>
      <c r="G67" s="104"/>
      <c r="H67" s="104"/>
      <c r="I67" s="91"/>
      <c r="J67" s="91"/>
      <c r="K67" s="91"/>
      <c r="L67" s="36">
        <f t="shared" si="13"/>
        <v>1.9159585613129432E-2</v>
      </c>
      <c r="M67" s="36">
        <f t="shared" si="10"/>
        <v>0</v>
      </c>
      <c r="N67" s="36">
        <f t="shared" si="11"/>
        <v>0</v>
      </c>
    </row>
    <row r="68" spans="1:14" ht="28.5" customHeight="1" outlineLevel="2" collapsed="1">
      <c r="A68" s="334"/>
      <c r="B68" s="62" t="s">
        <v>110</v>
      </c>
      <c r="C68" s="148">
        <f>2000*2</f>
        <v>4000</v>
      </c>
      <c r="D68" s="11"/>
      <c r="E68" s="11"/>
      <c r="F68" s="104"/>
      <c r="G68" s="104"/>
      <c r="H68" s="104"/>
      <c r="I68" s="91"/>
      <c r="J68" s="91"/>
      <c r="K68" s="91"/>
      <c r="L68" s="36">
        <f t="shared" si="13"/>
        <v>1.9159585613129431E-3</v>
      </c>
      <c r="M68" s="36">
        <f t="shared" si="10"/>
        <v>0</v>
      </c>
      <c r="N68" s="36">
        <f t="shared" si="11"/>
        <v>0</v>
      </c>
    </row>
    <row r="69" spans="1:14" ht="28.5" customHeight="1" outlineLevel="2" collapsed="1">
      <c r="A69" s="334"/>
      <c r="B69" s="62" t="s">
        <v>111</v>
      </c>
      <c r="C69" s="148">
        <f>303*20</f>
        <v>6060</v>
      </c>
      <c r="D69" s="11"/>
      <c r="E69" s="11"/>
      <c r="F69" s="104"/>
      <c r="G69" s="104"/>
      <c r="H69" s="104"/>
      <c r="I69" s="91"/>
      <c r="J69" s="91"/>
      <c r="K69" s="91"/>
      <c r="L69" s="36">
        <f t="shared" si="13"/>
        <v>2.9026772203891091E-3</v>
      </c>
      <c r="M69" s="36">
        <f t="shared" si="10"/>
        <v>0</v>
      </c>
      <c r="N69" s="36">
        <f t="shared" si="11"/>
        <v>0</v>
      </c>
    </row>
    <row r="70" spans="1:14" ht="28.5" customHeight="1" outlineLevel="2" collapsed="1">
      <c r="A70" s="334"/>
      <c r="B70" s="81" t="s">
        <v>167</v>
      </c>
      <c r="C70" s="144">
        <f>10*25*25</f>
        <v>6250</v>
      </c>
      <c r="D70" s="11"/>
      <c r="E70" s="11"/>
      <c r="F70" s="104"/>
      <c r="G70" s="104"/>
      <c r="H70" s="104"/>
      <c r="I70" s="91"/>
      <c r="J70" s="91"/>
      <c r="K70" s="91"/>
      <c r="L70" s="36">
        <f t="shared" si="13"/>
        <v>2.9936852520514737E-3</v>
      </c>
      <c r="M70" s="36">
        <f t="shared" si="10"/>
        <v>0</v>
      </c>
      <c r="N70" s="36">
        <f t="shared" si="11"/>
        <v>0</v>
      </c>
    </row>
    <row r="71" spans="1:14" ht="28.5" customHeight="1" outlineLevel="2" collapsed="1">
      <c r="A71" s="334"/>
      <c r="B71" s="81" t="s">
        <v>168</v>
      </c>
      <c r="C71" s="149">
        <f>45*5*5</f>
        <v>1125</v>
      </c>
      <c r="D71" s="11"/>
      <c r="E71" s="11"/>
      <c r="F71" s="104"/>
      <c r="G71" s="104"/>
      <c r="H71" s="104"/>
      <c r="I71" s="91"/>
      <c r="J71" s="91"/>
      <c r="K71" s="91"/>
      <c r="L71" s="36">
        <f t="shared" si="13"/>
        <v>5.388633453692653E-4</v>
      </c>
      <c r="M71" s="36">
        <f t="shared" si="10"/>
        <v>0</v>
      </c>
      <c r="N71" s="36">
        <f t="shared" si="11"/>
        <v>0</v>
      </c>
    </row>
    <row r="72" spans="1:14" ht="78" customHeight="1" outlineLevel="2" collapsed="1">
      <c r="A72" s="17" t="s">
        <v>169</v>
      </c>
      <c r="B72" s="62" t="s">
        <v>170</v>
      </c>
      <c r="C72" s="16"/>
      <c r="D72" s="11"/>
      <c r="E72" s="11"/>
      <c r="F72" s="162">
        <v>30000</v>
      </c>
      <c r="G72" s="162">
        <v>25000</v>
      </c>
      <c r="H72" s="104"/>
      <c r="I72" s="91"/>
      <c r="J72" s="91"/>
      <c r="K72" s="91"/>
      <c r="L72" s="36">
        <f t="shared" si="13"/>
        <v>0</v>
      </c>
      <c r="M72" s="36">
        <f t="shared" si="10"/>
        <v>5.2704319381153317E-2</v>
      </c>
      <c r="N72" s="36">
        <f t="shared" si="11"/>
        <v>0</v>
      </c>
    </row>
    <row r="73" spans="1:14" ht="52.5" customHeight="1" outlineLevel="2" collapsed="1">
      <c r="A73" s="339" t="s">
        <v>171</v>
      </c>
      <c r="B73" s="62"/>
      <c r="D73" s="11"/>
      <c r="E73" s="11"/>
      <c r="F73" s="104"/>
      <c r="G73" s="54"/>
      <c r="H73" s="54"/>
      <c r="I73" s="91"/>
      <c r="J73" s="91"/>
      <c r="K73" s="91"/>
      <c r="L73" s="36">
        <f t="shared" si="13"/>
        <v>0</v>
      </c>
      <c r="M73" s="36">
        <f t="shared" si="10"/>
        <v>0</v>
      </c>
      <c r="N73" s="36">
        <f t="shared" si="11"/>
        <v>0</v>
      </c>
    </row>
    <row r="74" spans="1:14" ht="17.25" customHeight="1" outlineLevel="2" collapsed="1">
      <c r="A74" s="340"/>
      <c r="B74" s="62" t="s">
        <v>172</v>
      </c>
      <c r="D74" s="11"/>
      <c r="E74" s="11"/>
      <c r="F74" s="160">
        <f>303*20+2500</f>
        <v>8560</v>
      </c>
      <c r="G74" s="54"/>
      <c r="H74" s="54"/>
      <c r="I74" s="91"/>
      <c r="J74" s="91"/>
      <c r="K74" s="91"/>
      <c r="L74" s="36"/>
      <c r="M74" s="36">
        <f t="shared" si="10"/>
        <v>8.2027086164122246E-3</v>
      </c>
      <c r="N74" s="36">
        <f t="shared" si="11"/>
        <v>0</v>
      </c>
    </row>
    <row r="75" spans="1:14" ht="19.5" customHeight="1" outlineLevel="2" collapsed="1">
      <c r="A75" s="340"/>
      <c r="B75" s="41" t="s">
        <v>173</v>
      </c>
      <c r="C75" s="16"/>
      <c r="D75" s="11"/>
      <c r="E75" s="11"/>
      <c r="F75" s="145">
        <f>225*100</f>
        <v>22500</v>
      </c>
      <c r="G75" s="104"/>
      <c r="H75" s="104"/>
      <c r="I75" s="91"/>
      <c r="J75" s="91"/>
      <c r="K75" s="91"/>
      <c r="L75" s="36">
        <f t="shared" ref="L75:L91" si="14">+(C75+D75+E75)/$C$210</f>
        <v>0</v>
      </c>
      <c r="M75" s="36">
        <f t="shared" si="10"/>
        <v>2.1560857928653629E-2</v>
      </c>
      <c r="N75" s="36">
        <f t="shared" si="11"/>
        <v>0</v>
      </c>
    </row>
    <row r="76" spans="1:14" ht="26" outlineLevel="2" collapsed="1">
      <c r="A76" s="20" t="s">
        <v>174</v>
      </c>
      <c r="B76" s="62" t="s">
        <v>170</v>
      </c>
      <c r="C76" s="16"/>
      <c r="D76" s="11"/>
      <c r="E76" s="11"/>
      <c r="F76" s="162">
        <v>5000</v>
      </c>
      <c r="G76" s="162">
        <v>5000</v>
      </c>
      <c r="H76" s="104"/>
      <c r="I76" s="91"/>
      <c r="J76" s="91"/>
      <c r="K76" s="91"/>
      <c r="L76" s="36">
        <f t="shared" si="14"/>
        <v>0</v>
      </c>
      <c r="M76" s="36">
        <f t="shared" si="10"/>
        <v>9.5826035238460571E-3</v>
      </c>
      <c r="N76" s="36">
        <f t="shared" si="11"/>
        <v>0</v>
      </c>
    </row>
    <row r="77" spans="1:14" ht="91" outlineLevel="1">
      <c r="A77" s="7" t="s">
        <v>175</v>
      </c>
      <c r="B77" s="87">
        <f>+C77+D77+E77+F77+G77+H77+I77+J77+K77</f>
        <v>397495</v>
      </c>
      <c r="C77" s="52">
        <f>SUM(C78:C99)</f>
        <v>215990</v>
      </c>
      <c r="D77" s="52">
        <f t="shared" ref="D77:K77" si="15">SUM(D78:D99)</f>
        <v>90650</v>
      </c>
      <c r="E77" s="52">
        <f t="shared" si="15"/>
        <v>65530</v>
      </c>
      <c r="F77" s="52">
        <f t="shared" si="15"/>
        <v>25325</v>
      </c>
      <c r="G77" s="52">
        <f t="shared" si="15"/>
        <v>0</v>
      </c>
      <c r="H77" s="52">
        <f t="shared" si="15"/>
        <v>0</v>
      </c>
      <c r="I77" s="52">
        <f t="shared" si="15"/>
        <v>0</v>
      </c>
      <c r="J77" s="52">
        <f t="shared" si="15"/>
        <v>0</v>
      </c>
      <c r="K77" s="52">
        <f t="shared" si="15"/>
        <v>0</v>
      </c>
      <c r="L77" s="36">
        <f t="shared" si="14"/>
        <v>0.17826557444095953</v>
      </c>
      <c r="M77" s="36">
        <f t="shared" si="10"/>
        <v>2.426794342414014E-2</v>
      </c>
      <c r="N77" s="36">
        <f t="shared" si="11"/>
        <v>0</v>
      </c>
    </row>
    <row r="78" spans="1:14" ht="39" outlineLevel="2">
      <c r="A78" s="333" t="s">
        <v>176</v>
      </c>
      <c r="B78" s="62" t="s">
        <v>109</v>
      </c>
      <c r="C78" s="137">
        <f>450*80</f>
        <v>36000</v>
      </c>
      <c r="D78" s="11"/>
      <c r="E78" s="11"/>
      <c r="F78" s="104"/>
      <c r="G78" s="104"/>
      <c r="H78" s="104"/>
      <c r="I78" s="91"/>
      <c r="J78" s="91"/>
      <c r="K78" s="91"/>
      <c r="L78" s="36">
        <f t="shared" si="14"/>
        <v>1.724362705181649E-2</v>
      </c>
      <c r="M78" s="36">
        <f t="shared" si="10"/>
        <v>0</v>
      </c>
      <c r="N78" s="36">
        <f t="shared" si="11"/>
        <v>0</v>
      </c>
    </row>
    <row r="79" spans="1:14" outlineLevel="2" collapsed="1">
      <c r="A79" s="334"/>
      <c r="B79" s="62" t="s">
        <v>110</v>
      </c>
      <c r="C79" s="147">
        <f>2000*2</f>
        <v>4000</v>
      </c>
      <c r="D79" s="11"/>
      <c r="E79" s="11"/>
      <c r="F79" s="104"/>
      <c r="G79" s="104"/>
      <c r="H79" s="104"/>
      <c r="I79" s="91"/>
      <c r="J79" s="91"/>
      <c r="K79" s="91"/>
      <c r="L79" s="36">
        <f t="shared" si="14"/>
        <v>1.9159585613129431E-3</v>
      </c>
      <c r="M79" s="36">
        <f t="shared" si="10"/>
        <v>0</v>
      </c>
      <c r="N79" s="36">
        <f t="shared" si="11"/>
        <v>0</v>
      </c>
    </row>
    <row r="80" spans="1:14" outlineLevel="2" collapsed="1">
      <c r="A80" s="334"/>
      <c r="B80" s="62" t="s">
        <v>111</v>
      </c>
      <c r="C80" s="147">
        <f>303*50</f>
        <v>15150</v>
      </c>
      <c r="D80" s="11"/>
      <c r="E80" s="11"/>
      <c r="F80" s="104"/>
      <c r="G80" s="104"/>
      <c r="H80" s="104"/>
      <c r="I80" s="91"/>
      <c r="J80" s="91"/>
      <c r="K80" s="91"/>
      <c r="L80" s="36">
        <f t="shared" si="14"/>
        <v>7.2566930509727727E-3</v>
      </c>
      <c r="M80" s="36">
        <f t="shared" si="10"/>
        <v>0</v>
      </c>
      <c r="N80" s="36">
        <f t="shared" si="11"/>
        <v>0</v>
      </c>
    </row>
    <row r="81" spans="1:14" ht="26" outlineLevel="2" collapsed="1">
      <c r="A81" s="334"/>
      <c r="B81" s="62" t="s">
        <v>177</v>
      </c>
      <c r="C81" s="150">
        <f>90*15</f>
        <v>1350</v>
      </c>
      <c r="D81" s="11"/>
      <c r="E81" s="11"/>
      <c r="F81" s="104"/>
      <c r="G81" s="104"/>
      <c r="H81" s="104"/>
      <c r="I81" s="91"/>
      <c r="J81" s="91"/>
      <c r="K81" s="91"/>
      <c r="L81" s="36">
        <f t="shared" si="14"/>
        <v>6.4663601444311838E-4</v>
      </c>
      <c r="M81" s="36">
        <f t="shared" si="10"/>
        <v>0</v>
      </c>
      <c r="N81" s="36">
        <f t="shared" si="11"/>
        <v>0</v>
      </c>
    </row>
    <row r="82" spans="1:14" ht="26" outlineLevel="2" collapsed="1">
      <c r="A82" s="335"/>
      <c r="B82" s="62" t="s">
        <v>178</v>
      </c>
      <c r="C82" s="144">
        <f>25*3*2*25</f>
        <v>3750</v>
      </c>
      <c r="D82" s="11"/>
      <c r="E82" s="11"/>
      <c r="F82" s="104"/>
      <c r="G82" s="104"/>
      <c r="H82" s="104"/>
      <c r="I82" s="91"/>
      <c r="J82" s="91"/>
      <c r="K82" s="91"/>
      <c r="L82" s="36">
        <f t="shared" si="14"/>
        <v>1.7962111512308842E-3</v>
      </c>
      <c r="M82" s="36">
        <f t="shared" si="10"/>
        <v>0</v>
      </c>
      <c r="N82" s="36">
        <f t="shared" si="11"/>
        <v>0</v>
      </c>
    </row>
    <row r="83" spans="1:14" ht="65" outlineLevel="2" collapsed="1">
      <c r="A83" s="333" t="s">
        <v>179</v>
      </c>
      <c r="B83" s="62" t="s">
        <v>180</v>
      </c>
      <c r="C83" s="144">
        <f>400*140</f>
        <v>56000</v>
      </c>
      <c r="D83" s="145">
        <f>400*25</f>
        <v>10000</v>
      </c>
      <c r="E83" s="145">
        <f>400*25</f>
        <v>10000</v>
      </c>
      <c r="F83" s="104"/>
      <c r="G83" s="104"/>
      <c r="H83" s="104"/>
      <c r="I83" s="91"/>
      <c r="J83" s="91"/>
      <c r="K83" s="91"/>
      <c r="L83" s="36">
        <f t="shared" si="14"/>
        <v>3.6403212664945922E-2</v>
      </c>
      <c r="M83" s="36">
        <f t="shared" si="10"/>
        <v>0</v>
      </c>
      <c r="N83" s="36">
        <f t="shared" si="11"/>
        <v>0</v>
      </c>
    </row>
    <row r="84" spans="1:14" ht="26" outlineLevel="2" collapsed="1">
      <c r="A84" s="334"/>
      <c r="B84" s="62" t="s">
        <v>181</v>
      </c>
      <c r="C84" s="144">
        <f>20*25*10*2</f>
        <v>10000</v>
      </c>
      <c r="D84" s="145">
        <v>5000</v>
      </c>
      <c r="E84" s="145">
        <v>5000</v>
      </c>
      <c r="F84" s="104"/>
      <c r="G84" s="104"/>
      <c r="H84" s="104"/>
      <c r="I84" s="91"/>
      <c r="J84" s="91"/>
      <c r="K84" s="91"/>
      <c r="L84" s="36">
        <f t="shared" si="14"/>
        <v>9.5797928065647162E-3</v>
      </c>
      <c r="M84" s="36">
        <f t="shared" si="10"/>
        <v>0</v>
      </c>
      <c r="N84" s="36">
        <f t="shared" si="11"/>
        <v>0</v>
      </c>
    </row>
    <row r="85" spans="1:14" outlineLevel="2" collapsed="1">
      <c r="A85" s="335"/>
      <c r="B85" s="62" t="s">
        <v>111</v>
      </c>
      <c r="C85" s="150">
        <f>30*303</f>
        <v>9090</v>
      </c>
      <c r="D85" s="146">
        <f>303*10+2500</f>
        <v>5530</v>
      </c>
      <c r="E85" s="146">
        <f>303*10+2500</f>
        <v>5530</v>
      </c>
      <c r="F85" s="104"/>
      <c r="G85" s="104"/>
      <c r="H85" s="104"/>
      <c r="I85" s="91"/>
      <c r="J85" s="91"/>
      <c r="K85" s="91"/>
      <c r="L85" s="36">
        <f t="shared" si="14"/>
        <v>9.6516412526139513E-3</v>
      </c>
      <c r="M85" s="36">
        <f t="shared" si="10"/>
        <v>0</v>
      </c>
      <c r="N85" s="36">
        <f t="shared" si="11"/>
        <v>0</v>
      </c>
    </row>
    <row r="86" spans="1:14" ht="52" outlineLevel="2" collapsed="1">
      <c r="A86" s="17" t="s">
        <v>182</v>
      </c>
      <c r="B86" s="62" t="s">
        <v>183</v>
      </c>
      <c r="C86" s="16">
        <v>25000</v>
      </c>
      <c r="D86" s="11"/>
      <c r="E86" s="11"/>
      <c r="F86" s="104"/>
      <c r="G86" s="104"/>
      <c r="H86" s="104"/>
      <c r="I86" s="91"/>
      <c r="J86" s="91"/>
      <c r="K86" s="91"/>
      <c r="L86" s="36">
        <f t="shared" si="14"/>
        <v>1.1974741008205895E-2</v>
      </c>
      <c r="M86" s="36">
        <f t="shared" si="10"/>
        <v>0</v>
      </c>
      <c r="N86" s="36">
        <f t="shared" ref="N86:N117" si="16">+K86/$I$210</f>
        <v>0</v>
      </c>
    </row>
    <row r="87" spans="1:14" ht="39" outlineLevel="2" collapsed="1">
      <c r="A87" s="341" t="s">
        <v>184</v>
      </c>
      <c r="B87" s="62" t="s">
        <v>109</v>
      </c>
      <c r="C87" s="137">
        <f>450*80</f>
        <v>36000</v>
      </c>
      <c r="D87" s="11"/>
      <c r="E87" s="11"/>
      <c r="F87" s="104"/>
      <c r="G87" s="104"/>
      <c r="H87" s="104"/>
      <c r="I87" s="91"/>
      <c r="J87" s="91"/>
      <c r="K87" s="91"/>
      <c r="L87" s="36">
        <f t="shared" si="14"/>
        <v>1.724362705181649E-2</v>
      </c>
      <c r="M87" s="36">
        <f t="shared" si="10"/>
        <v>0</v>
      </c>
      <c r="N87" s="36">
        <f t="shared" si="16"/>
        <v>0</v>
      </c>
    </row>
    <row r="88" spans="1:14" outlineLevel="2" collapsed="1">
      <c r="A88" s="341"/>
      <c r="B88" s="62" t="s">
        <v>110</v>
      </c>
      <c r="C88" s="147">
        <f>2000</f>
        <v>2000</v>
      </c>
      <c r="D88" s="11"/>
      <c r="E88" s="11"/>
      <c r="F88" s="104"/>
      <c r="G88" s="104"/>
      <c r="H88" s="104"/>
      <c r="I88" s="91"/>
      <c r="J88" s="91"/>
      <c r="K88" s="91"/>
      <c r="L88" s="36">
        <f t="shared" si="14"/>
        <v>9.5797928065647156E-4</v>
      </c>
      <c r="M88" s="36">
        <f t="shared" si="10"/>
        <v>0</v>
      </c>
      <c r="N88" s="36">
        <f t="shared" si="16"/>
        <v>0</v>
      </c>
    </row>
    <row r="89" spans="1:14" outlineLevel="2" collapsed="1">
      <c r="A89" s="341"/>
      <c r="B89" s="62" t="s">
        <v>111</v>
      </c>
      <c r="C89" s="147">
        <f>303*50</f>
        <v>15150</v>
      </c>
      <c r="D89" s="11"/>
      <c r="E89" s="11"/>
      <c r="F89" s="104"/>
      <c r="G89" s="104"/>
      <c r="H89" s="104"/>
      <c r="I89" s="91"/>
      <c r="J89" s="91"/>
      <c r="K89" s="91"/>
      <c r="L89" s="36">
        <f t="shared" si="14"/>
        <v>7.2566930509727727E-3</v>
      </c>
      <c r="M89" s="36">
        <f t="shared" si="10"/>
        <v>0</v>
      </c>
      <c r="N89" s="36">
        <f t="shared" si="16"/>
        <v>0</v>
      </c>
    </row>
    <row r="90" spans="1:14" ht="26" outlineLevel="2" collapsed="1">
      <c r="A90" s="341"/>
      <c r="B90" s="62" t="s">
        <v>185</v>
      </c>
      <c r="C90" s="144">
        <f>20*5*25</f>
        <v>2500</v>
      </c>
      <c r="D90" s="11"/>
      <c r="E90" s="11"/>
      <c r="F90" s="104"/>
      <c r="G90" s="104"/>
      <c r="H90" s="104"/>
      <c r="I90" s="91"/>
      <c r="J90" s="91"/>
      <c r="K90" s="91"/>
      <c r="L90" s="36">
        <f t="shared" si="14"/>
        <v>1.1974741008205895E-3</v>
      </c>
      <c r="M90" s="36">
        <f t="shared" si="10"/>
        <v>0</v>
      </c>
      <c r="N90" s="36">
        <f t="shared" si="16"/>
        <v>0</v>
      </c>
    </row>
    <row r="91" spans="1:14" ht="26" outlineLevel="2" collapsed="1">
      <c r="A91" s="341"/>
      <c r="B91" s="62" t="s">
        <v>183</v>
      </c>
      <c r="C91" s="16"/>
      <c r="D91" s="11">
        <v>20000</v>
      </c>
      <c r="E91" s="11">
        <v>15000</v>
      </c>
      <c r="F91" s="104"/>
      <c r="G91" s="104"/>
      <c r="H91" s="104"/>
      <c r="I91" s="91"/>
      <c r="J91" s="91"/>
      <c r="K91" s="91"/>
      <c r="L91" s="36">
        <f t="shared" si="14"/>
        <v>1.6764637411488252E-2</v>
      </c>
      <c r="M91" s="36">
        <f t="shared" si="10"/>
        <v>0</v>
      </c>
      <c r="N91" s="36">
        <f t="shared" si="16"/>
        <v>0</v>
      </c>
    </row>
    <row r="92" spans="1:14" ht="31.5" customHeight="1" outlineLevel="2" collapsed="1">
      <c r="A92" s="333" t="s">
        <v>186</v>
      </c>
      <c r="B92" s="62" t="s">
        <v>109</v>
      </c>
      <c r="C92" s="16"/>
      <c r="D92" s="11"/>
      <c r="E92" s="11"/>
      <c r="F92" s="137">
        <f>450*35</f>
        <v>15750</v>
      </c>
      <c r="G92" s="104"/>
      <c r="H92" s="104"/>
      <c r="I92" s="91"/>
      <c r="J92" s="91"/>
      <c r="K92" s="91"/>
      <c r="L92" s="36">
        <f>+(F92+D92+E92)/$C$210</f>
        <v>7.544086835169714E-3</v>
      </c>
      <c r="M92" s="36" t="e">
        <f>+(#REF!+G92+H92)/$F$210</f>
        <v>#REF!</v>
      </c>
      <c r="N92" s="36">
        <f t="shared" si="16"/>
        <v>0</v>
      </c>
    </row>
    <row r="93" spans="1:14" ht="22.5" customHeight="1" outlineLevel="2" collapsed="1">
      <c r="A93" s="334"/>
      <c r="B93" s="62" t="s">
        <v>110</v>
      </c>
      <c r="C93" s="16"/>
      <c r="D93" s="11"/>
      <c r="E93" s="11"/>
      <c r="F93" s="161">
        <f>2000</f>
        <v>2000</v>
      </c>
      <c r="G93" s="104"/>
      <c r="H93" s="104"/>
      <c r="I93" s="91"/>
      <c r="J93" s="91"/>
      <c r="K93" s="91"/>
      <c r="L93" s="36">
        <f>+(F93+D93+E93)/$C$210</f>
        <v>9.5797928065647156E-4</v>
      </c>
      <c r="M93" s="36" t="e">
        <f>+(#REF!+G93+H93)/$F$210</f>
        <v>#REF!</v>
      </c>
      <c r="N93" s="36">
        <f t="shared" si="16"/>
        <v>0</v>
      </c>
    </row>
    <row r="94" spans="1:14" ht="15" customHeight="1" outlineLevel="2" collapsed="1">
      <c r="A94" s="334"/>
      <c r="B94" s="62" t="s">
        <v>111</v>
      </c>
      <c r="C94" s="16"/>
      <c r="D94" s="11"/>
      <c r="E94" s="11"/>
      <c r="F94" s="161">
        <f>303*25</f>
        <v>7575</v>
      </c>
      <c r="G94" s="104"/>
      <c r="H94" s="104"/>
      <c r="I94" s="91"/>
      <c r="J94" s="91"/>
      <c r="K94" s="91"/>
      <c r="L94" s="36">
        <f>+(F94+D94+E94)/$C$210</f>
        <v>3.6283465254863864E-3</v>
      </c>
      <c r="M94" s="36" t="e">
        <f>+(#REF!+G94+H94)/$F$210</f>
        <v>#REF!</v>
      </c>
      <c r="N94" s="36">
        <f t="shared" si="16"/>
        <v>0</v>
      </c>
    </row>
    <row r="95" spans="1:14" ht="26" outlineLevel="2" collapsed="1">
      <c r="A95" s="335"/>
      <c r="B95" s="62" t="s">
        <v>183</v>
      </c>
      <c r="C95" s="16"/>
      <c r="D95" s="11">
        <v>10000</v>
      </c>
      <c r="E95" s="11">
        <v>5000</v>
      </c>
      <c r="F95" s="104"/>
      <c r="G95" s="104"/>
      <c r="H95" s="104"/>
      <c r="I95" s="91"/>
      <c r="J95" s="91"/>
      <c r="K95" s="91"/>
      <c r="L95" s="36">
        <f t="shared" ref="L95:L100" si="17">+(C95+D95+E95)/$C$210</f>
        <v>7.1848446049235367E-3</v>
      </c>
      <c r="M95" s="36">
        <f t="shared" ref="M95:M139" si="18">+(F95+G95+H95)/$F$210</f>
        <v>0</v>
      </c>
      <c r="N95" s="36">
        <f t="shared" si="16"/>
        <v>0</v>
      </c>
    </row>
    <row r="96" spans="1:14" ht="39" outlineLevel="2" collapsed="1">
      <c r="A96" s="333" t="s">
        <v>187</v>
      </c>
      <c r="B96" s="62" t="s">
        <v>109</v>
      </c>
      <c r="C96" s="16"/>
      <c r="D96" s="137">
        <f>450*50</f>
        <v>22500</v>
      </c>
      <c r="E96" s="137">
        <f>450*50</f>
        <v>22500</v>
      </c>
      <c r="F96" s="108"/>
      <c r="G96" s="104"/>
      <c r="H96" s="104"/>
      <c r="I96" s="91"/>
      <c r="J96" s="91"/>
      <c r="K96" s="91"/>
      <c r="L96" s="36">
        <f t="shared" si="17"/>
        <v>2.1554533814770613E-2</v>
      </c>
      <c r="M96" s="36">
        <f t="shared" si="18"/>
        <v>0</v>
      </c>
      <c r="N96" s="36">
        <f t="shared" si="16"/>
        <v>0</v>
      </c>
    </row>
    <row r="97" spans="1:14" outlineLevel="2" collapsed="1">
      <c r="A97" s="334"/>
      <c r="B97" s="62" t="s">
        <v>110</v>
      </c>
      <c r="C97" s="16"/>
      <c r="D97" s="147">
        <v>2500</v>
      </c>
      <c r="E97" s="147">
        <v>2500</v>
      </c>
      <c r="F97" s="108"/>
      <c r="G97" s="104"/>
      <c r="H97" s="104"/>
      <c r="I97" s="91"/>
      <c r="J97" s="91"/>
      <c r="K97" s="91"/>
      <c r="L97" s="36">
        <f t="shared" si="17"/>
        <v>2.3949482016411791E-3</v>
      </c>
      <c r="M97" s="36">
        <f t="shared" si="18"/>
        <v>0</v>
      </c>
      <c r="N97" s="36">
        <f t="shared" si="16"/>
        <v>0</v>
      </c>
    </row>
    <row r="98" spans="1:14" outlineLevel="2" collapsed="1">
      <c r="A98" s="334"/>
      <c r="B98" s="41" t="s">
        <v>188</v>
      </c>
      <c r="C98" s="16"/>
      <c r="D98" s="16">
        <v>3000</v>
      </c>
      <c r="E98" s="11"/>
      <c r="F98" s="104"/>
      <c r="G98" s="104"/>
      <c r="H98" s="104"/>
      <c r="I98" s="91"/>
      <c r="J98" s="91"/>
      <c r="K98" s="91"/>
      <c r="L98" s="36">
        <f t="shared" si="17"/>
        <v>1.4369689209847074E-3</v>
      </c>
      <c r="M98" s="36">
        <f t="shared" si="18"/>
        <v>0</v>
      </c>
      <c r="N98" s="36">
        <f t="shared" si="16"/>
        <v>0</v>
      </c>
    </row>
    <row r="99" spans="1:14" outlineLevel="2">
      <c r="A99" s="335"/>
      <c r="B99" s="62" t="s">
        <v>111</v>
      </c>
      <c r="C99" s="16"/>
      <c r="D99" s="147">
        <f>303*40</f>
        <v>12120</v>
      </c>
      <c r="E99" s="11"/>
      <c r="F99" s="104"/>
      <c r="G99" s="104"/>
      <c r="H99" s="104"/>
      <c r="I99" s="91"/>
      <c r="J99" s="91"/>
      <c r="K99" s="91"/>
      <c r="L99" s="36">
        <f t="shared" si="17"/>
        <v>5.8053544407782182E-3</v>
      </c>
      <c r="M99" s="36">
        <f t="shared" si="18"/>
        <v>0</v>
      </c>
      <c r="N99" s="36">
        <f t="shared" si="16"/>
        <v>0</v>
      </c>
    </row>
    <row r="100" spans="1:14" ht="52.5" outlineLevel="1" thickBot="1">
      <c r="A100" s="7" t="s">
        <v>189</v>
      </c>
      <c r="B100" s="87">
        <f>+C100+D100+E100+F100+G100+H100+I100+J100+K100</f>
        <v>261300</v>
      </c>
      <c r="C100" s="18">
        <f>SUM(C101:C119)</f>
        <v>0</v>
      </c>
      <c r="D100" s="18">
        <f t="shared" ref="D100:K100" si="19">SUM(D101:D119)</f>
        <v>0</v>
      </c>
      <c r="E100" s="18">
        <f t="shared" si="19"/>
        <v>0</v>
      </c>
      <c r="F100" s="18">
        <f t="shared" si="19"/>
        <v>0</v>
      </c>
      <c r="G100" s="18">
        <f t="shared" si="19"/>
        <v>0</v>
      </c>
      <c r="H100" s="18">
        <f t="shared" si="19"/>
        <v>0</v>
      </c>
      <c r="I100" s="18">
        <f t="shared" si="19"/>
        <v>87100</v>
      </c>
      <c r="J100" s="18">
        <f t="shared" si="19"/>
        <v>87100</v>
      </c>
      <c r="K100" s="18">
        <f t="shared" si="19"/>
        <v>87100</v>
      </c>
      <c r="L100" s="36">
        <f t="shared" si="17"/>
        <v>0</v>
      </c>
      <c r="M100" s="36">
        <f t="shared" si="18"/>
        <v>0</v>
      </c>
      <c r="N100" s="36">
        <f t="shared" si="16"/>
        <v>0.10066606901490205</v>
      </c>
    </row>
    <row r="101" spans="1:14" ht="27" customHeight="1" outlineLevel="2">
      <c r="A101" s="346" t="s">
        <v>190</v>
      </c>
      <c r="B101" s="62" t="s">
        <v>191</v>
      </c>
      <c r="C101" s="62"/>
      <c r="D101" s="62"/>
      <c r="E101" s="62"/>
      <c r="F101" s="83"/>
      <c r="G101" s="83"/>
      <c r="H101" s="83"/>
      <c r="I101" s="93"/>
      <c r="J101" s="92"/>
      <c r="K101" s="92"/>
      <c r="L101" s="36"/>
      <c r="M101" s="36">
        <f t="shared" si="18"/>
        <v>0</v>
      </c>
      <c r="N101" s="36">
        <f t="shared" si="16"/>
        <v>0</v>
      </c>
    </row>
    <row r="102" spans="1:14" ht="39" outlineLevel="2" collapsed="1">
      <c r="A102" s="347"/>
      <c r="B102" s="62" t="s">
        <v>192</v>
      </c>
      <c r="C102" s="62"/>
      <c r="D102" s="62"/>
      <c r="E102" s="62"/>
      <c r="F102" s="83"/>
      <c r="G102" s="83"/>
      <c r="H102" s="83"/>
      <c r="I102" s="93"/>
      <c r="J102" s="92"/>
      <c r="K102" s="92"/>
      <c r="L102" s="36"/>
      <c r="M102" s="36">
        <f t="shared" si="18"/>
        <v>0</v>
      </c>
      <c r="N102" s="36">
        <f t="shared" si="16"/>
        <v>0</v>
      </c>
    </row>
    <row r="103" spans="1:14" ht="26" outlineLevel="2" collapsed="1">
      <c r="A103" s="347"/>
      <c r="B103" s="62" t="s">
        <v>193</v>
      </c>
      <c r="C103" s="62"/>
      <c r="D103" s="62"/>
      <c r="E103" s="62"/>
      <c r="F103" s="83"/>
      <c r="G103" s="83"/>
      <c r="H103" s="83"/>
      <c r="I103" s="93"/>
      <c r="J103" s="92"/>
      <c r="K103" s="92"/>
      <c r="L103" s="36"/>
      <c r="M103" s="36">
        <f t="shared" si="18"/>
        <v>0</v>
      </c>
      <c r="N103" s="36">
        <f t="shared" si="16"/>
        <v>0</v>
      </c>
    </row>
    <row r="104" spans="1:14" ht="26.5" outlineLevel="2" collapsed="1" thickBot="1">
      <c r="A104" s="348"/>
      <c r="B104" s="62" t="s">
        <v>194</v>
      </c>
      <c r="C104" s="62"/>
      <c r="D104" s="62"/>
      <c r="E104" s="62"/>
      <c r="F104" s="83"/>
      <c r="G104" s="83"/>
      <c r="H104" s="83"/>
      <c r="I104" s="93"/>
      <c r="J104" s="92"/>
      <c r="K104" s="92"/>
      <c r="L104" s="36"/>
      <c r="M104" s="36">
        <f t="shared" si="18"/>
        <v>0</v>
      </c>
      <c r="N104" s="36">
        <f t="shared" si="16"/>
        <v>0</v>
      </c>
    </row>
    <row r="105" spans="1:14" ht="60.75" customHeight="1" outlineLevel="2" collapsed="1">
      <c r="A105" s="349" t="s">
        <v>195</v>
      </c>
      <c r="B105" s="223" t="s">
        <v>196</v>
      </c>
      <c r="C105" s="222"/>
      <c r="D105" s="222"/>
      <c r="E105" s="222"/>
      <c r="F105" s="109"/>
      <c r="G105" s="109"/>
      <c r="H105" s="109"/>
      <c r="I105" s="101">
        <f>20*20*6</f>
        <v>2400</v>
      </c>
      <c r="J105" s="101">
        <f>20*20*6</f>
        <v>2400</v>
      </c>
      <c r="K105" s="101">
        <f>20*20*6</f>
        <v>2400</v>
      </c>
      <c r="L105" s="36"/>
      <c r="M105" s="36">
        <f t="shared" si="18"/>
        <v>0</v>
      </c>
      <c r="N105" s="36">
        <f t="shared" si="16"/>
        <v>2.7738067237171632E-3</v>
      </c>
    </row>
    <row r="106" spans="1:14" ht="26.5" outlineLevel="2" collapsed="1" thickBot="1">
      <c r="A106" s="350"/>
      <c r="B106" s="62" t="s">
        <v>197</v>
      </c>
      <c r="C106" s="62"/>
      <c r="D106" s="62"/>
      <c r="E106" s="62"/>
      <c r="F106" s="83"/>
      <c r="G106" s="83"/>
      <c r="H106" s="83"/>
      <c r="I106" s="93">
        <f>20*10*6</f>
        <v>1200</v>
      </c>
      <c r="J106" s="93">
        <f>20*10*6</f>
        <v>1200</v>
      </c>
      <c r="K106" s="93">
        <f>20*10*6</f>
        <v>1200</v>
      </c>
      <c r="L106" s="36"/>
      <c r="M106" s="36">
        <f t="shared" si="18"/>
        <v>0</v>
      </c>
      <c r="N106" s="36">
        <f t="shared" si="16"/>
        <v>1.3869033618585816E-3</v>
      </c>
    </row>
    <row r="107" spans="1:14" ht="78" outlineLevel="2" collapsed="1">
      <c r="A107" s="346" t="s">
        <v>198</v>
      </c>
      <c r="B107" s="62" t="s">
        <v>199</v>
      </c>
      <c r="C107" s="62"/>
      <c r="D107" s="62"/>
      <c r="E107" s="62"/>
      <c r="F107" s="83"/>
      <c r="G107" s="83"/>
      <c r="H107" s="83"/>
      <c r="I107" s="94">
        <f>(100*3*15*2)</f>
        <v>9000</v>
      </c>
      <c r="J107" s="94">
        <f>(100*3*15*2)</f>
        <v>9000</v>
      </c>
      <c r="K107" s="94">
        <f>(100*3*15*2)</f>
        <v>9000</v>
      </c>
      <c r="L107" s="36"/>
      <c r="M107" s="36">
        <f t="shared" si="18"/>
        <v>0</v>
      </c>
      <c r="N107" s="36">
        <f t="shared" si="16"/>
        <v>1.0401775213939361E-2</v>
      </c>
    </row>
    <row r="108" spans="1:14" ht="65" outlineLevel="2" collapsed="1">
      <c r="A108" s="347"/>
      <c r="B108" s="62" t="s">
        <v>200</v>
      </c>
      <c r="C108" s="62"/>
      <c r="D108" s="62"/>
      <c r="E108" s="62"/>
      <c r="F108" s="83"/>
      <c r="G108" s="83"/>
      <c r="H108" s="83"/>
      <c r="I108" s="94">
        <f>100*50</f>
        <v>5000</v>
      </c>
      <c r="J108" s="94">
        <f>100*50</f>
        <v>5000</v>
      </c>
      <c r="K108" s="94">
        <f>100*50</f>
        <v>5000</v>
      </c>
      <c r="L108" s="36"/>
      <c r="M108" s="36">
        <f t="shared" si="18"/>
        <v>0</v>
      </c>
      <c r="N108" s="36">
        <f t="shared" si="16"/>
        <v>5.7787640077440897E-3</v>
      </c>
    </row>
    <row r="109" spans="1:14" ht="65" outlineLevel="2" collapsed="1">
      <c r="A109" s="347"/>
      <c r="B109" s="62" t="s">
        <v>201</v>
      </c>
      <c r="C109" s="62"/>
      <c r="D109" s="62"/>
      <c r="E109" s="62"/>
      <c r="F109" s="83"/>
      <c r="G109" s="83"/>
      <c r="H109" s="83"/>
      <c r="I109" s="94">
        <f t="shared" ref="I109:K110" si="20">100*100</f>
        <v>10000</v>
      </c>
      <c r="J109" s="94">
        <f t="shared" si="20"/>
        <v>10000</v>
      </c>
      <c r="K109" s="94">
        <f t="shared" si="20"/>
        <v>10000</v>
      </c>
      <c r="L109" s="36"/>
      <c r="M109" s="36">
        <f t="shared" si="18"/>
        <v>0</v>
      </c>
      <c r="N109" s="36">
        <f t="shared" si="16"/>
        <v>1.1557528015488179E-2</v>
      </c>
    </row>
    <row r="110" spans="1:14" ht="52" outlineLevel="2" collapsed="1">
      <c r="A110" s="347"/>
      <c r="B110" s="62" t="s">
        <v>202</v>
      </c>
      <c r="C110" s="62"/>
      <c r="D110" s="62"/>
      <c r="E110" s="62"/>
      <c r="F110" s="83"/>
      <c r="G110" s="83"/>
      <c r="H110" s="83"/>
      <c r="I110" s="94">
        <f t="shared" si="20"/>
        <v>10000</v>
      </c>
      <c r="J110" s="94">
        <f t="shared" si="20"/>
        <v>10000</v>
      </c>
      <c r="K110" s="94">
        <f t="shared" si="20"/>
        <v>10000</v>
      </c>
      <c r="L110" s="36"/>
      <c r="M110" s="36">
        <f t="shared" si="18"/>
        <v>0</v>
      </c>
      <c r="N110" s="36">
        <f t="shared" si="16"/>
        <v>1.1557528015488179E-2</v>
      </c>
    </row>
    <row r="111" spans="1:14" ht="65.5" outlineLevel="2" collapsed="1" thickBot="1">
      <c r="A111" s="348"/>
      <c r="B111" s="62" t="s">
        <v>203</v>
      </c>
      <c r="C111" s="62"/>
      <c r="D111" s="62"/>
      <c r="E111" s="62"/>
      <c r="F111" s="83"/>
      <c r="G111" s="83"/>
      <c r="H111" s="83"/>
      <c r="I111" s="94">
        <f>(100*2*10)+(100*20)</f>
        <v>4000</v>
      </c>
      <c r="J111" s="94">
        <f>(100*2*10)+(100*20)</f>
        <v>4000</v>
      </c>
      <c r="K111" s="94">
        <f>(100*2*10)+(100*20)</f>
        <v>4000</v>
      </c>
      <c r="L111" s="36"/>
      <c r="M111" s="36">
        <f t="shared" si="18"/>
        <v>0</v>
      </c>
      <c r="N111" s="36">
        <f t="shared" si="16"/>
        <v>4.6230112061952716E-3</v>
      </c>
    </row>
    <row r="112" spans="1:14" ht="39" customHeight="1" outlineLevel="2" collapsed="1">
      <c r="A112" s="346" t="s">
        <v>204</v>
      </c>
      <c r="B112" s="62" t="s">
        <v>205</v>
      </c>
      <c r="C112" s="62"/>
      <c r="D112" s="62"/>
      <c r="E112" s="62"/>
      <c r="F112" s="83"/>
      <c r="G112" s="83"/>
      <c r="H112" s="83"/>
      <c r="I112" s="93">
        <v>2000</v>
      </c>
      <c r="J112" s="93">
        <v>2000</v>
      </c>
      <c r="K112" s="93">
        <v>2000</v>
      </c>
      <c r="L112" s="36"/>
      <c r="M112" s="36">
        <f t="shared" si="18"/>
        <v>0</v>
      </c>
      <c r="N112" s="36">
        <f t="shared" si="16"/>
        <v>2.3115056030976358E-3</v>
      </c>
    </row>
    <row r="113" spans="1:14" ht="37.5" customHeight="1" outlineLevel="2" collapsed="1">
      <c r="A113" s="347"/>
      <c r="B113" s="62" t="s">
        <v>206</v>
      </c>
      <c r="C113" s="62"/>
      <c r="D113" s="62"/>
      <c r="E113" s="62"/>
      <c r="F113" s="83"/>
      <c r="G113" s="83"/>
      <c r="H113" s="83"/>
      <c r="I113" s="93">
        <f>3000</f>
        <v>3000</v>
      </c>
      <c r="J113" s="93">
        <f>3000</f>
        <v>3000</v>
      </c>
      <c r="K113" s="93">
        <f>3000</f>
        <v>3000</v>
      </c>
      <c r="L113" s="36"/>
      <c r="M113" s="36">
        <f t="shared" si="18"/>
        <v>0</v>
      </c>
      <c r="N113" s="36">
        <f t="shared" si="16"/>
        <v>3.4672584046464539E-3</v>
      </c>
    </row>
    <row r="114" spans="1:14" ht="26" outlineLevel="2" collapsed="1">
      <c r="A114" s="347"/>
      <c r="B114" s="62" t="s">
        <v>207</v>
      </c>
      <c r="C114" s="62"/>
      <c r="D114" s="62"/>
      <c r="E114" s="62"/>
      <c r="F114" s="83"/>
      <c r="G114" s="83"/>
      <c r="H114" s="83"/>
      <c r="I114" s="93">
        <f>2000</f>
        <v>2000</v>
      </c>
      <c r="J114" s="93">
        <f>2000</f>
        <v>2000</v>
      </c>
      <c r="K114" s="93">
        <f>2000</f>
        <v>2000</v>
      </c>
      <c r="L114" s="36"/>
      <c r="M114" s="36">
        <f t="shared" si="18"/>
        <v>0</v>
      </c>
      <c r="N114" s="36">
        <f t="shared" si="16"/>
        <v>2.3115056030976358E-3</v>
      </c>
    </row>
    <row r="115" spans="1:14" ht="26" outlineLevel="2" collapsed="1">
      <c r="A115" s="347"/>
      <c r="B115" s="62" t="s">
        <v>208</v>
      </c>
      <c r="C115" s="62"/>
      <c r="D115" s="62"/>
      <c r="E115" s="62"/>
      <c r="F115" s="83"/>
      <c r="G115" s="83"/>
      <c r="H115" s="83"/>
      <c r="I115" s="93">
        <f>2000</f>
        <v>2000</v>
      </c>
      <c r="J115" s="93">
        <f>2000</f>
        <v>2000</v>
      </c>
      <c r="K115" s="93">
        <f>2000</f>
        <v>2000</v>
      </c>
      <c r="L115" s="36"/>
      <c r="M115" s="36">
        <f t="shared" si="18"/>
        <v>0</v>
      </c>
      <c r="N115" s="36">
        <f t="shared" si="16"/>
        <v>2.3115056030976358E-3</v>
      </c>
    </row>
    <row r="116" spans="1:14" ht="26" outlineLevel="2" collapsed="1">
      <c r="A116" s="347"/>
      <c r="B116" s="62" t="s">
        <v>209</v>
      </c>
      <c r="C116" s="62"/>
      <c r="D116" s="62"/>
      <c r="E116" s="62"/>
      <c r="F116" s="83"/>
      <c r="G116" s="83"/>
      <c r="H116" s="83"/>
      <c r="I116" s="93">
        <f>2000</f>
        <v>2000</v>
      </c>
      <c r="J116" s="93">
        <f>2000</f>
        <v>2000</v>
      </c>
      <c r="K116" s="93">
        <f>2000</f>
        <v>2000</v>
      </c>
      <c r="L116" s="36"/>
      <c r="M116" s="36">
        <f t="shared" si="18"/>
        <v>0</v>
      </c>
      <c r="N116" s="36">
        <f t="shared" si="16"/>
        <v>2.3115056030976358E-3</v>
      </c>
    </row>
    <row r="117" spans="1:14" ht="15" customHeight="1" outlineLevel="2" collapsed="1">
      <c r="A117" s="347"/>
      <c r="B117" s="62" t="s">
        <v>210</v>
      </c>
      <c r="C117" s="62"/>
      <c r="D117" s="62"/>
      <c r="E117" s="62"/>
      <c r="F117" s="83"/>
      <c r="G117" s="83"/>
      <c r="H117" s="83"/>
      <c r="I117" s="93">
        <f>2000</f>
        <v>2000</v>
      </c>
      <c r="J117" s="93">
        <f>2000</f>
        <v>2000</v>
      </c>
      <c r="K117" s="93">
        <f>2000</f>
        <v>2000</v>
      </c>
      <c r="L117" s="36"/>
      <c r="M117" s="36">
        <f t="shared" si="18"/>
        <v>0</v>
      </c>
      <c r="N117" s="36">
        <f t="shared" si="16"/>
        <v>2.3115056030976358E-3</v>
      </c>
    </row>
    <row r="118" spans="1:14" ht="24" customHeight="1" outlineLevel="2" collapsed="1">
      <c r="A118" s="347"/>
      <c r="B118" s="62" t="s">
        <v>211</v>
      </c>
      <c r="C118" s="62"/>
      <c r="D118" s="62"/>
      <c r="E118" s="62"/>
      <c r="F118" s="83"/>
      <c r="G118" s="83"/>
      <c r="H118" s="83"/>
      <c r="I118" s="93">
        <f>2500</f>
        <v>2500</v>
      </c>
      <c r="J118" s="93">
        <f>2500</f>
        <v>2500</v>
      </c>
      <c r="K118" s="93">
        <f>2500</f>
        <v>2500</v>
      </c>
      <c r="L118" s="36"/>
      <c r="M118" s="36">
        <f t="shared" si="18"/>
        <v>0</v>
      </c>
      <c r="N118" s="36">
        <f t="shared" ref="N118:N139" si="21">+K118/$I$210</f>
        <v>2.8893820038720448E-3</v>
      </c>
    </row>
    <row r="119" spans="1:14" ht="39.5" outlineLevel="2" collapsed="1" thickBot="1">
      <c r="A119" s="348"/>
      <c r="B119" s="62" t="s">
        <v>212</v>
      </c>
      <c r="C119" s="62"/>
      <c r="D119" s="62"/>
      <c r="E119" s="62"/>
      <c r="F119" s="83"/>
      <c r="G119" s="83"/>
      <c r="H119" s="83"/>
      <c r="I119" s="93">
        <v>30000</v>
      </c>
      <c r="J119" s="93">
        <v>30000</v>
      </c>
      <c r="K119" s="93">
        <v>30000</v>
      </c>
      <c r="L119" s="36"/>
      <c r="M119" s="36">
        <f t="shared" si="18"/>
        <v>0</v>
      </c>
      <c r="N119" s="36">
        <f t="shared" si="21"/>
        <v>3.467258404646454E-2</v>
      </c>
    </row>
    <row r="120" spans="1:14" ht="78">
      <c r="A120" s="21" t="s">
        <v>213</v>
      </c>
      <c r="B120" s="87">
        <f>+C120+D120+E120+F120+G120+H120+I120+J120+K120</f>
        <v>1248535</v>
      </c>
      <c r="C120" s="60">
        <f t="shared" ref="C120:K120" si="22">+C121+C147+C153+C157</f>
        <v>358010</v>
      </c>
      <c r="D120" s="61">
        <f>+D121+D147+D153+D157</f>
        <v>277815</v>
      </c>
      <c r="E120" s="61">
        <f>+E121+E157+E147+E153+E157</f>
        <v>46475</v>
      </c>
      <c r="F120" s="61">
        <f t="shared" si="22"/>
        <v>103060</v>
      </c>
      <c r="G120" s="61">
        <f t="shared" si="22"/>
        <v>58720</v>
      </c>
      <c r="H120" s="61">
        <f t="shared" si="22"/>
        <v>18720</v>
      </c>
      <c r="I120" s="61">
        <f t="shared" si="22"/>
        <v>223050</v>
      </c>
      <c r="J120" s="95">
        <f t="shared" si="22"/>
        <v>85085</v>
      </c>
      <c r="K120" s="95">
        <f t="shared" si="22"/>
        <v>77600</v>
      </c>
      <c r="L120" s="36">
        <f>+(C120+D120+E120)/$C$210</f>
        <v>0.32681463159595531</v>
      </c>
      <c r="M120" s="36">
        <f t="shared" si="18"/>
        <v>0.17296599360542134</v>
      </c>
      <c r="N120" s="36">
        <f t="shared" si="21"/>
        <v>8.9686417400188276E-2</v>
      </c>
    </row>
    <row r="121" spans="1:14" ht="91" collapsed="1">
      <c r="A121" s="22" t="s">
        <v>214</v>
      </c>
      <c r="B121" s="87">
        <f>+C121+D121+E121+F121+G121+H121+I121+J121+K121</f>
        <v>765460</v>
      </c>
      <c r="C121" s="18">
        <f t="shared" ref="C121:K121" si="23">SUM(C122:C146)</f>
        <v>358010</v>
      </c>
      <c r="D121" s="19">
        <f>SUM(D122:D146)</f>
        <v>246235</v>
      </c>
      <c r="E121" s="19">
        <f t="shared" si="23"/>
        <v>36875</v>
      </c>
      <c r="F121" s="19">
        <f t="shared" si="23"/>
        <v>84340</v>
      </c>
      <c r="G121" s="19">
        <f t="shared" si="23"/>
        <v>40000</v>
      </c>
      <c r="H121" s="19">
        <f t="shared" si="23"/>
        <v>0</v>
      </c>
      <c r="I121" s="96">
        <f t="shared" si="23"/>
        <v>0</v>
      </c>
      <c r="J121" s="96">
        <f t="shared" si="23"/>
        <v>0</v>
      </c>
      <c r="K121" s="96">
        <f t="shared" si="23"/>
        <v>0</v>
      </c>
      <c r="L121" s="36">
        <f>+(C121+D121+E121)/$C$210</f>
        <v>0.30708983820723856</v>
      </c>
      <c r="M121" s="36">
        <f t="shared" si="18"/>
        <v>0.11915009221550188</v>
      </c>
      <c r="N121" s="36">
        <f t="shared" si="21"/>
        <v>0</v>
      </c>
    </row>
    <row r="122" spans="1:14" ht="130" hidden="1" outlineLevel="1">
      <c r="A122" s="17" t="s">
        <v>215</v>
      </c>
      <c r="B122" s="41" t="s">
        <v>216</v>
      </c>
      <c r="C122" s="16"/>
      <c r="D122" s="11"/>
      <c r="E122" s="11"/>
      <c r="F122" s="145">
        <f>400*65</f>
        <v>26000</v>
      </c>
      <c r="G122" s="104"/>
      <c r="H122" s="104"/>
      <c r="I122" s="91"/>
      <c r="J122" s="91"/>
      <c r="K122" s="91"/>
      <c r="L122" s="36">
        <f>+(C122+D122+E122)/$C$210</f>
        <v>0</v>
      </c>
      <c r="M122" s="36">
        <f t="shared" si="18"/>
        <v>2.4914769161999747E-2</v>
      </c>
      <c r="N122" s="36">
        <f t="shared" si="21"/>
        <v>0</v>
      </c>
    </row>
    <row r="123" spans="1:14" hidden="1" outlineLevel="1" collapsed="1">
      <c r="A123" s="17"/>
      <c r="B123" s="41" t="s">
        <v>148</v>
      </c>
      <c r="C123" s="16"/>
      <c r="D123" s="11"/>
      <c r="E123" s="11"/>
      <c r="F123" s="160">
        <f>30*303+2500</f>
        <v>11590</v>
      </c>
      <c r="G123" s="104"/>
      <c r="H123" s="104"/>
      <c r="I123" s="91"/>
      <c r="J123" s="91"/>
      <c r="K123" s="91"/>
      <c r="L123" s="36"/>
      <c r="M123" s="36">
        <f t="shared" si="18"/>
        <v>1.110623748413758E-2</v>
      </c>
      <c r="N123" s="36">
        <f t="shared" si="21"/>
        <v>0</v>
      </c>
    </row>
    <row r="124" spans="1:14" hidden="1" outlineLevel="1" collapsed="1">
      <c r="A124" s="17"/>
      <c r="B124" s="41" t="s">
        <v>217</v>
      </c>
      <c r="C124" s="16"/>
      <c r="D124" s="11"/>
      <c r="E124" s="11"/>
      <c r="F124" s="145">
        <f>450*15</f>
        <v>6750</v>
      </c>
      <c r="G124" s="104"/>
      <c r="H124" s="104"/>
      <c r="I124" s="91"/>
      <c r="J124" s="91"/>
      <c r="K124" s="91"/>
      <c r="L124" s="36"/>
      <c r="M124" s="36">
        <f t="shared" si="18"/>
        <v>6.4682573785960883E-3</v>
      </c>
      <c r="N124" s="36">
        <f t="shared" si="21"/>
        <v>0</v>
      </c>
    </row>
    <row r="125" spans="1:14" hidden="1" outlineLevel="1" collapsed="1">
      <c r="A125" s="17"/>
      <c r="B125" s="41" t="s">
        <v>164</v>
      </c>
      <c r="C125" s="16"/>
      <c r="E125" s="11"/>
      <c r="F125" s="145">
        <v>5000</v>
      </c>
      <c r="G125" s="104"/>
      <c r="H125" s="104"/>
      <c r="I125" s="91"/>
      <c r="J125" s="91"/>
      <c r="K125" s="91"/>
      <c r="L125" s="36"/>
      <c r="M125" s="36">
        <f t="shared" si="18"/>
        <v>4.7913017619230286E-3</v>
      </c>
      <c r="N125" s="36">
        <f t="shared" si="21"/>
        <v>0</v>
      </c>
    </row>
    <row r="126" spans="1:14" ht="52" hidden="1" outlineLevel="1" collapsed="1">
      <c r="A126" s="17" t="s">
        <v>218</v>
      </c>
      <c r="B126" s="62" t="s">
        <v>219</v>
      </c>
      <c r="C126" s="16"/>
      <c r="D126" s="11"/>
      <c r="E126" s="11"/>
      <c r="F126" s="145">
        <v>25000</v>
      </c>
      <c r="G126" s="104"/>
      <c r="H126" s="104"/>
      <c r="I126" s="91"/>
      <c r="J126" s="91"/>
      <c r="K126" s="91"/>
      <c r="L126" s="36">
        <f t="shared" ref="L126:L138" si="24">+(C126+D126+E126)/$C$210</f>
        <v>0</v>
      </c>
      <c r="M126" s="36">
        <f t="shared" si="18"/>
        <v>2.3956508809615144E-2</v>
      </c>
      <c r="N126" s="36">
        <f t="shared" si="21"/>
        <v>0</v>
      </c>
    </row>
    <row r="127" spans="1:14" ht="52" hidden="1" outlineLevel="1" collapsed="1">
      <c r="A127" s="17" t="s">
        <v>220</v>
      </c>
      <c r="B127" s="62" t="s">
        <v>221</v>
      </c>
      <c r="C127" s="16"/>
      <c r="D127" s="11"/>
      <c r="E127" s="11"/>
      <c r="F127" s="162">
        <v>10000</v>
      </c>
      <c r="G127" s="162">
        <v>20000</v>
      </c>
      <c r="H127" s="104"/>
      <c r="I127" s="91"/>
      <c r="J127" s="91"/>
      <c r="K127" s="91"/>
      <c r="L127" s="36">
        <f t="shared" si="24"/>
        <v>0</v>
      </c>
      <c r="M127" s="36">
        <f t="shared" si="18"/>
        <v>2.874781057153817E-2</v>
      </c>
      <c r="N127" s="36">
        <f t="shared" si="21"/>
        <v>0</v>
      </c>
    </row>
    <row r="128" spans="1:14" ht="21.75" hidden="1" customHeight="1" outlineLevel="1" collapsed="1">
      <c r="A128" s="333" t="s">
        <v>222</v>
      </c>
      <c r="B128" s="62" t="s">
        <v>109</v>
      </c>
      <c r="C128" s="144">
        <f>400*60</f>
        <v>24000</v>
      </c>
      <c r="D128" s="11"/>
      <c r="E128" s="11"/>
      <c r="F128" s="104"/>
      <c r="G128" s="104"/>
      <c r="H128" s="104"/>
      <c r="I128" s="91"/>
      <c r="J128" s="91"/>
      <c r="K128" s="91"/>
      <c r="L128" s="36">
        <f t="shared" si="24"/>
        <v>1.1495751367877659E-2</v>
      </c>
      <c r="M128" s="36">
        <f t="shared" si="18"/>
        <v>0</v>
      </c>
      <c r="N128" s="36">
        <f t="shared" si="21"/>
        <v>0</v>
      </c>
    </row>
    <row r="129" spans="1:14" hidden="1" outlineLevel="1" collapsed="1">
      <c r="A129" s="334"/>
      <c r="B129" s="62" t="s">
        <v>110</v>
      </c>
      <c r="C129" s="150">
        <v>2000</v>
      </c>
      <c r="D129" s="11"/>
      <c r="E129" s="11"/>
      <c r="F129" s="104"/>
      <c r="G129" s="104"/>
      <c r="H129" s="104"/>
      <c r="I129" s="91"/>
      <c r="J129" s="91"/>
      <c r="K129" s="91"/>
      <c r="L129" s="36">
        <f t="shared" si="24"/>
        <v>9.5797928065647156E-4</v>
      </c>
      <c r="M129" s="36">
        <f t="shared" si="18"/>
        <v>0</v>
      </c>
      <c r="N129" s="36">
        <f t="shared" si="21"/>
        <v>0</v>
      </c>
    </row>
    <row r="130" spans="1:14" hidden="1" outlineLevel="1" collapsed="1">
      <c r="A130" s="334"/>
      <c r="B130" s="62" t="s">
        <v>111</v>
      </c>
      <c r="C130" s="150">
        <f>303*50</f>
        <v>15150</v>
      </c>
      <c r="D130" s="11"/>
      <c r="E130" s="11"/>
      <c r="F130" s="104"/>
      <c r="G130" s="104"/>
      <c r="H130" s="104"/>
      <c r="I130" s="91"/>
      <c r="J130" s="91"/>
      <c r="K130" s="91"/>
      <c r="L130" s="36">
        <f t="shared" si="24"/>
        <v>7.2566930509727727E-3</v>
      </c>
      <c r="M130" s="36">
        <f t="shared" si="18"/>
        <v>0</v>
      </c>
      <c r="N130" s="36">
        <f t="shared" si="21"/>
        <v>0</v>
      </c>
    </row>
    <row r="131" spans="1:14" hidden="1" outlineLevel="1" collapsed="1">
      <c r="A131" s="335"/>
      <c r="B131" s="62" t="s">
        <v>223</v>
      </c>
      <c r="C131" s="16"/>
      <c r="D131" s="11">
        <f>15000</f>
        <v>15000</v>
      </c>
      <c r="E131" s="11">
        <v>15000</v>
      </c>
      <c r="F131" s="104"/>
      <c r="G131" s="104"/>
      <c r="H131" s="104"/>
      <c r="I131" s="91"/>
      <c r="J131" s="91"/>
      <c r="K131" s="91"/>
      <c r="L131" s="36">
        <f t="shared" si="24"/>
        <v>1.4369689209847073E-2</v>
      </c>
      <c r="M131" s="36">
        <f t="shared" si="18"/>
        <v>0</v>
      </c>
      <c r="N131" s="36">
        <f t="shared" si="21"/>
        <v>0</v>
      </c>
    </row>
    <row r="132" spans="1:14" ht="91" hidden="1" outlineLevel="1" collapsed="1">
      <c r="A132" s="17" t="s">
        <v>224</v>
      </c>
      <c r="B132" s="62" t="s">
        <v>223</v>
      </c>
      <c r="C132" s="16"/>
      <c r="D132" s="11">
        <v>5000</v>
      </c>
      <c r="E132" s="11">
        <v>10000</v>
      </c>
      <c r="F132" s="104"/>
      <c r="G132" s="104"/>
      <c r="H132" s="104"/>
      <c r="I132" s="91"/>
      <c r="J132" s="91"/>
      <c r="K132" s="91"/>
      <c r="L132" s="36">
        <f t="shared" si="24"/>
        <v>7.1848446049235367E-3</v>
      </c>
      <c r="M132" s="36">
        <f t="shared" si="18"/>
        <v>0</v>
      </c>
      <c r="N132" s="36">
        <f t="shared" si="21"/>
        <v>0</v>
      </c>
    </row>
    <row r="133" spans="1:14" ht="65" hidden="1" outlineLevel="1" collapsed="1">
      <c r="A133" s="333" t="s">
        <v>225</v>
      </c>
      <c r="B133" s="62" t="s">
        <v>226</v>
      </c>
      <c r="C133" s="144">
        <f>475*80</f>
        <v>38000</v>
      </c>
      <c r="D133" s="145">
        <f>475*25</f>
        <v>11875</v>
      </c>
      <c r="E133" s="145">
        <f>475*25</f>
        <v>11875</v>
      </c>
      <c r="F133" s="104"/>
      <c r="G133" s="104"/>
      <c r="H133" s="104"/>
      <c r="I133" s="91"/>
      <c r="J133" s="91"/>
      <c r="K133" s="91"/>
      <c r="L133" s="36">
        <f t="shared" si="24"/>
        <v>2.957761029026856E-2</v>
      </c>
      <c r="M133" s="36">
        <f t="shared" si="18"/>
        <v>0</v>
      </c>
      <c r="N133" s="36">
        <f t="shared" si="21"/>
        <v>0</v>
      </c>
    </row>
    <row r="134" spans="1:14" ht="15" hidden="1" customHeight="1" outlineLevel="1" collapsed="1">
      <c r="A134" s="334"/>
      <c r="B134" s="62" t="s">
        <v>110</v>
      </c>
      <c r="C134" s="150">
        <f>2000*4</f>
        <v>8000</v>
      </c>
      <c r="D134" s="146">
        <v>2000</v>
      </c>
      <c r="E134" s="11"/>
      <c r="F134" s="104"/>
      <c r="G134" s="54"/>
      <c r="H134" s="104"/>
      <c r="I134" s="91"/>
      <c r="J134" s="91"/>
      <c r="K134" s="91"/>
      <c r="L134" s="36">
        <f t="shared" si="24"/>
        <v>4.7898964032823581E-3</v>
      </c>
      <c r="M134" s="36">
        <f t="shared" si="18"/>
        <v>0</v>
      </c>
      <c r="N134" s="36">
        <f t="shared" si="21"/>
        <v>0</v>
      </c>
    </row>
    <row r="135" spans="1:14" ht="23.25" hidden="1" customHeight="1" outlineLevel="1" collapsed="1">
      <c r="A135" s="334"/>
      <c r="B135" s="62" t="s">
        <v>111</v>
      </c>
      <c r="C135" s="150">
        <f>303*60</f>
        <v>18180</v>
      </c>
      <c r="D135" s="146">
        <f>303*20</f>
        <v>6060</v>
      </c>
      <c r="E135" s="11"/>
      <c r="F135" s="104"/>
      <c r="G135" s="104"/>
      <c r="H135" s="104"/>
      <c r="I135" s="91"/>
      <c r="J135" s="91"/>
      <c r="K135" s="91"/>
      <c r="L135" s="36">
        <f t="shared" si="24"/>
        <v>1.1610708881556436E-2</v>
      </c>
      <c r="M135" s="36">
        <f t="shared" si="18"/>
        <v>0</v>
      </c>
      <c r="N135" s="36">
        <f t="shared" si="21"/>
        <v>0</v>
      </c>
    </row>
    <row r="136" spans="1:14" ht="31.5" hidden="1" customHeight="1" outlineLevel="1" collapsed="1">
      <c r="A136" s="334"/>
      <c r="B136" s="62" t="s">
        <v>227</v>
      </c>
      <c r="C136" s="144">
        <f>25*25*5</f>
        <v>3125</v>
      </c>
      <c r="D136" s="11"/>
      <c r="E136" s="11"/>
      <c r="F136" s="104"/>
      <c r="G136" s="104"/>
      <c r="H136" s="104"/>
      <c r="I136" s="91"/>
      <c r="J136" s="91"/>
      <c r="K136" s="91"/>
      <c r="L136" s="36">
        <f t="shared" si="24"/>
        <v>1.4968426260257369E-3</v>
      </c>
      <c r="M136" s="36">
        <f t="shared" si="18"/>
        <v>0</v>
      </c>
      <c r="N136" s="36">
        <f t="shared" si="21"/>
        <v>0</v>
      </c>
    </row>
    <row r="137" spans="1:14" ht="24.75" hidden="1" customHeight="1" outlineLevel="1" collapsed="1">
      <c r="A137" s="335"/>
      <c r="B137" s="62" t="s">
        <v>173</v>
      </c>
      <c r="C137" s="16"/>
      <c r="D137" s="11"/>
      <c r="E137" s="11"/>
      <c r="F137" s="104"/>
      <c r="G137" s="104"/>
      <c r="H137" s="104"/>
      <c r="I137" s="91"/>
      <c r="J137" s="91"/>
      <c r="K137" s="91"/>
      <c r="L137" s="36">
        <f t="shared" si="24"/>
        <v>0</v>
      </c>
      <c r="M137" s="36">
        <f t="shared" si="18"/>
        <v>0</v>
      </c>
      <c r="N137" s="36">
        <f t="shared" si="21"/>
        <v>0</v>
      </c>
    </row>
    <row r="138" spans="1:14" ht="24.75" hidden="1" customHeight="1" outlineLevel="1" collapsed="1">
      <c r="A138" s="333" t="s">
        <v>228</v>
      </c>
      <c r="B138" s="62" t="s">
        <v>229</v>
      </c>
      <c r="C138" s="16"/>
      <c r="D138" s="145">
        <f>150*21*12</f>
        <v>37800</v>
      </c>
      <c r="F138" s="110"/>
      <c r="G138" s="104"/>
      <c r="H138" s="104"/>
      <c r="I138" s="91"/>
      <c r="J138" s="91"/>
      <c r="K138" s="91"/>
      <c r="L138" s="36">
        <f t="shared" si="24"/>
        <v>1.8105808404407314E-2</v>
      </c>
      <c r="M138" s="36">
        <f t="shared" si="18"/>
        <v>0</v>
      </c>
      <c r="N138" s="36">
        <f t="shared" si="21"/>
        <v>0</v>
      </c>
    </row>
    <row r="139" spans="1:14" ht="43.5" hidden="1" customHeight="1" outlineLevel="1" collapsed="1">
      <c r="A139" s="334"/>
      <c r="C139" s="16"/>
      <c r="D139" s="11"/>
      <c r="E139" s="11"/>
      <c r="F139" s="110"/>
      <c r="G139" s="104"/>
      <c r="H139" s="104"/>
      <c r="I139" s="91"/>
      <c r="J139" s="91"/>
      <c r="K139" s="91"/>
      <c r="L139" s="36">
        <f>+(C141+D139+E139)/$C$210</f>
        <v>2.1554533814770613E-2</v>
      </c>
      <c r="M139" s="36">
        <f t="shared" si="18"/>
        <v>0</v>
      </c>
      <c r="N139" s="36">
        <f t="shared" si="21"/>
        <v>0</v>
      </c>
    </row>
    <row r="140" spans="1:14" ht="43.5" hidden="1" customHeight="1" outlineLevel="1">
      <c r="A140" s="335"/>
      <c r="B140" s="62" t="s">
        <v>230</v>
      </c>
      <c r="C140" s="144">
        <f>12000*12</f>
        <v>144000</v>
      </c>
      <c r="D140" s="145">
        <f>12000*6</f>
        <v>72000</v>
      </c>
      <c r="E140" s="11"/>
      <c r="F140" s="110"/>
      <c r="G140" s="104"/>
      <c r="H140" s="104"/>
      <c r="I140" s="91"/>
      <c r="J140" s="91"/>
      <c r="K140" s="91"/>
      <c r="L140" s="36"/>
      <c r="M140" s="36"/>
      <c r="N140" s="36"/>
    </row>
    <row r="141" spans="1:14" ht="43.5" hidden="1" customHeight="1" outlineLevel="1">
      <c r="A141" s="333" t="s">
        <v>231</v>
      </c>
      <c r="B141" s="62" t="s">
        <v>232</v>
      </c>
      <c r="C141" s="16">
        <v>45000</v>
      </c>
      <c r="D141" s="11"/>
      <c r="E141" s="11"/>
      <c r="F141" s="110"/>
      <c r="G141" s="104"/>
      <c r="H141" s="104"/>
      <c r="I141" s="91"/>
      <c r="J141" s="91"/>
      <c r="K141" s="91"/>
      <c r="L141" s="36"/>
      <c r="M141" s="36"/>
      <c r="N141" s="36"/>
    </row>
    <row r="142" spans="1:14" ht="26.25" hidden="1" customHeight="1" outlineLevel="1" collapsed="1">
      <c r="A142" s="335"/>
      <c r="B142" s="62" t="s">
        <v>233</v>
      </c>
      <c r="C142" s="144">
        <f>475*10</f>
        <v>4750</v>
      </c>
      <c r="D142" s="144">
        <v>61500</v>
      </c>
      <c r="E142" s="11"/>
      <c r="F142" s="104"/>
      <c r="G142" s="104"/>
      <c r="H142" s="104"/>
      <c r="I142" s="91"/>
      <c r="J142" s="91"/>
      <c r="K142" s="91"/>
      <c r="L142" s="36">
        <f t="shared" ref="L142:L158" si="25">+(C142+D142+E142)/$C$210</f>
        <v>3.1733063671745623E-2</v>
      </c>
      <c r="M142" s="36">
        <f t="shared" ref="M142:M157" si="26">+(F142+G142+H142)/$F$210</f>
        <v>0</v>
      </c>
      <c r="N142" s="36">
        <f t="shared" ref="N142:N173" si="27">+K142/$I$210</f>
        <v>0</v>
      </c>
    </row>
    <row r="143" spans="1:14" ht="26" hidden="1" outlineLevel="1" collapsed="1">
      <c r="A143" s="341" t="s">
        <v>234</v>
      </c>
      <c r="B143" s="62" t="s">
        <v>235</v>
      </c>
      <c r="C143" s="144">
        <f>200*80</f>
        <v>16000</v>
      </c>
      <c r="D143" s="11"/>
      <c r="E143" s="11"/>
      <c r="F143" s="104"/>
      <c r="G143" s="104"/>
      <c r="H143" s="104"/>
      <c r="I143" s="91"/>
      <c r="J143" s="91"/>
      <c r="K143" s="91"/>
      <c r="L143" s="36">
        <f t="shared" si="25"/>
        <v>7.6638342452517725E-3</v>
      </c>
      <c r="M143" s="36">
        <f t="shared" si="26"/>
        <v>0</v>
      </c>
      <c r="N143" s="36">
        <f t="shared" si="27"/>
        <v>0</v>
      </c>
    </row>
    <row r="144" spans="1:14" hidden="1" outlineLevel="1" collapsed="1">
      <c r="A144" s="341"/>
      <c r="B144" s="62" t="s">
        <v>111</v>
      </c>
      <c r="C144" s="150">
        <f>70*50</f>
        <v>3500</v>
      </c>
      <c r="D144" s="11"/>
      <c r="E144" s="11"/>
      <c r="F144" s="104"/>
      <c r="G144" s="104"/>
      <c r="H144" s="104"/>
      <c r="I144" s="91"/>
      <c r="J144" s="91"/>
      <c r="K144" s="91"/>
      <c r="L144" s="36">
        <f t="shared" si="25"/>
        <v>1.6764637411488253E-3</v>
      </c>
      <c r="M144" s="36">
        <f t="shared" si="26"/>
        <v>0</v>
      </c>
      <c r="N144" s="36">
        <f t="shared" si="27"/>
        <v>0</v>
      </c>
    </row>
    <row r="145" spans="1:14" ht="26" hidden="1" outlineLevel="1" collapsed="1">
      <c r="A145" s="341"/>
      <c r="B145" s="62" t="s">
        <v>236</v>
      </c>
      <c r="C145" s="144">
        <f>25*25*13</f>
        <v>8125</v>
      </c>
      <c r="D145" s="11"/>
      <c r="E145" s="11"/>
      <c r="F145" s="104"/>
      <c r="G145" s="104"/>
      <c r="H145" s="104"/>
      <c r="I145" s="91"/>
      <c r="J145" s="91"/>
      <c r="K145" s="91"/>
      <c r="L145" s="36">
        <f t="shared" si="25"/>
        <v>3.8917908276669159E-3</v>
      </c>
      <c r="M145" s="36">
        <f t="shared" si="26"/>
        <v>0</v>
      </c>
      <c r="N145" s="36">
        <f t="shared" si="27"/>
        <v>0</v>
      </c>
    </row>
    <row r="146" spans="1:14" hidden="1" outlineLevel="1" collapsed="1">
      <c r="A146" s="341"/>
      <c r="B146" s="41" t="s">
        <v>145</v>
      </c>
      <c r="C146" s="132">
        <f>23180+5300+300-600</f>
        <v>28180</v>
      </c>
      <c r="D146" s="16">
        <v>35000</v>
      </c>
      <c r="E146" s="11"/>
      <c r="F146" s="104"/>
      <c r="G146" s="162">
        <v>20000</v>
      </c>
      <c r="H146" s="104"/>
      <c r="I146" s="91"/>
      <c r="J146" s="91"/>
      <c r="K146" s="91"/>
      <c r="L146" s="36">
        <f t="shared" si="25"/>
        <v>3.0262565475937937E-2</v>
      </c>
      <c r="M146" s="36">
        <f t="shared" si="26"/>
        <v>1.9165207047692114E-2</v>
      </c>
      <c r="N146" s="36">
        <f t="shared" si="27"/>
        <v>0</v>
      </c>
    </row>
    <row r="147" spans="1:14" ht="52" collapsed="1">
      <c r="A147" s="23" t="s">
        <v>237</v>
      </c>
      <c r="B147" s="87">
        <f>+C147+D147+E147+F147+G147+H147+I147+J147+K147</f>
        <v>41180</v>
      </c>
      <c r="C147" s="18">
        <f>SUM(C148:C152)</f>
        <v>0</v>
      </c>
      <c r="D147" s="18">
        <f t="shared" ref="D147:K147" si="28">SUM(D148:D152)</f>
        <v>31580</v>
      </c>
      <c r="E147" s="18">
        <f t="shared" si="28"/>
        <v>9600</v>
      </c>
      <c r="F147" s="18">
        <f t="shared" si="28"/>
        <v>0</v>
      </c>
      <c r="G147" s="18">
        <f t="shared" si="28"/>
        <v>0</v>
      </c>
      <c r="H147" s="18">
        <f t="shared" si="28"/>
        <v>0</v>
      </c>
      <c r="I147" s="18">
        <f t="shared" si="28"/>
        <v>0</v>
      </c>
      <c r="J147" s="18">
        <f t="shared" si="28"/>
        <v>0</v>
      </c>
      <c r="K147" s="18">
        <f t="shared" si="28"/>
        <v>0</v>
      </c>
      <c r="L147" s="36">
        <f t="shared" si="25"/>
        <v>1.9724793388716751E-2</v>
      </c>
      <c r="M147" s="36">
        <f t="shared" si="26"/>
        <v>0</v>
      </c>
      <c r="N147" s="36">
        <f t="shared" si="27"/>
        <v>0</v>
      </c>
    </row>
    <row r="148" spans="1:14" ht="42" hidden="1" customHeight="1" outlineLevel="3">
      <c r="A148" s="339" t="s">
        <v>238</v>
      </c>
      <c r="B148" s="56" t="s">
        <v>239</v>
      </c>
      <c r="C148" s="11"/>
      <c r="D148" s="11"/>
      <c r="E148" s="11"/>
      <c r="G148" s="104"/>
      <c r="H148" s="104"/>
      <c r="I148" s="91"/>
      <c r="J148" s="91"/>
      <c r="K148" s="91"/>
      <c r="L148" s="36">
        <f t="shared" si="25"/>
        <v>0</v>
      </c>
      <c r="M148" s="36">
        <f t="shared" si="26"/>
        <v>0</v>
      </c>
      <c r="N148" s="36">
        <f t="shared" si="27"/>
        <v>0</v>
      </c>
    </row>
    <row r="149" spans="1:14" ht="22.5" hidden="1" customHeight="1" outlineLevel="3">
      <c r="A149" s="340"/>
      <c r="B149" s="62" t="s">
        <v>148</v>
      </c>
      <c r="C149" s="16"/>
      <c r="D149" s="11"/>
      <c r="E149" s="11"/>
      <c r="F149" s="104"/>
      <c r="G149" s="104"/>
      <c r="H149" s="104"/>
      <c r="I149" s="91"/>
      <c r="J149" s="91"/>
      <c r="K149" s="91"/>
      <c r="L149" s="36">
        <f t="shared" si="25"/>
        <v>0</v>
      </c>
      <c r="M149" s="36">
        <f t="shared" si="26"/>
        <v>0</v>
      </c>
      <c r="N149" s="36">
        <f t="shared" si="27"/>
        <v>0</v>
      </c>
    </row>
    <row r="150" spans="1:14" ht="65" hidden="1" outlineLevel="3">
      <c r="A150" s="20" t="s">
        <v>240</v>
      </c>
      <c r="B150" s="328" t="s">
        <v>145</v>
      </c>
      <c r="C150" s="16"/>
      <c r="D150" s="11">
        <f>15000-6400+194</f>
        <v>8794</v>
      </c>
      <c r="E150" s="11">
        <f>10000-400</f>
        <v>9600</v>
      </c>
      <c r="F150" s="104"/>
      <c r="G150" s="104"/>
      <c r="H150" s="104"/>
      <c r="I150" s="91"/>
      <c r="J150" s="91"/>
      <c r="K150" s="91"/>
      <c r="L150" s="36">
        <f t="shared" si="25"/>
        <v>8.8105354441975689E-3</v>
      </c>
      <c r="M150" s="36">
        <f t="shared" si="26"/>
        <v>0</v>
      </c>
      <c r="N150" s="36">
        <f t="shared" si="27"/>
        <v>0</v>
      </c>
    </row>
    <row r="151" spans="1:14" hidden="1" outlineLevel="3">
      <c r="A151" s="344" t="s">
        <v>241</v>
      </c>
      <c r="B151" s="328"/>
      <c r="C151" s="16"/>
      <c r="D151" s="11"/>
      <c r="E151" s="11"/>
      <c r="F151" s="104"/>
      <c r="G151" s="104"/>
      <c r="H151" s="104"/>
      <c r="I151" s="91"/>
      <c r="J151" s="91"/>
      <c r="K151" s="91"/>
      <c r="L151" s="36">
        <f t="shared" si="25"/>
        <v>0</v>
      </c>
      <c r="M151" s="36">
        <f t="shared" si="26"/>
        <v>0</v>
      </c>
      <c r="N151" s="36">
        <f t="shared" si="27"/>
        <v>0</v>
      </c>
    </row>
    <row r="152" spans="1:14" hidden="1" outlineLevel="3">
      <c r="A152" s="345"/>
      <c r="B152" s="328"/>
      <c r="C152" s="16"/>
      <c r="D152" s="11">
        <f>2088+15000+330-21+520-131+5000</f>
        <v>22786</v>
      </c>
      <c r="E152" s="11"/>
      <c r="F152" s="104"/>
      <c r="G152" s="104"/>
      <c r="H152" s="104"/>
      <c r="I152" s="91"/>
      <c r="J152" s="91"/>
      <c r="K152" s="91"/>
      <c r="L152" s="36">
        <f t="shared" si="25"/>
        <v>1.0914257944519182E-2</v>
      </c>
      <c r="M152" s="36">
        <f t="shared" si="26"/>
        <v>0</v>
      </c>
      <c r="N152" s="36">
        <f t="shared" si="27"/>
        <v>0</v>
      </c>
    </row>
    <row r="153" spans="1:14" ht="52" collapsed="1">
      <c r="A153" s="23" t="s">
        <v>242</v>
      </c>
      <c r="B153" s="118">
        <f>+C153+D153+E153+F153+G153+H153+I153+J153+K153</f>
        <v>56160</v>
      </c>
      <c r="C153" s="119">
        <f>SUM(C154:C156)</f>
        <v>0</v>
      </c>
      <c r="D153" s="119">
        <f t="shared" ref="D153:K153" si="29">SUM(D154:D156)</f>
        <v>0</v>
      </c>
      <c r="E153" s="119">
        <f t="shared" si="29"/>
        <v>0</v>
      </c>
      <c r="F153" s="119">
        <f t="shared" si="29"/>
        <v>18720</v>
      </c>
      <c r="G153" s="119">
        <f t="shared" si="29"/>
        <v>18720</v>
      </c>
      <c r="H153" s="119">
        <f t="shared" si="29"/>
        <v>18720</v>
      </c>
      <c r="I153" s="119">
        <f t="shared" si="29"/>
        <v>0</v>
      </c>
      <c r="J153" s="119">
        <f t="shared" si="29"/>
        <v>0</v>
      </c>
      <c r="K153" s="119">
        <f t="shared" si="29"/>
        <v>0</v>
      </c>
      <c r="L153" s="36">
        <f t="shared" si="25"/>
        <v>0</v>
      </c>
      <c r="M153" s="36">
        <f t="shared" si="26"/>
        <v>5.3815901389919457E-2</v>
      </c>
      <c r="N153" s="36">
        <f t="shared" si="27"/>
        <v>0</v>
      </c>
    </row>
    <row r="154" spans="1:14" ht="26" hidden="1" outlineLevel="1">
      <c r="A154" s="340" t="s">
        <v>243</v>
      </c>
      <c r="B154" s="62" t="s">
        <v>244</v>
      </c>
      <c r="C154" s="16"/>
      <c r="D154" s="11"/>
      <c r="E154" s="11"/>
      <c r="F154" s="145">
        <f>25*20*9</f>
        <v>4500</v>
      </c>
      <c r="G154" s="145">
        <f>25*20*9</f>
        <v>4500</v>
      </c>
      <c r="H154" s="145">
        <f>25*20*9</f>
        <v>4500</v>
      </c>
      <c r="I154" s="91"/>
      <c r="J154" s="91"/>
      <c r="K154" s="91"/>
      <c r="L154" s="36">
        <f t="shared" si="25"/>
        <v>0</v>
      </c>
      <c r="M154" s="36">
        <f t="shared" si="26"/>
        <v>1.2936514757192177E-2</v>
      </c>
      <c r="N154" s="36">
        <f t="shared" si="27"/>
        <v>0</v>
      </c>
    </row>
    <row r="155" spans="1:14" hidden="1" outlineLevel="1">
      <c r="A155" s="340"/>
      <c r="B155" s="62" t="s">
        <v>245</v>
      </c>
      <c r="C155" s="16"/>
      <c r="D155" s="11"/>
      <c r="E155" s="11"/>
      <c r="F155" s="160">
        <f>20*30*9</f>
        <v>5400</v>
      </c>
      <c r="G155" s="160">
        <f>20*30*9</f>
        <v>5400</v>
      </c>
      <c r="H155" s="160">
        <f>20*30*9</f>
        <v>5400</v>
      </c>
      <c r="I155" s="91"/>
      <c r="J155" s="91"/>
      <c r="K155" s="91"/>
      <c r="L155" s="36">
        <f t="shared" si="25"/>
        <v>0</v>
      </c>
      <c r="M155" s="36">
        <f t="shared" si="26"/>
        <v>1.5523817708630613E-2</v>
      </c>
      <c r="N155" s="36">
        <f t="shared" si="27"/>
        <v>0</v>
      </c>
    </row>
    <row r="156" spans="1:14" ht="52" hidden="1" outlineLevel="1">
      <c r="A156" s="221" t="s">
        <v>246</v>
      </c>
      <c r="B156" s="62" t="s">
        <v>153</v>
      </c>
      <c r="C156" s="16"/>
      <c r="D156" s="11"/>
      <c r="E156" s="11"/>
      <c r="F156" s="160">
        <f>70*14*9</f>
        <v>8820</v>
      </c>
      <c r="G156" s="160">
        <f>70*14*9</f>
        <v>8820</v>
      </c>
      <c r="H156" s="160">
        <f>70*14*9</f>
        <v>8820</v>
      </c>
      <c r="I156" s="91"/>
      <c r="J156" s="91"/>
      <c r="K156" s="91"/>
      <c r="L156" s="36">
        <f t="shared" si="25"/>
        <v>0</v>
      </c>
      <c r="M156" s="36">
        <f t="shared" si="26"/>
        <v>2.5355568924096666E-2</v>
      </c>
      <c r="N156" s="36">
        <f t="shared" si="27"/>
        <v>0</v>
      </c>
    </row>
    <row r="157" spans="1:14" ht="91" collapsed="1">
      <c r="A157" s="23" t="s">
        <v>247</v>
      </c>
      <c r="B157" s="87">
        <f>+C157+D157+E157+F157+G157+H157+I157+J157+K157</f>
        <v>385735</v>
      </c>
      <c r="C157" s="18">
        <f>SUM(C158:C188)</f>
        <v>0</v>
      </c>
      <c r="D157" s="18">
        <f t="shared" ref="D157:K157" si="30">SUM(D158:D188)</f>
        <v>0</v>
      </c>
      <c r="E157" s="18">
        <f t="shared" si="30"/>
        <v>0</v>
      </c>
      <c r="F157" s="18">
        <f t="shared" si="30"/>
        <v>0</v>
      </c>
      <c r="G157" s="18">
        <f t="shared" si="30"/>
        <v>0</v>
      </c>
      <c r="H157" s="18">
        <f t="shared" si="30"/>
        <v>0</v>
      </c>
      <c r="I157" s="18">
        <f t="shared" si="30"/>
        <v>223050</v>
      </c>
      <c r="J157" s="18">
        <f t="shared" si="30"/>
        <v>85085</v>
      </c>
      <c r="K157" s="18">
        <f t="shared" si="30"/>
        <v>77600</v>
      </c>
      <c r="L157" s="36">
        <f t="shared" si="25"/>
        <v>0</v>
      </c>
      <c r="M157" s="36">
        <f t="shared" si="26"/>
        <v>0</v>
      </c>
      <c r="N157" s="36">
        <f t="shared" si="27"/>
        <v>8.9686417400188276E-2</v>
      </c>
    </row>
    <row r="158" spans="1:14" s="27" customFormat="1" ht="54.75" hidden="1" customHeight="1" outlineLevel="1">
      <c r="A158" s="369" t="s">
        <v>248</v>
      </c>
      <c r="B158" s="63" t="s">
        <v>249</v>
      </c>
      <c r="C158" s="64"/>
      <c r="D158" s="65"/>
      <c r="E158" s="65"/>
      <c r="F158" s="112"/>
      <c r="G158" s="112"/>
      <c r="H158" s="112"/>
      <c r="I158" s="97">
        <f>3295*3</f>
        <v>9885</v>
      </c>
      <c r="J158" s="97">
        <f>3295*3</f>
        <v>9885</v>
      </c>
      <c r="K158" s="97"/>
      <c r="L158" s="37">
        <f t="shared" si="25"/>
        <v>0</v>
      </c>
      <c r="N158" s="36">
        <f t="shared" si="27"/>
        <v>0</v>
      </c>
    </row>
    <row r="159" spans="1:14" s="27" customFormat="1" ht="52" hidden="1" outlineLevel="1">
      <c r="A159" s="369"/>
      <c r="B159" s="62" t="s">
        <v>250</v>
      </c>
      <c r="C159" s="66"/>
      <c r="D159" s="67"/>
      <c r="E159" s="67"/>
      <c r="F159" s="113"/>
      <c r="G159" s="113"/>
      <c r="H159" s="113"/>
      <c r="I159" s="92">
        <f>(6*10*10)+ (6*10*25)</f>
        <v>2100</v>
      </c>
      <c r="J159" s="92">
        <f>(6*10*10)+ (6*10*25)</f>
        <v>2100</v>
      </c>
      <c r="K159" s="92">
        <f>(6*10*10)+ (6*10*25)</f>
        <v>2100</v>
      </c>
      <c r="L159" s="37"/>
      <c r="N159" s="36">
        <f t="shared" si="27"/>
        <v>2.4270808832525179E-3</v>
      </c>
    </row>
    <row r="160" spans="1:14" s="27" customFormat="1" ht="52" hidden="1" outlineLevel="1">
      <c r="A160" s="369"/>
      <c r="B160" s="68" t="s">
        <v>251</v>
      </c>
      <c r="C160" s="69"/>
      <c r="D160" s="70"/>
      <c r="E160" s="70"/>
      <c r="F160" s="114"/>
      <c r="G160" s="114"/>
      <c r="H160" s="114"/>
      <c r="I160" s="98">
        <f>95*10*6</f>
        <v>5700</v>
      </c>
      <c r="J160" s="98">
        <f>95*10*6</f>
        <v>5700</v>
      </c>
      <c r="K160" s="98">
        <f>95*10*6</f>
        <v>5700</v>
      </c>
      <c r="L160" s="37"/>
      <c r="N160" s="36">
        <f t="shared" si="27"/>
        <v>6.5877909688282629E-3</v>
      </c>
    </row>
    <row r="161" spans="1:14" s="27" customFormat="1" ht="65" hidden="1" outlineLevel="1">
      <c r="A161" s="367" t="s">
        <v>252</v>
      </c>
      <c r="B161" s="62" t="s">
        <v>253</v>
      </c>
      <c r="C161" s="66"/>
      <c r="D161" s="66"/>
      <c r="E161" s="66"/>
      <c r="F161" s="115"/>
      <c r="G161" s="115"/>
      <c r="H161" s="115"/>
      <c r="I161" s="92">
        <f>2000*6</f>
        <v>12000</v>
      </c>
      <c r="J161" s="92">
        <f>2000*6</f>
        <v>12000</v>
      </c>
      <c r="K161" s="92"/>
      <c r="L161" s="37"/>
      <c r="N161" s="36">
        <f t="shared" si="27"/>
        <v>0</v>
      </c>
    </row>
    <row r="162" spans="1:14" s="27" customFormat="1" ht="52" hidden="1" outlineLevel="1">
      <c r="A162" s="367"/>
      <c r="B162" s="62" t="s">
        <v>254</v>
      </c>
      <c r="C162" s="66"/>
      <c r="D162" s="66"/>
      <c r="E162" s="66"/>
      <c r="F162" s="115"/>
      <c r="G162" s="115"/>
      <c r="H162" s="115"/>
      <c r="I162" s="92">
        <f>6*100</f>
        <v>600</v>
      </c>
      <c r="J162" s="92">
        <f>6*100</f>
        <v>600</v>
      </c>
      <c r="K162" s="92"/>
      <c r="L162" s="37"/>
      <c r="N162" s="36">
        <f t="shared" si="27"/>
        <v>0</v>
      </c>
    </row>
    <row r="163" spans="1:14" s="27" customFormat="1" ht="91" hidden="1" outlineLevel="1">
      <c r="A163" s="367"/>
      <c r="B163" s="62" t="s">
        <v>255</v>
      </c>
      <c r="C163" s="66"/>
      <c r="D163" s="66"/>
      <c r="E163" s="66"/>
      <c r="F163" s="115"/>
      <c r="G163" s="115"/>
      <c r="H163" s="115"/>
      <c r="I163" s="92">
        <f>25*8*12*6</f>
        <v>14400</v>
      </c>
      <c r="J163" s="92">
        <f>25*8*12*6</f>
        <v>14400</v>
      </c>
      <c r="K163" s="92">
        <f>25*8*12*6</f>
        <v>14400</v>
      </c>
      <c r="L163" s="37"/>
      <c r="N163" s="36">
        <f t="shared" si="27"/>
        <v>1.664284034230298E-2</v>
      </c>
    </row>
    <row r="164" spans="1:14" s="43" customFormat="1" ht="52" hidden="1" outlineLevel="1">
      <c r="A164" s="71" t="s">
        <v>256</v>
      </c>
      <c r="B164" s="56" t="s">
        <v>257</v>
      </c>
      <c r="C164" s="72"/>
      <c r="D164" s="72"/>
      <c r="E164" s="72"/>
      <c r="F164" s="115"/>
      <c r="G164" s="115"/>
      <c r="H164" s="115"/>
      <c r="I164" s="92">
        <v>18000</v>
      </c>
      <c r="J164" s="92">
        <v>18000</v>
      </c>
      <c r="K164" s="92">
        <v>18000</v>
      </c>
      <c r="L164" s="42"/>
      <c r="N164" s="36">
        <f t="shared" si="27"/>
        <v>2.0803550427878723E-2</v>
      </c>
    </row>
    <row r="165" spans="1:14" s="27" customFormat="1" ht="57" hidden="1" customHeight="1" outlineLevel="1">
      <c r="A165" s="367" t="s">
        <v>258</v>
      </c>
      <c r="B165" s="62" t="s">
        <v>259</v>
      </c>
      <c r="C165" s="66"/>
      <c r="D165" s="66"/>
      <c r="E165" s="66"/>
      <c r="F165" s="115"/>
      <c r="G165" s="115"/>
      <c r="H165" s="115"/>
      <c r="I165" s="92">
        <v>6000</v>
      </c>
      <c r="J165" s="92">
        <v>6000</v>
      </c>
      <c r="K165" s="92">
        <v>6000</v>
      </c>
      <c r="L165" s="37"/>
      <c r="N165" s="36">
        <f t="shared" si="27"/>
        <v>6.9345168092929078E-3</v>
      </c>
    </row>
    <row r="166" spans="1:14" s="27" customFormat="1" ht="37.5" hidden="1" customHeight="1" outlineLevel="1">
      <c r="A166" s="367"/>
      <c r="B166" s="62" t="s">
        <v>260</v>
      </c>
      <c r="C166" s="66"/>
      <c r="D166" s="66"/>
      <c r="E166" s="66"/>
      <c r="F166" s="115"/>
      <c r="G166" s="115"/>
      <c r="H166" s="115"/>
      <c r="I166" s="92">
        <v>4000</v>
      </c>
      <c r="J166" s="92">
        <v>4000</v>
      </c>
      <c r="K166" s="92">
        <v>4000</v>
      </c>
      <c r="L166" s="37"/>
      <c r="N166" s="36">
        <f t="shared" si="27"/>
        <v>4.6230112061952716E-3</v>
      </c>
    </row>
    <row r="167" spans="1:14" s="27" customFormat="1" ht="60" hidden="1" outlineLevel="1">
      <c r="A167" s="73" t="s">
        <v>261</v>
      </c>
      <c r="B167" s="62" t="s">
        <v>262</v>
      </c>
      <c r="C167" s="66"/>
      <c r="D167" s="66"/>
      <c r="E167" s="66"/>
      <c r="F167" s="115"/>
      <c r="G167" s="115"/>
      <c r="H167" s="115"/>
      <c r="I167" s="92">
        <v>0</v>
      </c>
      <c r="J167" s="92">
        <v>0</v>
      </c>
      <c r="K167" s="92">
        <v>15000</v>
      </c>
      <c r="L167" s="37"/>
      <c r="N167" s="36">
        <f t="shared" si="27"/>
        <v>1.733629202323227E-2</v>
      </c>
    </row>
    <row r="168" spans="1:14" s="27" customFormat="1" ht="39" hidden="1" outlineLevel="1">
      <c r="A168" s="368" t="s">
        <v>263</v>
      </c>
      <c r="B168" s="62" t="s">
        <v>264</v>
      </c>
      <c r="C168" s="66"/>
      <c r="D168" s="66"/>
      <c r="E168" s="66"/>
      <c r="F168" s="115"/>
      <c r="G168" s="115"/>
      <c r="H168" s="115"/>
      <c r="I168" s="92">
        <v>28500</v>
      </c>
      <c r="J168" s="92"/>
      <c r="K168" s="92"/>
      <c r="L168" s="37"/>
      <c r="N168" s="36">
        <f t="shared" si="27"/>
        <v>0</v>
      </c>
    </row>
    <row r="169" spans="1:14" s="27" customFormat="1" ht="39" hidden="1" outlineLevel="1">
      <c r="A169" s="368"/>
      <c r="B169" s="62" t="s">
        <v>265</v>
      </c>
      <c r="C169" s="66"/>
      <c r="D169" s="66"/>
      <c r="E169" s="66"/>
      <c r="F169" s="115"/>
      <c r="G169" s="115"/>
      <c r="H169" s="115"/>
      <c r="I169" s="92">
        <v>6000</v>
      </c>
      <c r="J169" s="92"/>
      <c r="K169" s="92"/>
      <c r="L169" s="37"/>
      <c r="N169" s="36">
        <f t="shared" si="27"/>
        <v>0</v>
      </c>
    </row>
    <row r="170" spans="1:14" s="27" customFormat="1" ht="14.5" hidden="1" outlineLevel="1">
      <c r="A170" s="368"/>
      <c r="B170" s="62" t="s">
        <v>266</v>
      </c>
      <c r="C170" s="66"/>
      <c r="D170" s="66"/>
      <c r="E170" s="66"/>
      <c r="F170" s="115"/>
      <c r="G170" s="115"/>
      <c r="H170" s="115"/>
      <c r="I170" s="92">
        <v>24000</v>
      </c>
      <c r="J170" s="92"/>
      <c r="K170" s="92"/>
      <c r="L170" s="37"/>
      <c r="N170" s="36">
        <f t="shared" si="27"/>
        <v>0</v>
      </c>
    </row>
    <row r="171" spans="1:14" s="27" customFormat="1" ht="26" hidden="1" outlineLevel="1">
      <c r="A171" s="368"/>
      <c r="B171" s="62" t="s">
        <v>267</v>
      </c>
      <c r="C171" s="66"/>
      <c r="D171" s="66"/>
      <c r="E171" s="66"/>
      <c r="F171" s="115"/>
      <c r="G171" s="115"/>
      <c r="H171" s="115"/>
      <c r="I171" s="92">
        <v>6000</v>
      </c>
      <c r="J171" s="92"/>
      <c r="K171" s="92"/>
      <c r="L171" s="37"/>
      <c r="N171" s="36">
        <f t="shared" si="27"/>
        <v>0</v>
      </c>
    </row>
    <row r="172" spans="1:14" s="27" customFormat="1" ht="78" hidden="1" outlineLevel="1">
      <c r="A172" s="368"/>
      <c r="B172" s="62" t="s">
        <v>268</v>
      </c>
      <c r="C172" s="66"/>
      <c r="D172" s="66"/>
      <c r="E172" s="66"/>
      <c r="F172" s="115"/>
      <c r="G172" s="115"/>
      <c r="H172" s="115"/>
      <c r="I172" s="92">
        <v>6000</v>
      </c>
      <c r="J172" s="92"/>
      <c r="K172" s="92"/>
      <c r="L172" s="37"/>
      <c r="N172" s="36">
        <f t="shared" si="27"/>
        <v>0</v>
      </c>
    </row>
    <row r="173" spans="1:14" s="27" customFormat="1" ht="52" hidden="1" outlineLevel="1">
      <c r="A173" s="368"/>
      <c r="B173" s="62" t="s">
        <v>269</v>
      </c>
      <c r="C173" s="66"/>
      <c r="D173" s="66"/>
      <c r="E173" s="66"/>
      <c r="F173" s="115"/>
      <c r="G173" s="115"/>
      <c r="H173" s="115"/>
      <c r="I173" s="92">
        <v>9000</v>
      </c>
      <c r="J173" s="92"/>
      <c r="K173" s="92"/>
      <c r="L173" s="37"/>
      <c r="N173" s="36">
        <f t="shared" si="27"/>
        <v>0</v>
      </c>
    </row>
    <row r="174" spans="1:14" s="27" customFormat="1" ht="15" hidden="1" customHeight="1" outlineLevel="1">
      <c r="A174" s="368"/>
      <c r="B174" s="62" t="s">
        <v>270</v>
      </c>
      <c r="C174" s="66"/>
      <c r="D174" s="66"/>
      <c r="E174" s="66"/>
      <c r="F174" s="115"/>
      <c r="G174" s="115"/>
      <c r="H174" s="115"/>
      <c r="I174" s="92">
        <v>3000</v>
      </c>
      <c r="J174" s="92"/>
      <c r="K174" s="92"/>
      <c r="L174" s="37"/>
      <c r="N174" s="36">
        <f t="shared" ref="N174:N191" si="31">+K174/$I$210</f>
        <v>0</v>
      </c>
    </row>
    <row r="175" spans="1:14" s="27" customFormat="1" ht="39" hidden="1" outlineLevel="1">
      <c r="A175" s="368"/>
      <c r="B175" s="62" t="s">
        <v>271</v>
      </c>
      <c r="C175" s="66"/>
      <c r="D175" s="66"/>
      <c r="E175" s="66"/>
      <c r="F175" s="115"/>
      <c r="G175" s="115"/>
      <c r="H175" s="115"/>
      <c r="I175" s="92">
        <v>9000</v>
      </c>
      <c r="J175" s="92"/>
      <c r="K175" s="92"/>
      <c r="L175" s="37"/>
      <c r="N175" s="36">
        <f t="shared" si="31"/>
        <v>0</v>
      </c>
    </row>
    <row r="176" spans="1:14" s="27" customFormat="1" ht="39" hidden="1" outlineLevel="1">
      <c r="A176" s="368"/>
      <c r="B176" s="62" t="s">
        <v>272</v>
      </c>
      <c r="C176" s="66"/>
      <c r="D176" s="66"/>
      <c r="E176" s="66"/>
      <c r="F176" s="115"/>
      <c r="G176" s="115"/>
      <c r="H176" s="115"/>
      <c r="I176" s="92">
        <v>200</v>
      </c>
      <c r="J176" s="92"/>
      <c r="K176" s="92"/>
      <c r="L176" s="37"/>
      <c r="N176" s="36">
        <f t="shared" si="31"/>
        <v>0</v>
      </c>
    </row>
    <row r="177" spans="1:14" s="27" customFormat="1" ht="15" hidden="1" customHeight="1" outlineLevel="1">
      <c r="A177" s="368"/>
      <c r="B177" s="62" t="s">
        <v>273</v>
      </c>
      <c r="C177" s="66"/>
      <c r="D177" s="66"/>
      <c r="E177" s="66"/>
      <c r="F177" s="115"/>
      <c r="G177" s="115"/>
      <c r="H177" s="115"/>
      <c r="I177" s="92">
        <f>SUM(I168:I176)*0.05</f>
        <v>4585</v>
      </c>
      <c r="J177" s="92"/>
      <c r="K177" s="92"/>
      <c r="L177" s="37"/>
      <c r="N177" s="36">
        <f t="shared" si="31"/>
        <v>0</v>
      </c>
    </row>
    <row r="178" spans="1:14" s="27" customFormat="1" ht="60" hidden="1" outlineLevel="1">
      <c r="A178" s="45" t="s">
        <v>274</v>
      </c>
      <c r="B178" s="63" t="s">
        <v>275</v>
      </c>
      <c r="C178" s="39"/>
      <c r="D178" s="39"/>
      <c r="E178" s="39"/>
      <c r="F178" s="116"/>
      <c r="G178" s="116"/>
      <c r="H178" s="116"/>
      <c r="I178" s="91">
        <v>8000</v>
      </c>
      <c r="J178" s="91">
        <v>8000</v>
      </c>
      <c r="K178" s="99">
        <v>8000</v>
      </c>
      <c r="L178" s="37"/>
      <c r="N178" s="36">
        <f t="shared" si="31"/>
        <v>9.2460224123905432E-3</v>
      </c>
    </row>
    <row r="179" spans="1:14" s="27" customFormat="1" ht="48" hidden="1" outlineLevel="1">
      <c r="A179" s="45" t="s">
        <v>276</v>
      </c>
      <c r="B179" s="62" t="s">
        <v>277</v>
      </c>
      <c r="C179" s="38"/>
      <c r="D179" s="38"/>
      <c r="E179" s="38"/>
      <c r="F179" s="117"/>
      <c r="G179" s="117"/>
      <c r="H179" s="117"/>
      <c r="I179" s="91">
        <v>0</v>
      </c>
      <c r="J179" s="91">
        <v>2000</v>
      </c>
      <c r="K179" s="91">
        <v>2000</v>
      </c>
      <c r="L179" s="37"/>
      <c r="N179" s="36">
        <f t="shared" si="31"/>
        <v>2.3115056030976358E-3</v>
      </c>
    </row>
    <row r="180" spans="1:14" s="27" customFormat="1" ht="26.25" hidden="1" customHeight="1" outlineLevel="1">
      <c r="A180" s="368" t="s">
        <v>278</v>
      </c>
      <c r="B180" s="62" t="s">
        <v>279</v>
      </c>
      <c r="C180" s="66"/>
      <c r="D180" s="66"/>
      <c r="E180" s="66"/>
      <c r="F180" s="115"/>
      <c r="G180" s="115"/>
      <c r="H180" s="115"/>
      <c r="I180" s="94">
        <v>12000</v>
      </c>
      <c r="J180" s="92"/>
      <c r="K180" s="92"/>
      <c r="L180" s="37"/>
      <c r="N180" s="36">
        <f t="shared" si="31"/>
        <v>0</v>
      </c>
    </row>
    <row r="181" spans="1:14" s="27" customFormat="1" ht="39" hidden="1" outlineLevel="1">
      <c r="A181" s="368"/>
      <c r="B181" s="62" t="s">
        <v>265</v>
      </c>
      <c r="C181" s="66"/>
      <c r="D181" s="66"/>
      <c r="E181" s="66"/>
      <c r="F181" s="115"/>
      <c r="G181" s="115"/>
      <c r="H181" s="115"/>
      <c r="I181" s="94">
        <v>6000</v>
      </c>
      <c r="J181" s="92"/>
      <c r="K181" s="92"/>
      <c r="L181" s="37"/>
      <c r="N181" s="36">
        <f t="shared" si="31"/>
        <v>0</v>
      </c>
    </row>
    <row r="182" spans="1:14" s="27" customFormat="1" ht="65" hidden="1" outlineLevel="1">
      <c r="A182" s="368"/>
      <c r="B182" s="62" t="s">
        <v>280</v>
      </c>
      <c r="C182" s="66"/>
      <c r="D182" s="66"/>
      <c r="E182" s="66"/>
      <c r="F182" s="115"/>
      <c r="G182" s="115"/>
      <c r="H182" s="115"/>
      <c r="I182" s="94">
        <v>9000</v>
      </c>
      <c r="J182" s="92"/>
      <c r="K182" s="92"/>
      <c r="L182" s="37"/>
      <c r="N182" s="36">
        <f t="shared" si="31"/>
        <v>0</v>
      </c>
    </row>
    <row r="183" spans="1:14" s="27" customFormat="1" ht="52" hidden="1" outlineLevel="1">
      <c r="A183" s="368"/>
      <c r="B183" s="62" t="s">
        <v>281</v>
      </c>
      <c r="C183" s="66"/>
      <c r="D183" s="66"/>
      <c r="E183" s="66"/>
      <c r="F183" s="115"/>
      <c r="G183" s="115"/>
      <c r="H183" s="115"/>
      <c r="I183" s="94">
        <v>6000</v>
      </c>
      <c r="J183" s="92"/>
      <c r="K183" s="92"/>
      <c r="L183" s="37"/>
      <c r="N183" s="36">
        <f t="shared" si="31"/>
        <v>0</v>
      </c>
    </row>
    <row r="184" spans="1:14" s="27" customFormat="1" ht="52" hidden="1" outlineLevel="1">
      <c r="A184" s="368"/>
      <c r="B184" s="62" t="s">
        <v>282</v>
      </c>
      <c r="C184" s="66"/>
      <c r="D184" s="66"/>
      <c r="E184" s="66"/>
      <c r="F184" s="115"/>
      <c r="G184" s="115"/>
      <c r="H184" s="115"/>
      <c r="I184" s="94">
        <v>1000</v>
      </c>
      <c r="J184" s="92"/>
      <c r="K184" s="92"/>
      <c r="L184" s="37"/>
      <c r="N184" s="36">
        <f t="shared" si="31"/>
        <v>0</v>
      </c>
    </row>
    <row r="185" spans="1:14" s="27" customFormat="1" ht="39" hidden="1" outlineLevel="1">
      <c r="A185" s="368"/>
      <c r="B185" s="62" t="s">
        <v>283</v>
      </c>
      <c r="C185" s="66"/>
      <c r="D185" s="66"/>
      <c r="E185" s="66"/>
      <c r="F185" s="115"/>
      <c r="G185" s="115"/>
      <c r="H185" s="115"/>
      <c r="I185" s="94">
        <v>7400</v>
      </c>
      <c r="J185" s="92"/>
      <c r="K185" s="92"/>
      <c r="L185" s="37"/>
      <c r="N185" s="36">
        <f t="shared" si="31"/>
        <v>0</v>
      </c>
    </row>
    <row r="186" spans="1:14" s="27" customFormat="1" ht="39" hidden="1" outlineLevel="1">
      <c r="A186" s="368"/>
      <c r="B186" s="62" t="s">
        <v>284</v>
      </c>
      <c r="C186" s="66"/>
      <c r="D186" s="66"/>
      <c r="E186" s="66"/>
      <c r="F186" s="115"/>
      <c r="G186" s="115"/>
      <c r="H186" s="115"/>
      <c r="I186" s="94">
        <v>200</v>
      </c>
      <c r="J186" s="92"/>
      <c r="K186" s="92"/>
      <c r="L186" s="37"/>
      <c r="N186" s="36">
        <f t="shared" si="31"/>
        <v>0</v>
      </c>
    </row>
    <row r="187" spans="1:14" s="27" customFormat="1" ht="26" hidden="1" outlineLevel="1">
      <c r="A187" s="368"/>
      <c r="B187" s="62" t="s">
        <v>273</v>
      </c>
      <c r="C187" s="16"/>
      <c r="D187" s="16"/>
      <c r="E187" s="16"/>
      <c r="F187" s="54"/>
      <c r="G187" s="54"/>
      <c r="H187" s="54"/>
      <c r="I187" s="123">
        <f>SUM(I180:I186)*0.05</f>
        <v>2080</v>
      </c>
      <c r="J187" s="120"/>
      <c r="K187" s="120"/>
      <c r="L187" s="37"/>
      <c r="N187" s="36">
        <f t="shared" si="31"/>
        <v>0</v>
      </c>
    </row>
    <row r="188" spans="1:14" s="27" customFormat="1" ht="52.5" hidden="1" outlineLevel="1" thickBot="1">
      <c r="A188" s="44" t="s">
        <v>285</v>
      </c>
      <c r="B188" s="62" t="s">
        <v>286</v>
      </c>
      <c r="C188" s="11"/>
      <c r="D188" s="11"/>
      <c r="E188" s="11"/>
      <c r="F188" s="104"/>
      <c r="G188" s="104"/>
      <c r="H188" s="104"/>
      <c r="I188" s="91">
        <v>2400</v>
      </c>
      <c r="J188" s="91">
        <v>2400</v>
      </c>
      <c r="K188" s="91">
        <v>2400</v>
      </c>
      <c r="L188" s="37"/>
      <c r="N188" s="36">
        <f t="shared" si="31"/>
        <v>2.7738067237171632E-3</v>
      </c>
    </row>
    <row r="189" spans="1:14" s="27" customFormat="1" hidden="1" outlineLevel="1">
      <c r="A189" s="74"/>
      <c r="B189" s="62"/>
      <c r="C189" s="11"/>
      <c r="D189" s="11"/>
      <c r="E189" s="11"/>
      <c r="F189" s="104"/>
      <c r="G189" s="104"/>
      <c r="H189" s="104"/>
      <c r="I189" s="91"/>
      <c r="J189" s="91"/>
      <c r="K189" s="91"/>
      <c r="L189" s="37"/>
      <c r="N189" s="36">
        <f t="shared" si="31"/>
        <v>0</v>
      </c>
    </row>
    <row r="190" spans="1:14" hidden="1" outlineLevel="1">
      <c r="A190" s="13" t="s">
        <v>287</v>
      </c>
      <c r="B190" s="62"/>
      <c r="C190" s="31">
        <f>+C157+C153+C147+C121+C100+C77+C66+C33+C4</f>
        <v>746415</v>
      </c>
      <c r="D190" s="31">
        <f>+D157+D153+D147+D121+D100+D77+D66+D33+D4</f>
        <v>518335</v>
      </c>
      <c r="E190" s="31">
        <f>+E157+E153+E147+E121+E100+E77+E66+E33+E4</f>
        <v>184955</v>
      </c>
      <c r="F190" s="31">
        <f t="shared" ref="F190:K190" si="32">+F157+F153+F147+F121+F100+F77+F66+F33+F4</f>
        <v>447640</v>
      </c>
      <c r="G190" s="31">
        <f t="shared" si="32"/>
        <v>231425</v>
      </c>
      <c r="H190" s="31">
        <f t="shared" si="32"/>
        <v>86400</v>
      </c>
      <c r="I190" s="31">
        <f t="shared" si="32"/>
        <v>310150</v>
      </c>
      <c r="J190" s="31">
        <f t="shared" si="32"/>
        <v>172185</v>
      </c>
      <c r="K190" s="31">
        <f t="shared" si="32"/>
        <v>164700</v>
      </c>
      <c r="L190" s="36">
        <f>+(C190+D190+E190)/$C$210</f>
        <v>0.69439367653204509</v>
      </c>
      <c r="N190" s="36">
        <f t="shared" si="31"/>
        <v>0.19035248641509031</v>
      </c>
    </row>
    <row r="191" spans="1:14">
      <c r="A191" s="46" t="s">
        <v>288</v>
      </c>
      <c r="B191" s="88">
        <f>+C191+F191+I191</f>
        <v>2862205</v>
      </c>
      <c r="C191" s="362">
        <f>+C190+D190+E190</f>
        <v>1449705</v>
      </c>
      <c r="D191" s="363"/>
      <c r="E191" s="364"/>
      <c r="F191" s="353">
        <f>+F190+G190+H190</f>
        <v>765465</v>
      </c>
      <c r="G191" s="354"/>
      <c r="H191" s="355"/>
      <c r="I191" s="356">
        <f>+I190+J190+K190</f>
        <v>647035</v>
      </c>
      <c r="J191" s="357"/>
      <c r="K191" s="358"/>
      <c r="L191" s="36">
        <f>+C191/C210</f>
        <v>0.69439367653204509</v>
      </c>
      <c r="M191" s="36">
        <f>+F191/F210</f>
        <v>0.73351476063808219</v>
      </c>
      <c r="N191" s="36">
        <f t="shared" si="31"/>
        <v>0</v>
      </c>
    </row>
    <row r="192" spans="1:14">
      <c r="A192" s="75" t="s">
        <v>289</v>
      </c>
      <c r="B192" s="82"/>
      <c r="C192" s="76">
        <f>+C193+C194</f>
        <v>164000</v>
      </c>
      <c r="D192" s="76">
        <f>+D193+D194</f>
        <v>123000</v>
      </c>
      <c r="E192" s="76">
        <f>+E193+E194</f>
        <v>82000</v>
      </c>
      <c r="F192" s="77">
        <f>+F195+F196</f>
        <v>56500</v>
      </c>
      <c r="G192" s="77">
        <f>+G195+G196</f>
        <v>56500</v>
      </c>
      <c r="H192" s="77">
        <f>+H195+H196</f>
        <v>46750</v>
      </c>
      <c r="I192" s="100">
        <f>+I193+I194+I195</f>
        <v>44004.012499999997</v>
      </c>
      <c r="J192" s="100">
        <f>+J193+J194+J195</f>
        <v>35695.012499999997</v>
      </c>
      <c r="K192" s="100">
        <f>+K193+K194+K195</f>
        <v>35695.012499999997</v>
      </c>
      <c r="L192" s="122"/>
      <c r="M192" s="36"/>
      <c r="N192" s="36"/>
    </row>
    <row r="193" spans="1:15" outlineLevel="1">
      <c r="A193" s="13" t="s">
        <v>290</v>
      </c>
      <c r="B193" s="62" t="s">
        <v>291</v>
      </c>
      <c r="C193" s="16">
        <f>20500*8</f>
        <v>164000</v>
      </c>
      <c r="D193" s="16">
        <f>20500*6</f>
        <v>123000</v>
      </c>
      <c r="E193" s="16">
        <f>20500*4</f>
        <v>82000</v>
      </c>
      <c r="F193" s="50"/>
      <c r="G193" s="50"/>
      <c r="H193" s="50"/>
      <c r="I193" s="134">
        <v>13839</v>
      </c>
      <c r="J193" s="134">
        <v>13839</v>
      </c>
      <c r="K193" s="134">
        <v>13839</v>
      </c>
      <c r="L193" s="36">
        <f>+(C193+D193+C194+D194)/C210</f>
        <v>0.13747002677420367</v>
      </c>
      <c r="M193" s="36">
        <f>+(F195+G195+H195+F196+G196+H196)/F210</f>
        <v>0.15308209129344078</v>
      </c>
      <c r="N193" s="36"/>
    </row>
    <row r="194" spans="1:15" outlineLevel="1">
      <c r="A194" s="13" t="s">
        <v>292</v>
      </c>
      <c r="B194" s="62" t="s">
        <v>293</v>
      </c>
      <c r="C194" s="51"/>
      <c r="D194" s="51"/>
      <c r="E194" s="51"/>
      <c r="F194" s="50"/>
      <c r="G194" s="50"/>
      <c r="H194" s="50"/>
      <c r="I194" s="134">
        <v>30165.012500000001</v>
      </c>
      <c r="J194" s="134">
        <v>21856.012500000001</v>
      </c>
      <c r="K194" s="134">
        <v>21856.012500000001</v>
      </c>
      <c r="L194" s="121"/>
      <c r="M194" s="121"/>
      <c r="N194" s="121"/>
    </row>
    <row r="195" spans="1:15" outlineLevel="1">
      <c r="A195" s="49" t="s">
        <v>294</v>
      </c>
      <c r="B195" s="62" t="s">
        <v>295</v>
      </c>
      <c r="C195" s="16"/>
      <c r="D195" s="16"/>
      <c r="E195" s="51"/>
      <c r="F195" s="144">
        <f>2000*12</f>
        <v>24000</v>
      </c>
      <c r="G195" s="144">
        <f>2000*12</f>
        <v>24000</v>
      </c>
      <c r="H195" s="144">
        <f>2000*12</f>
        <v>24000</v>
      </c>
      <c r="I195" s="41"/>
      <c r="J195" s="41"/>
      <c r="K195" s="41"/>
      <c r="L195" s="36"/>
      <c r="M195" s="36"/>
      <c r="N195" s="36"/>
    </row>
    <row r="196" spans="1:15" outlineLevel="1">
      <c r="A196" s="49" t="s">
        <v>296</v>
      </c>
      <c r="B196" s="62"/>
      <c r="C196" s="16"/>
      <c r="D196" s="16"/>
      <c r="E196" s="51"/>
      <c r="F196" s="51">
        <f>6500*5</f>
        <v>32500</v>
      </c>
      <c r="G196" s="51">
        <f>6500*5</f>
        <v>32500</v>
      </c>
      <c r="H196" s="51">
        <f>6500*3.5</f>
        <v>22750</v>
      </c>
      <c r="I196" s="16"/>
      <c r="J196" s="16"/>
      <c r="K196" s="16"/>
      <c r="L196" s="36"/>
      <c r="M196" s="36"/>
      <c r="N196" s="36"/>
    </row>
    <row r="197" spans="1:15">
      <c r="A197" s="78" t="s">
        <v>297</v>
      </c>
      <c r="B197" s="83"/>
      <c r="C197" s="54">
        <f>SUM(C198:C205)</f>
        <v>44605</v>
      </c>
      <c r="D197" s="54">
        <f>SUM(D198:D205)</f>
        <v>2000</v>
      </c>
      <c r="E197" s="54">
        <f>SUM(E198:E205)</f>
        <v>61830</v>
      </c>
      <c r="F197" s="54">
        <f t="shared" ref="F197:K197" si="33">SUM(F198:F205)</f>
        <v>5000</v>
      </c>
      <c r="G197" s="54">
        <f t="shared" si="33"/>
        <v>5000</v>
      </c>
      <c r="H197" s="54">
        <f t="shared" si="33"/>
        <v>5000</v>
      </c>
      <c r="I197" s="54">
        <f t="shared" si="33"/>
        <v>5000</v>
      </c>
      <c r="J197" s="54">
        <f t="shared" si="33"/>
        <v>5000</v>
      </c>
      <c r="K197" s="54">
        <f t="shared" si="33"/>
        <v>5000</v>
      </c>
      <c r="L197" s="36">
        <f>+(C197+D197+E197)/$C$210</f>
        <v>5.1939241648992253E-2</v>
      </c>
      <c r="M197" s="36">
        <f t="shared" ref="M197:M205" si="34">+(F197+G197+H197)/$F$210</f>
        <v>1.4373905285769085E-2</v>
      </c>
      <c r="N197" s="36"/>
      <c r="O197" s="57">
        <f>+(C197+D197+E197+F197+G197+H197+I198+J198+K198)/4000000</f>
        <v>3.4608750000000001E-2</v>
      </c>
    </row>
    <row r="198" spans="1:15" outlineLevel="2">
      <c r="A198" s="219" t="s">
        <v>297</v>
      </c>
      <c r="B198" s="62" t="s">
        <v>153</v>
      </c>
      <c r="C198" s="146">
        <v>2000</v>
      </c>
      <c r="D198" s="146">
        <v>2000</v>
      </c>
      <c r="E198" s="146">
        <f>2000-170</f>
        <v>1830</v>
      </c>
      <c r="F198" s="160">
        <v>5000</v>
      </c>
      <c r="G198" s="160">
        <v>5000</v>
      </c>
      <c r="H198" s="160">
        <v>5000</v>
      </c>
      <c r="I198" s="16">
        <v>5000</v>
      </c>
      <c r="J198" s="16">
        <v>5000</v>
      </c>
      <c r="K198" s="16">
        <v>5000</v>
      </c>
      <c r="L198" s="36">
        <f>+(C199+D199+E199)/$C$210</f>
        <v>9.5797928065647162E-3</v>
      </c>
      <c r="M198" s="36">
        <f t="shared" si="34"/>
        <v>1.4373905285769085E-2</v>
      </c>
      <c r="N198" s="36"/>
    </row>
    <row r="199" spans="1:15" ht="39" customHeight="1" outlineLevel="2">
      <c r="A199" s="359" t="s">
        <v>298</v>
      </c>
      <c r="B199" s="62" t="s">
        <v>109</v>
      </c>
      <c r="C199" s="145">
        <f>500*40</f>
        <v>20000</v>
      </c>
      <c r="D199" s="11"/>
      <c r="E199" s="32"/>
      <c r="F199" s="11"/>
      <c r="G199" s="11"/>
      <c r="H199" s="11"/>
      <c r="I199" s="31"/>
      <c r="J199" s="31"/>
      <c r="K199" s="31"/>
      <c r="M199" s="36">
        <f t="shared" si="34"/>
        <v>0</v>
      </c>
      <c r="N199" s="36"/>
    </row>
    <row r="200" spans="1:15" ht="24.75" customHeight="1" outlineLevel="2">
      <c r="A200" s="360"/>
      <c r="B200" s="62" t="s">
        <v>110</v>
      </c>
      <c r="C200" s="146">
        <v>2000</v>
      </c>
      <c r="D200" s="11"/>
      <c r="E200" s="32"/>
      <c r="F200" s="35"/>
      <c r="G200" s="35"/>
      <c r="H200" s="35"/>
      <c r="I200" s="41"/>
      <c r="J200" s="41"/>
      <c r="K200" s="41"/>
      <c r="L200" s="36">
        <f t="shared" ref="L200:L205" si="35">+(C200+D200+E200)/$C$210</f>
        <v>9.5797928065647156E-4</v>
      </c>
      <c r="M200" s="36">
        <f t="shared" si="34"/>
        <v>0</v>
      </c>
      <c r="N200" s="36"/>
    </row>
    <row r="201" spans="1:15" ht="18" customHeight="1" outlineLevel="2">
      <c r="A201" s="360"/>
      <c r="B201" s="62" t="s">
        <v>299</v>
      </c>
      <c r="C201" s="146">
        <v>10000</v>
      </c>
      <c r="D201" s="11"/>
      <c r="E201" s="32"/>
      <c r="F201" s="35"/>
      <c r="G201" s="35"/>
      <c r="H201" s="35"/>
      <c r="I201" s="41"/>
      <c r="J201" s="41"/>
      <c r="K201" s="41"/>
      <c r="L201" s="36">
        <f t="shared" si="35"/>
        <v>4.7898964032823581E-3</v>
      </c>
      <c r="M201" s="36">
        <f t="shared" si="34"/>
        <v>0</v>
      </c>
      <c r="N201" s="36"/>
    </row>
    <row r="202" spans="1:15" ht="19.5" customHeight="1" outlineLevel="2">
      <c r="A202" s="361"/>
      <c r="B202" s="62" t="s">
        <v>111</v>
      </c>
      <c r="C202" s="146">
        <f>303*35</f>
        <v>10605</v>
      </c>
      <c r="D202" s="11"/>
      <c r="E202" s="32"/>
      <c r="F202" s="35"/>
      <c r="G202" s="35"/>
      <c r="H202" s="35"/>
      <c r="I202" s="41"/>
      <c r="J202" s="41"/>
      <c r="K202" s="41"/>
      <c r="L202" s="36">
        <f t="shared" si="35"/>
        <v>5.0796851356809409E-3</v>
      </c>
      <c r="M202" s="36">
        <f t="shared" si="34"/>
        <v>0</v>
      </c>
      <c r="N202" s="36"/>
    </row>
    <row r="203" spans="1:15" outlineLevel="2">
      <c r="A203" s="359" t="s">
        <v>300</v>
      </c>
      <c r="B203" s="62" t="s">
        <v>293</v>
      </c>
      <c r="C203" s="16"/>
      <c r="D203" s="11"/>
      <c r="E203" s="145">
        <v>40000</v>
      </c>
      <c r="F203" s="35"/>
      <c r="G203" s="35"/>
      <c r="H203" s="35"/>
      <c r="I203" s="41"/>
      <c r="J203" s="41"/>
      <c r="K203" s="41"/>
      <c r="L203" s="36">
        <f t="shared" si="35"/>
        <v>1.9159585613129432E-2</v>
      </c>
      <c r="M203" s="36">
        <f t="shared" si="34"/>
        <v>0</v>
      </c>
      <c r="N203" s="36"/>
    </row>
    <row r="204" spans="1:15" outlineLevel="2">
      <c r="A204" s="360"/>
      <c r="B204" s="62" t="s">
        <v>153</v>
      </c>
      <c r="C204" s="16"/>
      <c r="D204" s="11"/>
      <c r="E204" s="146">
        <v>5000</v>
      </c>
      <c r="F204" s="35"/>
      <c r="G204" s="35"/>
      <c r="H204" s="35"/>
      <c r="I204" s="41"/>
      <c r="J204" s="41"/>
      <c r="K204" s="41"/>
      <c r="L204" s="36">
        <f t="shared" si="35"/>
        <v>2.3949482016411791E-3</v>
      </c>
      <c r="M204" s="36">
        <f t="shared" si="34"/>
        <v>0</v>
      </c>
      <c r="N204" s="36"/>
    </row>
    <row r="205" spans="1:15" outlineLevel="2">
      <c r="A205" s="361"/>
      <c r="B205" s="62" t="s">
        <v>114</v>
      </c>
      <c r="C205" s="16"/>
      <c r="D205" s="11"/>
      <c r="E205" s="146">
        <v>15000</v>
      </c>
      <c r="F205" s="35"/>
      <c r="G205" s="35"/>
      <c r="H205" s="35"/>
      <c r="I205" s="41"/>
      <c r="J205" s="41"/>
      <c r="K205" s="41"/>
      <c r="L205" s="36">
        <f t="shared" si="35"/>
        <v>7.1848446049235367E-3</v>
      </c>
      <c r="M205" s="36">
        <f t="shared" si="34"/>
        <v>0</v>
      </c>
      <c r="N205" s="36"/>
    </row>
    <row r="206" spans="1:15" outlineLevel="2">
      <c r="A206" s="220" t="s">
        <v>301</v>
      </c>
      <c r="B206" s="62"/>
      <c r="C206" s="16"/>
      <c r="D206" s="11"/>
      <c r="E206" s="146"/>
      <c r="F206" s="35"/>
      <c r="G206" s="35"/>
      <c r="H206" s="35"/>
      <c r="I206" s="41"/>
      <c r="J206" s="41"/>
      <c r="K206" s="41"/>
      <c r="L206" s="36"/>
      <c r="M206" s="36"/>
      <c r="N206" s="36"/>
    </row>
    <row r="207" spans="1:15" outlineLevel="2">
      <c r="A207" s="220" t="s">
        <v>302</v>
      </c>
      <c r="B207" s="41"/>
      <c r="C207" s="16">
        <v>8007.5</v>
      </c>
      <c r="D207" s="16">
        <v>8000</v>
      </c>
      <c r="E207" s="16">
        <v>8000</v>
      </c>
      <c r="F207" s="16">
        <v>19072.599999999999</v>
      </c>
      <c r="G207" s="16">
        <v>8000</v>
      </c>
      <c r="H207" s="16">
        <v>8000</v>
      </c>
      <c r="I207" s="16">
        <v>15000</v>
      </c>
      <c r="J207" s="16">
        <v>10000</v>
      </c>
      <c r="K207" s="16">
        <v>10000</v>
      </c>
      <c r="L207" s="122">
        <f>SUM(C207:K207)</f>
        <v>94080.1</v>
      </c>
      <c r="M207" s="36">
        <f>+(F207+G207+H207)/$F$210</f>
        <v>3.3608682035044322E-2</v>
      </c>
      <c r="N207" s="36"/>
    </row>
    <row r="208" spans="1:15">
      <c r="A208" s="53" t="s">
        <v>303</v>
      </c>
      <c r="B208" s="84"/>
      <c r="C208" s="54">
        <f t="shared" ref="C208:K208" si="36">+C207+C197+C192+C190</f>
        <v>963027.5</v>
      </c>
      <c r="D208" s="54">
        <f t="shared" si="36"/>
        <v>651335</v>
      </c>
      <c r="E208" s="54">
        <f t="shared" si="36"/>
        <v>336785</v>
      </c>
      <c r="F208" s="54">
        <f t="shared" si="36"/>
        <v>528212.6</v>
      </c>
      <c r="G208" s="54">
        <f t="shared" si="36"/>
        <v>300925</v>
      </c>
      <c r="H208" s="54">
        <f t="shared" si="36"/>
        <v>146150</v>
      </c>
      <c r="I208" s="54">
        <f t="shared" si="36"/>
        <v>374154.01250000001</v>
      </c>
      <c r="J208" s="54">
        <f t="shared" si="36"/>
        <v>222880.01250000001</v>
      </c>
      <c r="K208" s="54">
        <f t="shared" si="36"/>
        <v>215395.01250000001</v>
      </c>
      <c r="L208" s="36">
        <f>+(C208+D208+E208)/$C$210</f>
        <v>0.93457943925233644</v>
      </c>
      <c r="M208" s="36">
        <f>+(F208+G208+H208)/$F$210</f>
        <v>0.93457943925233633</v>
      </c>
      <c r="N208" s="36"/>
    </row>
    <row r="209" spans="1:14">
      <c r="A209" s="13"/>
      <c r="B209" s="41"/>
      <c r="C209" s="16">
        <f t="shared" ref="C209:H209" si="37">+C208*0.07</f>
        <v>67411.925000000003</v>
      </c>
      <c r="D209" s="16">
        <f t="shared" si="37"/>
        <v>45593.450000000004</v>
      </c>
      <c r="E209" s="51">
        <f t="shared" si="37"/>
        <v>23574.95</v>
      </c>
      <c r="F209" s="51">
        <f t="shared" si="37"/>
        <v>36974.882000000005</v>
      </c>
      <c r="G209" s="51">
        <f t="shared" si="37"/>
        <v>21064.750000000004</v>
      </c>
      <c r="H209" s="51">
        <f t="shared" si="37"/>
        <v>10230.500000000002</v>
      </c>
      <c r="I209" s="92">
        <f>+I208*0.065</f>
        <v>24320.010812500001</v>
      </c>
      <c r="J209" s="92">
        <f>+J208*0.065</f>
        <v>14487.200812500001</v>
      </c>
      <c r="K209" s="92">
        <f>+K208*0.065</f>
        <v>14000.675812500001</v>
      </c>
      <c r="L209" s="36">
        <f>+(C209+D209+E209)/$C$210</f>
        <v>6.5420560747663559E-2</v>
      </c>
      <c r="M209" s="36">
        <f>+(F209+G209+H209)/$F$210</f>
        <v>6.5420560747663559E-2</v>
      </c>
      <c r="N209" s="36"/>
    </row>
    <row r="210" spans="1:14">
      <c r="A210" s="33" t="s">
        <v>304</v>
      </c>
      <c r="B210" s="85"/>
      <c r="C210" s="129">
        <f>+C209+D209+E209+C207+D207+E207+C197+D197+E197+C191+C192+D192+E192</f>
        <v>2087727.825</v>
      </c>
      <c r="D210" s="85"/>
      <c r="E210" s="85"/>
      <c r="F210" s="128">
        <f>+F209+G209+H209+F207+G207+H207+F197+G197+H197+F192+G192+H192+F191</f>
        <v>1043557.7320000001</v>
      </c>
      <c r="G210" s="85"/>
      <c r="H210" s="85"/>
      <c r="I210" s="128">
        <f>+I209+J209+K209+I207+J207+K207+I197+J197+K197+I192+J192+K192+I191</f>
        <v>865236.92493750004</v>
      </c>
      <c r="J210" s="128"/>
      <c r="K210" s="128"/>
      <c r="N210" s="36"/>
    </row>
    <row r="211" spans="1:14">
      <c r="A211" s="34" t="s">
        <v>78</v>
      </c>
      <c r="B211" s="154">
        <f>+C210+F210+I210</f>
        <v>3996522.4819375002</v>
      </c>
      <c r="C211" s="86"/>
      <c r="D211" s="365" t="s">
        <v>305</v>
      </c>
      <c r="E211" s="365"/>
      <c r="F211" s="135">
        <f>+F208+G208+H208</f>
        <v>975287.6</v>
      </c>
      <c r="G211" s="365" t="s">
        <v>306</v>
      </c>
      <c r="H211" s="365"/>
      <c r="N211" s="36"/>
    </row>
    <row r="212" spans="1:14">
      <c r="B212" s="130">
        <f>+B211-4000000</f>
        <v>-3477.5180624998175</v>
      </c>
      <c r="C212" s="86">
        <f>+C208+D208+E208</f>
        <v>1951147.5</v>
      </c>
      <c r="D212" s="13" t="s">
        <v>293</v>
      </c>
      <c r="E212" s="11">
        <f>+E203+C199+C145+C143+C142+D142+C140+D140+D138+C136+C133+D133+E133++D96+E96+C90+C87+C84+D84+E84+E83+D83+C83+C82+C78+C70+C67+D46+E30+E27+D25+D22+D21+D20+D19+D18+C17+C11+C8+C5+C128</f>
        <v>953300</v>
      </c>
      <c r="F212" s="47"/>
      <c r="G212" s="13" t="s">
        <v>293</v>
      </c>
      <c r="H212" s="11">
        <f>+F195+G195+H195+F154+G154+H154+F126+F125+F124+F122+F92+F75+H65+H64+H62+G62+G64+G65+F65+F64+F63+F62+F61+F58+G58+H58+F54+G53+H53+F51+G44+G43+G35+G34+F16+F15</f>
        <v>392400</v>
      </c>
      <c r="I212" s="48">
        <f>+I208+J208+K208</f>
        <v>812429.03750000009</v>
      </c>
      <c r="N212" s="36"/>
    </row>
    <row r="213" spans="1:14">
      <c r="C213" s="132"/>
      <c r="D213" s="152" t="s">
        <v>172</v>
      </c>
      <c r="E213" s="11">
        <f>+E205+E204+C202+C201+C200+C198+D198+E198+C144+D135+D134+C134+C135+C131+C130+C129+D99+D97+E97+C89+C88+C85+D85+E85+C81+C80+C79+C71+C69+C68+D48+D47+E31+E29+E28+D24+D23+C13+C12+C10+C9+C7+C6</f>
        <v>262480</v>
      </c>
      <c r="F213" s="47"/>
      <c r="G213" s="152" t="s">
        <v>172</v>
      </c>
      <c r="H213" s="11">
        <f>+F198+G198+H198+F156+G156+H156+H155+G155+F155+F94+F93+F74+F60+F59+F57+F56+G56+G57+G59+G60+H60+H59+H57+H56+G45+G39+G38+G36+F123+F52+G37</f>
        <v>186065</v>
      </c>
      <c r="N213" s="36"/>
    </row>
    <row r="214" spans="1:14" ht="13.5" thickBot="1">
      <c r="C214" s="132"/>
      <c r="D214" s="13" t="s">
        <v>307</v>
      </c>
      <c r="E214" s="11">
        <f>+C193+D193+E193</f>
        <v>369000</v>
      </c>
      <c r="F214" s="47"/>
      <c r="G214" s="13" t="s">
        <v>307</v>
      </c>
      <c r="H214" s="11">
        <f>+F196+G196+H196</f>
        <v>87750</v>
      </c>
      <c r="I214" s="47"/>
    </row>
    <row r="215" spans="1:14">
      <c r="D215" s="13" t="s">
        <v>308</v>
      </c>
      <c r="E215" s="153">
        <f>+D152+D150+E150+C146+D146+D132+E132++D131+E131+D95+E95+D91+E91+C86+E32+D26+E26+C14+D14</f>
        <v>294360</v>
      </c>
      <c r="F215" s="5"/>
      <c r="G215" s="13" t="s">
        <v>308</v>
      </c>
      <c r="H215" s="153">
        <f>+G146+F127+G127+F76+G76+F72+G72+F50+G50+H50</f>
        <v>185000</v>
      </c>
      <c r="I215" s="5"/>
      <c r="K215" s="351"/>
    </row>
    <row r="216" spans="1:14" ht="13.5" thickBot="1">
      <c r="D216" s="13" t="s">
        <v>139</v>
      </c>
      <c r="E216" s="11">
        <v>48000</v>
      </c>
      <c r="F216" s="47"/>
      <c r="G216" s="13" t="s">
        <v>139</v>
      </c>
      <c r="H216" s="11">
        <f>+F41+F42</f>
        <v>89000</v>
      </c>
      <c r="I216" s="47"/>
      <c r="K216" s="366"/>
    </row>
    <row r="217" spans="1:14" ht="13.5" thickTop="1">
      <c r="D217" s="13" t="s">
        <v>309</v>
      </c>
      <c r="E217" s="11">
        <f>+C207+D207+E207</f>
        <v>24007.5</v>
      </c>
      <c r="F217" s="47"/>
      <c r="G217" s="13" t="s">
        <v>309</v>
      </c>
      <c r="H217" s="11">
        <f>+F207+G207+H207</f>
        <v>35072.6</v>
      </c>
      <c r="I217" s="47"/>
      <c r="K217" s="151"/>
    </row>
    <row r="218" spans="1:14" ht="13.5" thickBot="1">
      <c r="D218" s="13"/>
      <c r="E218" s="11">
        <f>SUM(E212:E217)</f>
        <v>1951147.5</v>
      </c>
      <c r="F218" s="47"/>
      <c r="G218" s="13"/>
      <c r="H218" s="11">
        <f>SUM(H212:H217)</f>
        <v>975287.6</v>
      </c>
      <c r="I218" s="47"/>
      <c r="K218" s="218"/>
    </row>
    <row r="219" spans="1:14">
      <c r="E219" s="47">
        <f>+C212-E218</f>
        <v>0</v>
      </c>
      <c r="F219" s="47"/>
      <c r="G219" s="47"/>
      <c r="H219" s="47">
        <f>+F211-H218</f>
        <v>0</v>
      </c>
      <c r="I219" s="47"/>
      <c r="K219" s="351"/>
    </row>
    <row r="220" spans="1:14" ht="13.5" thickBot="1">
      <c r="E220" s="47"/>
      <c r="F220" s="47"/>
      <c r="G220" s="47"/>
      <c r="H220" s="47"/>
      <c r="I220" s="47"/>
      <c r="K220" s="352"/>
    </row>
    <row r="221" spans="1:14">
      <c r="E221" s="47"/>
      <c r="F221" s="47"/>
      <c r="G221" s="47"/>
      <c r="H221" s="47"/>
      <c r="I221" s="47"/>
    </row>
    <row r="222" spans="1:14">
      <c r="E222" s="47"/>
      <c r="F222" s="47"/>
      <c r="G222" s="47"/>
      <c r="H222" s="47"/>
      <c r="I222" s="47"/>
    </row>
    <row r="223" spans="1:14">
      <c r="E223" s="47"/>
      <c r="F223" s="47"/>
      <c r="G223" s="47"/>
      <c r="H223" s="47"/>
      <c r="I223" s="47"/>
    </row>
    <row r="224" spans="1:14">
      <c r="E224" s="47"/>
      <c r="F224" s="47"/>
      <c r="G224" s="47"/>
      <c r="H224" s="47"/>
      <c r="I224" s="47"/>
    </row>
    <row r="225" spans="5:9">
      <c r="E225" s="47"/>
      <c r="F225" s="47"/>
      <c r="G225" s="47"/>
      <c r="H225" s="47"/>
      <c r="I225" s="47"/>
    </row>
    <row r="226" spans="5:9">
      <c r="E226" s="47"/>
      <c r="F226" s="47"/>
      <c r="G226" s="47"/>
      <c r="H226" s="47"/>
      <c r="I226" s="47"/>
    </row>
    <row r="227" spans="5:9">
      <c r="E227" s="47"/>
      <c r="F227" s="47"/>
      <c r="G227" s="47"/>
      <c r="H227" s="47"/>
      <c r="I227" s="47"/>
    </row>
    <row r="228" spans="5:9">
      <c r="E228" s="47"/>
      <c r="F228" s="47"/>
      <c r="G228" s="47"/>
      <c r="H228" s="47"/>
      <c r="I228" s="47"/>
    </row>
    <row r="229" spans="5:9">
      <c r="E229" s="47"/>
      <c r="F229" s="47"/>
      <c r="G229" s="47"/>
      <c r="H229" s="47"/>
      <c r="I229" s="47"/>
    </row>
    <row r="230" spans="5:9">
      <c r="E230" s="47"/>
      <c r="F230" s="47"/>
      <c r="G230" s="47"/>
      <c r="H230" s="47"/>
      <c r="I230" s="47"/>
    </row>
    <row r="231" spans="5:9">
      <c r="E231" s="47"/>
      <c r="F231" s="47"/>
      <c r="G231" s="47"/>
      <c r="H231" s="47"/>
      <c r="I231" s="47"/>
    </row>
    <row r="232" spans="5:9">
      <c r="E232" s="47"/>
      <c r="F232" s="47"/>
      <c r="G232" s="47"/>
      <c r="H232" s="47"/>
      <c r="I232" s="47"/>
    </row>
    <row r="233" spans="5:9">
      <c r="E233" s="47"/>
      <c r="F233" s="47"/>
      <c r="G233" s="47"/>
      <c r="H233" s="47"/>
      <c r="I233" s="47"/>
    </row>
    <row r="234" spans="5:9">
      <c r="E234" s="47"/>
      <c r="F234" s="47"/>
      <c r="G234" s="47"/>
      <c r="H234" s="47"/>
      <c r="I234" s="47"/>
    </row>
  </sheetData>
  <mergeCells count="50">
    <mergeCell ref="A165:A166"/>
    <mergeCell ref="A168:A177"/>
    <mergeCell ref="A180:A187"/>
    <mergeCell ref="A158:A160"/>
    <mergeCell ref="A161:A163"/>
    <mergeCell ref="K219:K220"/>
    <mergeCell ref="F191:H191"/>
    <mergeCell ref="I191:K191"/>
    <mergeCell ref="A203:A205"/>
    <mergeCell ref="A199:A202"/>
    <mergeCell ref="C191:E191"/>
    <mergeCell ref="D211:E211"/>
    <mergeCell ref="G211:H211"/>
    <mergeCell ref="K215:K216"/>
    <mergeCell ref="A154:A155"/>
    <mergeCell ref="A151:A152"/>
    <mergeCell ref="A128:A131"/>
    <mergeCell ref="A101:A104"/>
    <mergeCell ref="A107:A111"/>
    <mergeCell ref="A112:A119"/>
    <mergeCell ref="A105:A106"/>
    <mergeCell ref="A133:A137"/>
    <mergeCell ref="A141:A142"/>
    <mergeCell ref="A143:A146"/>
    <mergeCell ref="A148:A149"/>
    <mergeCell ref="A87:A91"/>
    <mergeCell ref="A92:A95"/>
    <mergeCell ref="A96:A99"/>
    <mergeCell ref="I2:K2"/>
    <mergeCell ref="A11:A14"/>
    <mergeCell ref="A15:A17"/>
    <mergeCell ref="A18:A21"/>
    <mergeCell ref="A5:A10"/>
    <mergeCell ref="C2:E2"/>
    <mergeCell ref="B150:B152"/>
    <mergeCell ref="F2:H2"/>
    <mergeCell ref="A34:A39"/>
    <mergeCell ref="A40:A42"/>
    <mergeCell ref="A43:A49"/>
    <mergeCell ref="A67:A71"/>
    <mergeCell ref="A51:A54"/>
    <mergeCell ref="A55:A58"/>
    <mergeCell ref="A59:A63"/>
    <mergeCell ref="A64:A65"/>
    <mergeCell ref="A27:A32"/>
    <mergeCell ref="A22:A26"/>
    <mergeCell ref="A73:A75"/>
    <mergeCell ref="A78:A82"/>
    <mergeCell ref="A138:A140"/>
    <mergeCell ref="A83:A85"/>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Annual Report</DocumentType>
    <UploadedBy xmlns="b1528a4b-5ccb-40f7-a09e-43427183cd95">Imenteelea.grimes@undp.org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MPTF_00006_00829</ProjectId>
    <FundCode xmlns="f9695bc1-6109-4dcd-a27a-f8a0370b00e2">MPTF_00006</FundCode>
    <Comments xmlns="f9695bc1-6109-4dcd-a27a-f8a0370b00e2">Annual Financial Report 2023</Comments>
    <Active xmlns="f9695bc1-6109-4dcd-a27a-f8a0370b00e2">Yes</Active>
    <DocumentDate xmlns="b1528a4b-5ccb-40f7-a09e-43427183cd95">2023-11-22T08:00:00+00:00</DocumentDate>
    <Featured xmlns="b1528a4b-5ccb-40f7-a09e-43427183cd95">1</Featured>
    <FormTypeCode xmlns="b1528a4b-5ccb-40f7-a09e-43427183cd95"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C5E7F2-4C18-45DA-A8B4-FE2FF9001D59}">
  <ds:schemaRefs>
    <ds:schemaRef ds:uri="http://purl.org/dc/terms/"/>
    <ds:schemaRef ds:uri="http://www.w3.org/XML/1998/namespace"/>
    <ds:schemaRef ds:uri="http://schemas.microsoft.com/office/2006/metadata/properties"/>
    <ds:schemaRef ds:uri="http://purl.org/dc/dcmitype/"/>
    <ds:schemaRef ds:uri="http://schemas.microsoft.com/office/2006/documentManagement/types"/>
    <ds:schemaRef ds:uri="a0cd98f1-70d8-4419-9bdc-6e96a690d96e"/>
    <ds:schemaRef ds:uri="http://schemas.openxmlformats.org/package/2006/metadata/core-properties"/>
    <ds:schemaRef ds:uri="http://schemas.microsoft.com/office/infopath/2007/PartnerControls"/>
    <ds:schemaRef ds:uri="b02a77db-7299-4e31-adfd-fa3e54c5676b"/>
    <ds:schemaRef ds:uri="http://purl.org/dc/elements/1.1/"/>
    <ds:schemaRef ds:uri="079fd994-975d-45e3-bba3-e3f8b8834405"/>
    <ds:schemaRef ds:uri="05f82637-7591-4f8e-9aa2-a62a1b53ebe1"/>
  </ds:schemaRefs>
</ds:datastoreItem>
</file>

<file path=customXml/itemProps2.xml><?xml version="1.0" encoding="utf-8"?>
<ds:datastoreItem xmlns:ds="http://schemas.openxmlformats.org/officeDocument/2006/customXml" ds:itemID="{7D36E174-E510-4851-B35C-518A70CB0B35}">
  <ds:schemaRefs>
    <ds:schemaRef ds:uri="http://schemas.microsoft.com/office/2006/metadata/longProperties"/>
  </ds:schemaRefs>
</ds:datastoreItem>
</file>

<file path=customXml/itemProps3.xml><?xml version="1.0" encoding="utf-8"?>
<ds:datastoreItem xmlns:ds="http://schemas.openxmlformats.org/officeDocument/2006/customXml" ds:itemID="{0D4801A3-A73E-4999-9462-2BCA5A3814F4}"/>
</file>

<file path=customXml/itemProps4.xml><?xml version="1.0" encoding="utf-8"?>
<ds:datastoreItem xmlns:ds="http://schemas.openxmlformats.org/officeDocument/2006/customXml" ds:itemID="{697E6415-9473-4A2A-AD10-538435DCD5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Financial report_By activity</vt:lpstr>
      <vt:lpstr>Financial report_by Category</vt:lpstr>
      <vt:lpstr>Detailed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Annex  D_ Financial Report 2023_PBF_UNW UNDP_Informal Finanical Report_151123.xlsx</dc:title>
  <dc:subject/>
  <dc:creator>Jelena Zelenovic</dc:creator>
  <cp:keywords>WPPL</cp:keywords>
  <dc:description/>
  <cp:lastModifiedBy>John Dennis</cp:lastModifiedBy>
  <cp:revision/>
  <dcterms:created xsi:type="dcterms:W3CDTF">2017-11-15T21:17:43Z</dcterms:created>
  <dcterms:modified xsi:type="dcterms:W3CDTF">2023-11-22T15:13:14Z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