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Tony Kouemo\Desktop\Dossiers-Haiti5\Documents_PBF_Agences\CWW\New_project\"/>
    </mc:Choice>
  </mc:AlternateContent>
  <xr:revisionPtr revIDLastSave="0" documentId="8_{73EB8611-F43F-4A32-810B-E143FDB1FE6C}" xr6:coauthVersionLast="47" xr6:coauthVersionMax="47" xr10:uidLastSave="{00000000-0000-0000-0000-000000000000}"/>
  <bookViews>
    <workbookView xWindow="-108" yWindow="-108" windowWidth="23256" windowHeight="12456" tabRatio="747" firstSheet="3" activeTab="4" xr2:uid="{00000000-000D-0000-FFFF-FFFF00000000}"/>
  </bookViews>
  <sheets>
    <sheet name="BU CWW" sheetId="10" state="hidden" r:id="rId1"/>
    <sheet name="TCD_2" sheetId="13" state="hidden" r:id="rId2"/>
    <sheet name="TCD_1" sheetId="11" state="hidden" r:id="rId3"/>
    <sheet name="Instructions" sheetId="9" r:id="rId4"/>
    <sheet name="1) Tableau budgétaire 1" sheetId="1" r:id="rId5"/>
    <sheet name="2) Tableau budgétaire 2" sheetId="5" r:id="rId6"/>
    <sheet name="3) Notes d'explication" sheetId="3" r:id="rId7"/>
    <sheet name="4) Pour utilisation par PBSO" sheetId="6" r:id="rId8"/>
    <sheet name="5) Pour utilisation par MPTFO" sheetId="4" r:id="rId9"/>
    <sheet name="Dropdowns" sheetId="8" state="hidden" r:id="rId10"/>
    <sheet name="Sheet2" sheetId="7" state="hidden" r:id="rId11"/>
  </sheets>
  <externalReferences>
    <externalReference r:id="rId12"/>
    <externalReference r:id="rId13"/>
  </externalReferences>
  <definedNames>
    <definedName name="_xlnm._FilterDatabase" localSheetId="0" hidden="1">'BU CWW'!$C$6:$S$183</definedName>
    <definedName name="CurrentMonth">'[1]1. Details'!$D$26</definedName>
    <definedName name="DonorCode">'[1]1. Details'!$D$13</definedName>
    <definedName name="Option">'BU CWW'!$AE$6</definedName>
  </definedNames>
  <calcPr calcId="191029" concurrentCalc="0"/>
  <pivotCaches>
    <pivotCache cacheId="0" r:id="rId14"/>
    <pivotCache cacheId="1" r:id="rId15"/>
    <pivotCache cacheId="2"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8" i="1" l="1"/>
  <c r="I68" i="1"/>
  <c r="I78" i="1"/>
  <c r="I88" i="1"/>
  <c r="I100" i="1"/>
  <c r="I110" i="1"/>
  <c r="I179" i="1"/>
  <c r="I16" i="1"/>
  <c r="I26" i="1"/>
  <c r="I181" i="1"/>
  <c r="I183" i="1"/>
  <c r="I184" i="1"/>
  <c r="L126" i="10"/>
  <c r="L58" i="10"/>
  <c r="L95" i="10"/>
  <c r="L57" i="10"/>
  <c r="L8" i="10"/>
  <c r="L14" i="10"/>
  <c r="L16" i="10"/>
  <c r="L34" i="10"/>
  <c r="L49" i="10"/>
  <c r="L51" i="10"/>
  <c r="L146" i="10"/>
  <c r="L153" i="10"/>
  <c r="L155" i="10"/>
  <c r="L145" i="10"/>
  <c r="M49" i="10"/>
  <c r="K49" i="10"/>
  <c r="K153" i="10"/>
  <c r="L162" i="10"/>
  <c r="L169" i="10"/>
  <c r="L161" i="10"/>
  <c r="K8" i="10"/>
  <c r="K14" i="10"/>
  <c r="K16" i="10"/>
  <c r="K34" i="10"/>
  <c r="K7" i="10"/>
  <c r="D58" i="13"/>
  <c r="D59" i="13"/>
  <c r="D60" i="13"/>
  <c r="D61" i="13"/>
  <c r="G4" i="11"/>
  <c r="H4" i="11"/>
  <c r="D8" i="1"/>
  <c r="G5" i="11"/>
  <c r="H5" i="11"/>
  <c r="D9" i="1"/>
  <c r="G6" i="11"/>
  <c r="H6" i="11"/>
  <c r="D10" i="1"/>
  <c r="D16" i="1"/>
  <c r="D7" i="5"/>
  <c r="D12" i="13"/>
  <c r="G7" i="11"/>
  <c r="H7" i="11"/>
  <c r="D18" i="1"/>
  <c r="G8" i="11"/>
  <c r="H8" i="11"/>
  <c r="D19" i="1"/>
  <c r="G9" i="11"/>
  <c r="H9" i="11"/>
  <c r="D20" i="1"/>
  <c r="G10" i="11"/>
  <c r="H10" i="11"/>
  <c r="D21" i="1"/>
  <c r="G11" i="11"/>
  <c r="H11" i="11"/>
  <c r="D22" i="1"/>
  <c r="G12" i="11"/>
  <c r="H12" i="11"/>
  <c r="D23" i="1"/>
  <c r="D26" i="1"/>
  <c r="D18" i="5"/>
  <c r="D13" i="13"/>
  <c r="G13" i="11"/>
  <c r="H13" i="11"/>
  <c r="D50" i="1"/>
  <c r="G14" i="11"/>
  <c r="H14" i="11"/>
  <c r="D51" i="1"/>
  <c r="D58" i="1"/>
  <c r="D52" i="5"/>
  <c r="D14" i="13"/>
  <c r="G15" i="11"/>
  <c r="H15" i="11"/>
  <c r="D60" i="1"/>
  <c r="D68" i="1"/>
  <c r="D63" i="5"/>
  <c r="D15" i="13"/>
  <c r="G16" i="11"/>
  <c r="H16" i="11"/>
  <c r="D70" i="1"/>
  <c r="G17" i="11"/>
  <c r="H17" i="11"/>
  <c r="D71" i="1"/>
  <c r="G18" i="11"/>
  <c r="H18" i="11"/>
  <c r="D72" i="1"/>
  <c r="G19" i="11"/>
  <c r="H19" i="11"/>
  <c r="D73" i="1"/>
  <c r="G20" i="11"/>
  <c r="H20" i="11"/>
  <c r="D74" i="1"/>
  <c r="G21" i="11"/>
  <c r="H21" i="11"/>
  <c r="D75" i="1"/>
  <c r="D78" i="1"/>
  <c r="D74" i="5"/>
  <c r="D16" i="13"/>
  <c r="G22" i="11"/>
  <c r="H22" i="11"/>
  <c r="D80" i="1"/>
  <c r="D88" i="1"/>
  <c r="D85" i="5"/>
  <c r="D17" i="13"/>
  <c r="G23" i="11"/>
  <c r="H23" i="11"/>
  <c r="D92" i="1"/>
  <c r="G24" i="11"/>
  <c r="H24" i="11"/>
  <c r="D93" i="1"/>
  <c r="G25" i="11"/>
  <c r="H25" i="11"/>
  <c r="D94" i="1"/>
  <c r="G26" i="11"/>
  <c r="H26" i="11"/>
  <c r="D95" i="1"/>
  <c r="G27" i="11"/>
  <c r="H27" i="11"/>
  <c r="D96" i="1"/>
  <c r="G28" i="11"/>
  <c r="H28" i="11"/>
  <c r="D97" i="1"/>
  <c r="G29" i="11"/>
  <c r="H29" i="11"/>
  <c r="D98" i="1"/>
  <c r="G30" i="11"/>
  <c r="H30" i="11"/>
  <c r="D99" i="1"/>
  <c r="D100" i="1"/>
  <c r="D97" i="5"/>
  <c r="D18" i="13"/>
  <c r="G31" i="11"/>
  <c r="H31" i="11"/>
  <c r="D102" i="1"/>
  <c r="D110" i="1"/>
  <c r="D108" i="5"/>
  <c r="D19" i="13"/>
  <c r="E12" i="13"/>
  <c r="F12" i="13"/>
  <c r="D8" i="5"/>
  <c r="L7" i="10"/>
  <c r="L175" i="10"/>
  <c r="L176" i="10"/>
  <c r="D187" i="5"/>
  <c r="D190" i="5"/>
  <c r="D189" i="5"/>
  <c r="M148" i="10"/>
  <c r="M149" i="10"/>
  <c r="M150" i="10"/>
  <c r="M151" i="10"/>
  <c r="M152" i="10"/>
  <c r="M147" i="10"/>
  <c r="E62" i="13"/>
  <c r="F82" i="13"/>
  <c r="E80" i="13"/>
  <c r="D73" i="13"/>
  <c r="E81" i="13"/>
  <c r="E66" i="13"/>
  <c r="E90" i="13"/>
  <c r="H76" i="13"/>
  <c r="D63" i="13"/>
  <c r="E85" i="13"/>
  <c r="E65" i="13"/>
  <c r="E69" i="13"/>
  <c r="D70" i="13"/>
  <c r="E70" i="13"/>
  <c r="G60" i="13"/>
  <c r="E88" i="13"/>
  <c r="E74" i="13"/>
  <c r="D83" i="13"/>
  <c r="H75" i="13"/>
  <c r="D84" i="13"/>
  <c r="H88" i="13"/>
  <c r="E60" i="13"/>
  <c r="F66" i="13"/>
  <c r="E59" i="13"/>
  <c r="D62" i="13"/>
  <c r="H85" i="13"/>
  <c r="E78" i="13"/>
  <c r="E72" i="13"/>
  <c r="F85" i="13"/>
  <c r="F77" i="13"/>
  <c r="E63" i="13"/>
  <c r="G58" i="13"/>
  <c r="E86" i="13"/>
  <c r="E87" i="13"/>
  <c r="H64" i="13"/>
  <c r="D74" i="13"/>
  <c r="E77" i="13"/>
  <c r="F67" i="13"/>
  <c r="I77" i="13"/>
  <c r="I90" i="13"/>
  <c r="I64" i="13"/>
  <c r="I70" i="13"/>
  <c r="I78" i="13"/>
  <c r="I75" i="13"/>
  <c r="I73" i="13"/>
  <c r="I65" i="13"/>
  <c r="I80" i="13"/>
  <c r="I67" i="13"/>
  <c r="I76" i="13"/>
  <c r="I74" i="13"/>
  <c r="I66" i="13"/>
  <c r="I81" i="13"/>
  <c r="I60" i="13"/>
  <c r="I83" i="13"/>
  <c r="I69" i="13"/>
  <c r="I85" i="13"/>
  <c r="I82" i="13"/>
  <c r="I59" i="13"/>
  <c r="I84" i="13"/>
  <c r="I86" i="13"/>
  <c r="I62" i="13"/>
  <c r="I88" i="13"/>
  <c r="I63" i="13"/>
  <c r="I58" i="13"/>
  <c r="I72" i="13"/>
  <c r="I87" i="13"/>
  <c r="D188" i="5"/>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4" i="11"/>
  <c r="C131" i="10"/>
  <c r="C132" i="10"/>
  <c r="C133" i="10"/>
  <c r="C139" i="10"/>
  <c r="C140" i="10"/>
  <c r="C141" i="10"/>
  <c r="C115" i="10"/>
  <c r="C116" i="10"/>
  <c r="C117" i="10"/>
  <c r="C118" i="10"/>
  <c r="C119" i="10"/>
  <c r="C120" i="10"/>
  <c r="C121" i="10"/>
  <c r="C122" i="10"/>
  <c r="C148" i="10"/>
  <c r="C149" i="10"/>
  <c r="C150" i="10"/>
  <c r="C151" i="10"/>
  <c r="C152" i="10"/>
  <c r="E193" i="10"/>
  <c r="M156" i="10"/>
  <c r="M158" i="10"/>
  <c r="M159" i="10"/>
  <c r="H141" i="10"/>
  <c r="N95" i="10"/>
  <c r="M93" i="10"/>
  <c r="M92" i="10"/>
  <c r="M91" i="10"/>
  <c r="M90" i="10"/>
  <c r="O95" i="10"/>
  <c r="P95" i="10"/>
  <c r="M33" i="10"/>
  <c r="M32" i="10"/>
  <c r="M31" i="10"/>
  <c r="M30" i="10"/>
  <c r="M29" i="10"/>
  <c r="M28" i="10"/>
  <c r="M27" i="10"/>
  <c r="M26" i="10"/>
  <c r="M25" i="10"/>
  <c r="M24" i="10"/>
  <c r="M23" i="10"/>
  <c r="K58" i="10"/>
  <c r="M94" i="10"/>
  <c r="D110" i="5"/>
  <c r="G110" i="5"/>
  <c r="D87" i="5"/>
  <c r="G87" i="5"/>
  <c r="E89" i="13"/>
  <c r="D99" i="5"/>
  <c r="G99" i="5"/>
  <c r="F89" i="13"/>
  <c r="D101" i="5"/>
  <c r="G101" i="5"/>
  <c r="G89" i="13"/>
  <c r="H89" i="13"/>
  <c r="D103" i="5"/>
  <c r="G103" i="5"/>
  <c r="D89" i="13"/>
  <c r="H79" i="13"/>
  <c r="D80" i="5"/>
  <c r="G80" i="5"/>
  <c r="F79" i="13"/>
  <c r="D78" i="5"/>
  <c r="G78" i="5"/>
  <c r="E79" i="13"/>
  <c r="D76" i="5"/>
  <c r="G76" i="5"/>
  <c r="D79" i="13"/>
  <c r="D65" i="5"/>
  <c r="G65" i="5"/>
  <c r="G79" i="13"/>
  <c r="E71" i="13"/>
  <c r="D54" i="5"/>
  <c r="G54" i="5"/>
  <c r="D71" i="13"/>
  <c r="F71" i="13"/>
  <c r="G71" i="13"/>
  <c r="H71" i="13"/>
  <c r="H68" i="13"/>
  <c r="D24" i="5"/>
  <c r="F68" i="13"/>
  <c r="D22" i="5"/>
  <c r="E68" i="13"/>
  <c r="D20" i="5"/>
  <c r="G20" i="5"/>
  <c r="D68" i="13"/>
  <c r="G68" i="13"/>
  <c r="G61" i="13"/>
  <c r="E61" i="13"/>
  <c r="F61" i="13"/>
  <c r="H61" i="13"/>
  <c r="M140" i="10"/>
  <c r="AX10" i="13"/>
  <c r="AX9" i="13"/>
  <c r="AX8" i="13"/>
  <c r="AX7" i="13"/>
  <c r="AX6" i="13"/>
  <c r="AX5" i="13"/>
  <c r="K95" i="10"/>
  <c r="M120" i="10"/>
  <c r="K146" i="10"/>
  <c r="G99" i="1"/>
  <c r="G98" i="1"/>
  <c r="G97" i="1"/>
  <c r="G96" i="1"/>
  <c r="G95" i="1"/>
  <c r="G94" i="1"/>
  <c r="G93" i="1"/>
  <c r="G92" i="1"/>
  <c r="G75" i="1"/>
  <c r="G74" i="1"/>
  <c r="G73" i="1"/>
  <c r="G72" i="1"/>
  <c r="G71" i="1"/>
  <c r="G70" i="1"/>
  <c r="G60" i="1"/>
  <c r="G51" i="1"/>
  <c r="G50" i="1"/>
  <c r="G23" i="1"/>
  <c r="G22" i="1"/>
  <c r="G21" i="1"/>
  <c r="G20" i="1"/>
  <c r="G19" i="1"/>
  <c r="G9" i="1"/>
  <c r="G32" i="11"/>
  <c r="M166" i="10"/>
  <c r="M174" i="10"/>
  <c r="M173" i="10"/>
  <c r="M168" i="10"/>
  <c r="K51" i="10"/>
  <c r="K155" i="10"/>
  <c r="D178" i="1"/>
  <c r="G178" i="1"/>
  <c r="M8" i="10"/>
  <c r="M51" i="10"/>
  <c r="M58" i="10"/>
  <c r="M146" i="10"/>
  <c r="M153" i="10"/>
  <c r="M155" i="10"/>
  <c r="N8" i="10"/>
  <c r="N14" i="10"/>
  <c r="N16" i="10"/>
  <c r="N34" i="10"/>
  <c r="N49" i="10"/>
  <c r="N51" i="10"/>
  <c r="N58" i="10"/>
  <c r="N126" i="10"/>
  <c r="N146" i="10"/>
  <c r="N153" i="10"/>
  <c r="N155" i="10"/>
  <c r="N162" i="10"/>
  <c r="N169" i="10"/>
  <c r="O8" i="10"/>
  <c r="O14" i="10"/>
  <c r="O16" i="10"/>
  <c r="O34" i="10"/>
  <c r="O49" i="10"/>
  <c r="O51" i="10"/>
  <c r="O58" i="10"/>
  <c r="O126" i="10"/>
  <c r="O146" i="10"/>
  <c r="O153" i="10"/>
  <c r="O155" i="10"/>
  <c r="O162" i="10"/>
  <c r="O169" i="10"/>
  <c r="P8" i="10"/>
  <c r="P14" i="10"/>
  <c r="P16" i="10"/>
  <c r="P34" i="10"/>
  <c r="P49" i="10"/>
  <c r="P51" i="10"/>
  <c r="P58" i="10"/>
  <c r="P126" i="10"/>
  <c r="P146" i="10"/>
  <c r="P153" i="10"/>
  <c r="P155" i="10"/>
  <c r="P162" i="10"/>
  <c r="P169" i="10"/>
  <c r="Q8" i="10"/>
  <c r="Q14" i="10"/>
  <c r="Q16" i="10"/>
  <c r="Q34" i="10"/>
  <c r="Q49" i="10"/>
  <c r="Q51" i="10"/>
  <c r="Q58" i="10"/>
  <c r="Q95" i="10"/>
  <c r="Q126" i="10"/>
  <c r="Q146" i="10"/>
  <c r="Q153" i="10"/>
  <c r="Q155" i="10"/>
  <c r="Q162" i="10"/>
  <c r="Q169" i="10"/>
  <c r="D188" i="1"/>
  <c r="D19" i="4"/>
  <c r="E19" i="4"/>
  <c r="C19" i="4"/>
  <c r="D6" i="4"/>
  <c r="E6" i="4"/>
  <c r="C6" i="4"/>
  <c r="E197" i="5"/>
  <c r="F197" i="5"/>
  <c r="D197" i="5"/>
  <c r="E4" i="5"/>
  <c r="F4" i="5"/>
  <c r="D4" i="5"/>
  <c r="E188" i="1"/>
  <c r="F188" i="1"/>
  <c r="E195" i="1"/>
  <c r="F195" i="1"/>
  <c r="D195" i="1"/>
  <c r="G22" i="4"/>
  <c r="G21" i="4"/>
  <c r="G20" i="4"/>
  <c r="I172" i="1"/>
  <c r="I162" i="1"/>
  <c r="I152" i="1"/>
  <c r="I142" i="1"/>
  <c r="I130" i="1"/>
  <c r="I120" i="1"/>
  <c r="I46" i="1"/>
  <c r="I36" i="1"/>
  <c r="F203" i="5"/>
  <c r="E12" i="4"/>
  <c r="H199" i="1"/>
  <c r="E204" i="5"/>
  <c r="D13" i="4"/>
  <c r="F204" i="5"/>
  <c r="E13" i="4"/>
  <c r="E203" i="5"/>
  <c r="D12" i="4"/>
  <c r="E202" i="5"/>
  <c r="D11" i="4"/>
  <c r="F202" i="5"/>
  <c r="E11" i="4"/>
  <c r="E201" i="5"/>
  <c r="D10" i="4"/>
  <c r="F201" i="5"/>
  <c r="E10" i="4"/>
  <c r="E200" i="5"/>
  <c r="D9" i="4"/>
  <c r="F200" i="5"/>
  <c r="E199" i="5"/>
  <c r="D8" i="4"/>
  <c r="F199" i="5"/>
  <c r="E8" i="4"/>
  <c r="E198" i="5"/>
  <c r="D7" i="4"/>
  <c r="F198" i="5"/>
  <c r="D152" i="1"/>
  <c r="D153" i="5"/>
  <c r="E152" i="1"/>
  <c r="E153" i="5"/>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87" i="1"/>
  <c r="G86" i="1"/>
  <c r="G85" i="1"/>
  <c r="G84" i="1"/>
  <c r="G83" i="1"/>
  <c r="G82" i="1"/>
  <c r="G81" i="1"/>
  <c r="G77" i="1"/>
  <c r="G76" i="1"/>
  <c r="G67" i="1"/>
  <c r="G66" i="1"/>
  <c r="G65" i="1"/>
  <c r="G64" i="1"/>
  <c r="G63" i="1"/>
  <c r="G62" i="1"/>
  <c r="G61" i="1"/>
  <c r="G57" i="1"/>
  <c r="G56" i="1"/>
  <c r="G55" i="1"/>
  <c r="G54" i="1"/>
  <c r="G53" i="1"/>
  <c r="G52" i="1"/>
  <c r="G45" i="1"/>
  <c r="G44" i="1"/>
  <c r="G43" i="1"/>
  <c r="G42" i="1"/>
  <c r="G41" i="1"/>
  <c r="G40" i="1"/>
  <c r="G39" i="1"/>
  <c r="G38" i="1"/>
  <c r="G35" i="1"/>
  <c r="G34" i="1"/>
  <c r="G33" i="1"/>
  <c r="G32" i="1"/>
  <c r="G31" i="1"/>
  <c r="G30" i="1"/>
  <c r="G29" i="1"/>
  <c r="G28" i="1"/>
  <c r="G24" i="1"/>
  <c r="G25" i="1"/>
  <c r="G11" i="1"/>
  <c r="G12" i="1"/>
  <c r="G13" i="1"/>
  <c r="G14" i="1"/>
  <c r="G15" i="1"/>
  <c r="F194" i="5"/>
  <c r="E194" i="5"/>
  <c r="G192" i="5"/>
  <c r="G189" i="5"/>
  <c r="G188" i="5"/>
  <c r="E179" i="1"/>
  <c r="E186" i="5"/>
  <c r="F179" i="1"/>
  <c r="F186" i="5"/>
  <c r="E9"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12" i="5"/>
  <c r="G114" i="5"/>
  <c r="E116" i="5"/>
  <c r="F116" i="5"/>
  <c r="G120" i="5"/>
  <c r="G121" i="5"/>
  <c r="G122" i="5"/>
  <c r="G123" i="5"/>
  <c r="G124" i="5"/>
  <c r="G125" i="5"/>
  <c r="G126" i="5"/>
  <c r="D127" i="5"/>
  <c r="E127" i="5"/>
  <c r="F127" i="5"/>
  <c r="G131" i="5"/>
  <c r="G132" i="5"/>
  <c r="G133" i="5"/>
  <c r="G134" i="5"/>
  <c r="G135" i="5"/>
  <c r="G136" i="5"/>
  <c r="G137" i="5"/>
  <c r="D138" i="5"/>
  <c r="E138" i="5"/>
  <c r="F138" i="5"/>
  <c r="F105" i="5"/>
  <c r="E105" i="5"/>
  <c r="G67" i="5"/>
  <c r="G69" i="5"/>
  <c r="E71" i="5"/>
  <c r="F71" i="5"/>
  <c r="E82" i="5"/>
  <c r="F82" i="5"/>
  <c r="G89" i="5"/>
  <c r="G91" i="5"/>
  <c r="E93" i="5"/>
  <c r="F93" i="5"/>
  <c r="G56" i="5"/>
  <c r="G58" i="5"/>
  <c r="E60" i="5"/>
  <c r="F60" i="5"/>
  <c r="E26" i="5"/>
  <c r="F26" i="5"/>
  <c r="G30" i="5"/>
  <c r="G31" i="5"/>
  <c r="G32" i="5"/>
  <c r="G33" i="5"/>
  <c r="G34" i="5"/>
  <c r="G35" i="5"/>
  <c r="G36" i="5"/>
  <c r="D37" i="5"/>
  <c r="E37" i="5"/>
  <c r="F37" i="5"/>
  <c r="G41" i="5"/>
  <c r="G42" i="5"/>
  <c r="G43" i="5"/>
  <c r="G44" i="5"/>
  <c r="G45" i="5"/>
  <c r="G46" i="5"/>
  <c r="G47" i="5"/>
  <c r="D48" i="5"/>
  <c r="E48" i="5"/>
  <c r="F48" i="5"/>
  <c r="E15" i="5"/>
  <c r="F15" i="5"/>
  <c r="G11" i="5"/>
  <c r="G13" i="5"/>
  <c r="E172" i="1"/>
  <c r="E175" i="5"/>
  <c r="F172" i="1"/>
  <c r="F175" i="5"/>
  <c r="E162" i="1"/>
  <c r="E164" i="5"/>
  <c r="F162" i="1"/>
  <c r="F164" i="5"/>
  <c r="F152" i="1"/>
  <c r="F153" i="5"/>
  <c r="E142" i="1"/>
  <c r="E142" i="5"/>
  <c r="F142" i="1"/>
  <c r="F142" i="5"/>
  <c r="E130" i="1"/>
  <c r="E130" i="5"/>
  <c r="F130" i="1"/>
  <c r="F130" i="5"/>
  <c r="E120" i="1"/>
  <c r="E119" i="5"/>
  <c r="F120" i="1"/>
  <c r="F119" i="5"/>
  <c r="E110" i="1"/>
  <c r="E108" i="5"/>
  <c r="F110" i="1"/>
  <c r="F108" i="5"/>
  <c r="E100" i="1"/>
  <c r="E97" i="5"/>
  <c r="F100" i="1"/>
  <c r="F97" i="5"/>
  <c r="E88" i="1"/>
  <c r="E85" i="5"/>
  <c r="F88" i="1"/>
  <c r="F85" i="5"/>
  <c r="E78" i="1"/>
  <c r="E74" i="5"/>
  <c r="F78" i="1"/>
  <c r="F74" i="5"/>
  <c r="E68" i="1"/>
  <c r="E63" i="5"/>
  <c r="F68" i="1"/>
  <c r="F63" i="5"/>
  <c r="E58" i="1"/>
  <c r="E52" i="5"/>
  <c r="F58" i="1"/>
  <c r="F52" i="5"/>
  <c r="E46" i="1"/>
  <c r="E40" i="5"/>
  <c r="F46" i="1"/>
  <c r="F40" i="5"/>
  <c r="E36" i="1"/>
  <c r="E29" i="5"/>
  <c r="F36" i="1"/>
  <c r="F29" i="5"/>
  <c r="E26" i="1"/>
  <c r="E18" i="5"/>
  <c r="F26" i="1"/>
  <c r="F18" i="5"/>
  <c r="F16" i="1"/>
  <c r="F7" i="5"/>
  <c r="E16" i="1"/>
  <c r="E7" i="5"/>
  <c r="D172" i="1"/>
  <c r="D175" i="5"/>
  <c r="D162" i="1"/>
  <c r="D164" i="5"/>
  <c r="D142" i="1"/>
  <c r="D142" i="5"/>
  <c r="D130" i="1"/>
  <c r="D130" i="5"/>
  <c r="D120" i="1"/>
  <c r="D119" i="5"/>
  <c r="D46" i="1"/>
  <c r="D40" i="5"/>
  <c r="D36" i="1"/>
  <c r="D29" i="5"/>
  <c r="I79" i="13"/>
  <c r="D9" i="5"/>
  <c r="G9" i="5"/>
  <c r="I61" i="13"/>
  <c r="I71" i="13"/>
  <c r="I89" i="13"/>
  <c r="I68" i="13"/>
  <c r="H130" i="1"/>
  <c r="Q145" i="10"/>
  <c r="G127" i="5"/>
  <c r="I201" i="1"/>
  <c r="G36" i="1"/>
  <c r="G142" i="1"/>
  <c r="G152" i="1"/>
  <c r="O57" i="10"/>
  <c r="G37" i="5"/>
  <c r="G138" i="5"/>
  <c r="G183" i="5"/>
  <c r="G172" i="5"/>
  <c r="G161" i="5"/>
  <c r="O145" i="10"/>
  <c r="C40" i="6"/>
  <c r="D46" i="6"/>
  <c r="G130" i="5"/>
  <c r="Q161" i="10"/>
  <c r="P57" i="10"/>
  <c r="O161" i="10"/>
  <c r="G142" i="5"/>
  <c r="G175" i="5"/>
  <c r="F205" i="5"/>
  <c r="F206" i="5"/>
  <c r="H36" i="1"/>
  <c r="G46" i="1"/>
  <c r="H120" i="1"/>
  <c r="G130" i="1"/>
  <c r="H142" i="1"/>
  <c r="H152" i="1"/>
  <c r="G162" i="1"/>
  <c r="H172" i="1"/>
  <c r="D14" i="4"/>
  <c r="D15" i="4"/>
  <c r="D16" i="4"/>
  <c r="P145" i="10"/>
  <c r="P7" i="10"/>
  <c r="N145" i="10"/>
  <c r="E14" i="4"/>
  <c r="E15" i="4"/>
  <c r="E16" i="4"/>
  <c r="G40" i="5"/>
  <c r="G48" i="5"/>
  <c r="G150" i="5"/>
  <c r="G119" i="5"/>
  <c r="G85" i="5"/>
  <c r="G153" i="5"/>
  <c r="G29" i="5"/>
  <c r="G164" i="5"/>
  <c r="F189" i="1"/>
  <c r="G172" i="1"/>
  <c r="H46" i="1"/>
  <c r="H162" i="1"/>
  <c r="G120" i="1"/>
  <c r="M121" i="10"/>
  <c r="M95" i="10"/>
  <c r="Q57" i="10"/>
  <c r="P161" i="10"/>
  <c r="N161" i="10"/>
  <c r="M172" i="10"/>
  <c r="M169" i="10"/>
  <c r="D191" i="5"/>
  <c r="E189" i="1"/>
  <c r="E205" i="5"/>
  <c r="Q7" i="10"/>
  <c r="N7" i="10"/>
  <c r="M145" i="10"/>
  <c r="M15" i="10"/>
  <c r="M14" i="10"/>
  <c r="D175" i="1"/>
  <c r="O7" i="10"/>
  <c r="N57" i="10"/>
  <c r="K162" i="10"/>
  <c r="D193" i="5"/>
  <c r="D176" i="1"/>
  <c r="G176" i="1"/>
  <c r="D203" i="5"/>
  <c r="C12" i="4"/>
  <c r="F12" i="4"/>
  <c r="D201" i="5"/>
  <c r="C10" i="4"/>
  <c r="F10" i="4"/>
  <c r="G22" i="5"/>
  <c r="G24" i="5"/>
  <c r="M167" i="10"/>
  <c r="M162" i="10"/>
  <c r="D177" i="1"/>
  <c r="G177" i="1"/>
  <c r="K4" i="10"/>
  <c r="K169" i="10"/>
  <c r="K2" i="10"/>
  <c r="H58" i="1"/>
  <c r="H100" i="1"/>
  <c r="G18" i="1"/>
  <c r="G26" i="1"/>
  <c r="G102" i="1"/>
  <c r="H78" i="1"/>
  <c r="G78" i="1"/>
  <c r="G8" i="1"/>
  <c r="G68" i="1"/>
  <c r="H68" i="1"/>
  <c r="G58" i="1"/>
  <c r="G80" i="1"/>
  <c r="G100" i="1"/>
  <c r="K145" i="10"/>
  <c r="M34" i="10"/>
  <c r="M16" i="10"/>
  <c r="G190" i="5"/>
  <c r="D47" i="6"/>
  <c r="D199" i="5"/>
  <c r="C8" i="4"/>
  <c r="F8" i="4"/>
  <c r="G10" i="1"/>
  <c r="D189" i="1"/>
  <c r="K161" i="10"/>
  <c r="M7" i="10"/>
  <c r="D204" i="1"/>
  <c r="Q175" i="10"/>
  <c r="Q177" i="10"/>
  <c r="D45" i="6"/>
  <c r="O175" i="10"/>
  <c r="O177" i="10"/>
  <c r="D44" i="6"/>
  <c r="P175" i="10"/>
  <c r="P177" i="10"/>
  <c r="N175" i="10"/>
  <c r="F207" i="5"/>
  <c r="D43" i="6"/>
  <c r="F190" i="1"/>
  <c r="F191" i="1"/>
  <c r="E206" i="5"/>
  <c r="E207" i="5"/>
  <c r="E190" i="1"/>
  <c r="E191" i="1"/>
  <c r="G203" i="5"/>
  <c r="G201" i="5"/>
  <c r="G199" i="5"/>
  <c r="G191" i="5"/>
  <c r="H26" i="1"/>
  <c r="G18" i="5"/>
  <c r="G108" i="5"/>
  <c r="G110" i="1"/>
  <c r="H110" i="1"/>
  <c r="G88" i="1"/>
  <c r="H88" i="1"/>
  <c r="C29" i="6"/>
  <c r="H16" i="1"/>
  <c r="G16" i="1"/>
  <c r="C18" i="6"/>
  <c r="G63" i="5"/>
  <c r="G74" i="5"/>
  <c r="M161" i="10"/>
  <c r="G187" i="5"/>
  <c r="D179" i="1"/>
  <c r="D186" i="5"/>
  <c r="G186" i="5"/>
  <c r="G175" i="1"/>
  <c r="C7" i="6"/>
  <c r="D10" i="6"/>
  <c r="C41" i="6"/>
  <c r="N177" i="10"/>
  <c r="N178" i="10"/>
  <c r="E197" i="1"/>
  <c r="D21" i="4"/>
  <c r="E198" i="1"/>
  <c r="D22" i="4"/>
  <c r="E196" i="1"/>
  <c r="F197" i="1"/>
  <c r="E21" i="4"/>
  <c r="F198" i="1"/>
  <c r="E22" i="4"/>
  <c r="F196" i="1"/>
  <c r="D194" i="5"/>
  <c r="G194" i="5"/>
  <c r="D36" i="6"/>
  <c r="D32" i="6"/>
  <c r="D33" i="6"/>
  <c r="D34" i="6"/>
  <c r="D35" i="6"/>
  <c r="G97" i="5"/>
  <c r="D24" i="6"/>
  <c r="D23" i="6"/>
  <c r="D25" i="6"/>
  <c r="D21" i="6"/>
  <c r="D22" i="6"/>
  <c r="G7" i="5"/>
  <c r="G52" i="5"/>
  <c r="G193" i="5"/>
  <c r="G179" i="1"/>
  <c r="H179" i="1"/>
  <c r="D201" i="1"/>
  <c r="G189" i="1"/>
  <c r="D190" i="1"/>
  <c r="D191" i="1"/>
  <c r="D13" i="6"/>
  <c r="D14" i="6"/>
  <c r="D11" i="6"/>
  <c r="D12" i="6"/>
  <c r="E199" i="1"/>
  <c r="D23" i="4"/>
  <c r="D20" i="4"/>
  <c r="F199" i="1"/>
  <c r="E23" i="4"/>
  <c r="E20" i="4"/>
  <c r="E13" i="13"/>
  <c r="F13" i="13"/>
  <c r="D20" i="13"/>
  <c r="E18" i="13"/>
  <c r="I18" i="13"/>
  <c r="D104" i="5"/>
  <c r="G104" i="5"/>
  <c r="E14" i="13"/>
  <c r="C30" i="6"/>
  <c r="E19" i="13"/>
  <c r="F19" i="13"/>
  <c r="E17" i="13"/>
  <c r="F17" i="13"/>
  <c r="E16" i="13"/>
  <c r="C19" i="6"/>
  <c r="E15" i="13"/>
  <c r="F15" i="13"/>
  <c r="G190" i="1"/>
  <c r="G191" i="1"/>
  <c r="I202" i="1"/>
  <c r="D197" i="1"/>
  <c r="D196" i="1"/>
  <c r="D198" i="1"/>
  <c r="C8" i="6"/>
  <c r="H18" i="13"/>
  <c r="D102" i="5"/>
  <c r="G102" i="5"/>
  <c r="F18" i="13"/>
  <c r="D98" i="5"/>
  <c r="G98" i="5"/>
  <c r="G18" i="13"/>
  <c r="D100" i="5"/>
  <c r="G100" i="5"/>
  <c r="G19" i="13"/>
  <c r="D111" i="5"/>
  <c r="I19" i="13"/>
  <c r="D115" i="5"/>
  <c r="H19" i="13"/>
  <c r="D113" i="5"/>
  <c r="D109" i="5"/>
  <c r="G12" i="13"/>
  <c r="D10" i="5"/>
  <c r="G10" i="5"/>
  <c r="H12" i="13"/>
  <c r="D12" i="5"/>
  <c r="G12" i="5"/>
  <c r="I12" i="13"/>
  <c r="D14" i="5"/>
  <c r="G14" i="5"/>
  <c r="H13" i="13"/>
  <c r="D23" i="5"/>
  <c r="G23" i="5"/>
  <c r="G13" i="13"/>
  <c r="D21" i="5"/>
  <c r="G21" i="5"/>
  <c r="D19" i="5"/>
  <c r="I13" i="13"/>
  <c r="D25" i="5"/>
  <c r="G25" i="5"/>
  <c r="I16" i="13"/>
  <c r="D81" i="5"/>
  <c r="G81" i="5"/>
  <c r="H16" i="13"/>
  <c r="D79" i="5"/>
  <c r="G79" i="5"/>
  <c r="G16" i="13"/>
  <c r="D77" i="5"/>
  <c r="G77" i="5"/>
  <c r="F16" i="13"/>
  <c r="D75" i="5"/>
  <c r="I15" i="13"/>
  <c r="D70" i="5"/>
  <c r="G70" i="5"/>
  <c r="G15" i="13"/>
  <c r="D66" i="5"/>
  <c r="G66" i="5"/>
  <c r="H15" i="13"/>
  <c r="D68" i="5"/>
  <c r="G68" i="5"/>
  <c r="D64" i="5"/>
  <c r="G17" i="13"/>
  <c r="D88" i="5"/>
  <c r="G88" i="5"/>
  <c r="H17" i="13"/>
  <c r="D90" i="5"/>
  <c r="G90" i="5"/>
  <c r="I17" i="13"/>
  <c r="D92" i="5"/>
  <c r="G92" i="5"/>
  <c r="D86" i="5"/>
  <c r="I14" i="13"/>
  <c r="D59" i="5"/>
  <c r="G59" i="5"/>
  <c r="G14" i="13"/>
  <c r="D55" i="5"/>
  <c r="G55" i="5"/>
  <c r="F14" i="13"/>
  <c r="D53" i="5"/>
  <c r="H14" i="13"/>
  <c r="D57" i="5"/>
  <c r="G57" i="5"/>
  <c r="D205" i="1"/>
  <c r="D202" i="1"/>
  <c r="G197" i="1"/>
  <c r="F21" i="4"/>
  <c r="C21" i="4"/>
  <c r="C20" i="4"/>
  <c r="G196" i="1"/>
  <c r="D199" i="1"/>
  <c r="C23" i="4"/>
  <c r="C22" i="4"/>
  <c r="G198" i="1"/>
  <c r="F22" i="4"/>
  <c r="D105" i="5"/>
  <c r="G105" i="5"/>
  <c r="D116" i="5"/>
  <c r="G116" i="5"/>
  <c r="G109" i="5"/>
  <c r="D198" i="5"/>
  <c r="G19" i="5"/>
  <c r="D26" i="5"/>
  <c r="G26" i="5"/>
  <c r="G113" i="5"/>
  <c r="D202" i="5"/>
  <c r="D93" i="5"/>
  <c r="G93" i="5"/>
  <c r="G86" i="5"/>
  <c r="D71" i="5"/>
  <c r="G71" i="5"/>
  <c r="G64" i="5"/>
  <c r="D82" i="5"/>
  <c r="G82" i="5"/>
  <c r="G75" i="5"/>
  <c r="D15" i="5"/>
  <c r="G15" i="5"/>
  <c r="G8" i="5"/>
  <c r="G115" i="5"/>
  <c r="D204" i="5"/>
  <c r="D60" i="5"/>
  <c r="G60" i="5"/>
  <c r="G53" i="5"/>
  <c r="G111" i="5"/>
  <c r="D200" i="5"/>
  <c r="F20" i="4"/>
  <c r="G199" i="1"/>
  <c r="F23" i="4"/>
  <c r="C11" i="4"/>
  <c r="F11" i="4"/>
  <c r="G202" i="5"/>
  <c r="G198" i="5"/>
  <c r="C7" i="4"/>
  <c r="D205" i="5"/>
  <c r="G200" i="5"/>
  <c r="C9" i="4"/>
  <c r="F9" i="4"/>
  <c r="C13" i="4"/>
  <c r="F13" i="4"/>
  <c r="G204" i="5"/>
  <c r="F7" i="4"/>
  <c r="C14" i="4"/>
  <c r="G205" i="5"/>
  <c r="G206" i="5"/>
  <c r="G207" i="5"/>
  <c r="D206" i="5"/>
  <c r="D207" i="5"/>
  <c r="C15" i="4"/>
  <c r="C16" i="4"/>
  <c r="F14" i="4"/>
  <c r="F15" i="4"/>
  <c r="F16" i="4"/>
  <c r="K126" i="10"/>
  <c r="K57" i="10"/>
  <c r="K175" i="10"/>
  <c r="K188" i="10"/>
  <c r="H138" i="10"/>
  <c r="M126" i="10"/>
  <c r="M57" i="10"/>
  <c r="M175" i="10"/>
  <c r="K179" i="10"/>
  <c r="K176" i="10"/>
  <c r="K177" i="10"/>
  <c r="M178" i="10"/>
  <c r="M177" i="10"/>
  <c r="H2" i="10"/>
  <c r="M4" i="10"/>
  <c r="M2" i="10"/>
  <c r="K189" i="10"/>
</calcChain>
</file>

<file path=xl/sharedStrings.xml><?xml version="1.0" encoding="utf-8"?>
<sst xmlns="http://schemas.openxmlformats.org/spreadsheetml/2006/main" count="1847" uniqueCount="939">
  <si>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</si>
  <si>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</si>
  <si>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</si>
  <si>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</si>
  <si>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</si>
  <si>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</si>
  <si>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</si>
  <si>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</si>
  <si>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</si>
  <si>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</si>
  <si>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</si>
  <si>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</si>
  <si>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</si>
  <si>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</si>
  <si>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</si>
  <si>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</si>
  <si>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</si>
  <si>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</si>
  <si>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</si>
  <si>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</si>
  <si>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</si>
  <si>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</si>
  <si>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</si>
  <si>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</si>
  <si>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</si>
  <si>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</si>
  <si>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</si>
  <si>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</si>
  <si>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</si>
  <si>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</si>
  <si>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</si>
  <si>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</si>
  <si>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</si>
  <si>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</si>
  <si>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</si>
  <si>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</si>
  <si>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</si>
  <si>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</si>
  <si>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</si>
  <si>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</si>
  <si>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</si>
  <si>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</si>
  <si>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</si>
  <si>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</si>
  <si>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</si>
  <si>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</si>
  <si>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</si>
  <si>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</si>
  <si>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</si>
  <si>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</si>
  <si>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</si>
  <si>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</si>
  <si>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</si>
  <si>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</si>
  <si>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</si>
  <si>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</si>
  <si>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</si>
  <si>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</si>
  <si>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</si>
  <si>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</si>
  <si>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</si>
  <si>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</si>
  <si>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</si>
  <si>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</si>
  <si>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</si>
  <si>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</si>
  <si>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</si>
  <si>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</si>
  <si>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</si>
  <si>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</si>
  <si>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</si>
  <si>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</si>
  <si>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</si>
  <si>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</si>
  <si>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</si>
  <si>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</si>
  <si>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</si>
  <si>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</si>
  <si>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</si>
  <si>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</si>
  <si>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</si>
  <si>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</si>
  <si>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</si>
  <si>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</si>
  <si>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</si>
  <si>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</si>
  <si>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</si>
  <si>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</si>
  <si>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</si>
  <si>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</si>
  <si>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</si>
  <si>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</si>
  <si>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</si>
  <si>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</si>
  <si>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</si>
  <si>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</si>
  <si>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</si>
  <si>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</si>
  <si>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</si>
  <si>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</si>
  <si>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</si>
  <si>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</si>
  <si>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</si>
  <si>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</si>
  <si>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</si>
  <si>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</si>
  <si>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</si>
  <si>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</si>
  <si>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</si>
  <si>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</si>
  <si>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</si>
  <si>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</si>
  <si>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</si>
  <si>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</si>
  <si>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</si>
  <si>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</si>
  <si>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</si>
  <si>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</si>
  <si>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</si>
  <si>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</si>
  <si>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</si>
  <si>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</si>
  <si>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</si>
  <si>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</si>
  <si>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</si>
  <si>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</si>
  <si>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</si>
  <si>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</si>
  <si>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</si>
  <si>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</si>
  <si>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</si>
  <si>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</si>
  <si>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</si>
  <si>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</si>
  <si>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</si>
  <si>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</si>
  <si>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</si>
  <si>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</si>
  <si>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</si>
  <si>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</si>
  <si>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</si>
  <si>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</si>
  <si>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</si>
  <si>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</si>
  <si>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</si>
  <si>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</si>
  <si>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</si>
  <si>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</si>
  <si>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</si>
  <si>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</si>
  <si>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</si>
  <si>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</si>
  <si>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</si>
  <si>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</si>
  <si>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</si>
  <si>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</si>
  <si>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</si>
  <si>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</si>
  <si>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</si>
  <si>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</si>
  <si>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</si>
  <si>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</si>
  <si>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</si>
  <si>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</si>
  <si>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</si>
  <si>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</si>
  <si>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</si>
  <si>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</si>
  <si>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</si>
  <si>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</si>
  <si>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</si>
  <si>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</si>
  <si>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</si>
  <si>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</si>
  <si>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</si>
  <si>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</si>
  <si>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</si>
  <si>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</si>
  <si>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</si>
  <si>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</si>
  <si>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</si>
  <si>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</si>
  <si>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</si>
  <si>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</si>
  <si>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</si>
  <si>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</si>
  <si>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</si>
  <si>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</si>
  <si>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</si>
  <si>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</si>
  <si>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</si>
  <si>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</si>
  <si>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</si>
  <si>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</si>
  <si>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</si>
  <si>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</si>
  <si>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</si>
  <si>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</si>
  <si>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</si>
  <si>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</si>
  <si>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</si>
  <si>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</si>
  <si>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</si>
  <si>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</si>
  <si>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</si>
  <si>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</si>
  <si>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</si>
  <si>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</si>
  <si>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</si>
  <si>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</si>
  <si>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</si>
  <si>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</si>
  <si>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</si>
  <si>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</si>
  <si>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</si>
  <si>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</si>
  <si>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</si>
  <si>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</si>
  <si>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</si>
  <si>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</si>
  <si>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</si>
  <si>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</si>
  <si>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</si>
  <si>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</si>
  <si>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</si>
  <si>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</si>
  <si>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</si>
  <si>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</si>
  <si>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</si>
  <si>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</si>
  <si>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</si>
  <si>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</si>
  <si>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</si>
  <si>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</si>
  <si>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</si>
  <si>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</si>
  <si>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</si>
  <si>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</si>
  <si>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</si>
  <si>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</si>
  <si>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</si>
  <si>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</si>
  <si>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</si>
  <si>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</si>
  <si>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</si>
  <si>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</si>
  <si>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</si>
  <si>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</si>
  <si>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</si>
  <si>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</si>
  <si>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</si>
  <si>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</si>
  <si>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</si>
  <si>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</si>
  <si>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</si>
  <si>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</si>
  <si>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</si>
  <si>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</si>
  <si>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</si>
  <si>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</si>
  <si>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</si>
  <si>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</si>
  <si>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</si>
  <si>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</si>
  <si>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</si>
  <si>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</si>
  <si>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</si>
  <si>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</si>
  <si>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</si>
  <si>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</si>
  <si>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</si>
  <si>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</si>
  <si>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</si>
  <si>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</si>
  <si>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</si>
  <si>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</si>
  <si>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</si>
  <si>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</si>
  <si>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</si>
  <si>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</si>
  <si>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</si>
  <si>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</si>
  <si>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</si>
  <si>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</si>
  <si>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</si>
  <si>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</si>
  <si>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</si>
  <si>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</si>
  <si>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</si>
  <si>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</si>
  <si>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</si>
  <si>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</si>
  <si>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</si>
  <si>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</si>
  <si>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</si>
  <si>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</si>
  <si>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</si>
  <si>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</si>
  <si>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</si>
  <si>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</si>
  <si>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</si>
  <si>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</si>
  <si>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</si>
  <si>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</si>
  <si>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</si>
  <si>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</si>
  <si>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</si>
  <si>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</si>
  <si>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</si>
  <si>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</si>
  <si>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</si>
  <si>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</si>
  <si>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</si>
  <si>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</si>
  <si>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</si>
  <si>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</si>
  <si>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</si>
  <si>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</si>
  <si>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</si>
  <si>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</si>
  <si>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</si>
  <si>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</si>
  <si>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</si>
  <si>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</si>
  <si>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</si>
  <si>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</si>
  <si>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</si>
  <si>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</si>
  <si>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</si>
  <si>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</si>
  <si>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</si>
  <si>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</si>
  <si>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</si>
  <si>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</si>
  <si>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</si>
  <si>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</si>
  <si>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</si>
  <si>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</si>
  <si>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</si>
  <si>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</si>
  <si>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</si>
  <si>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</si>
  <si>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</si>
  <si>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</si>
  <si>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</si>
  <si>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</si>
  <si>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</si>
  <si>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</si>
  <si>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</si>
  <si>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</si>
  <si>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</si>
  <si>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</si>
  <si>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</si>
  <si>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</si>
  <si>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</si>
  <si>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</si>
  <si>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</si>
  <si>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</si>
  <si>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</si>
  <si>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</si>
  <si>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</si>
  <si>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</si>
  <si>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</si>
  <si>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</si>
  <si>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</si>
  <si>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</si>
  <si>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</si>
  <si>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</si>
  <si>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</si>
  <si>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</si>
  <si>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</si>
  <si>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</si>
  <si>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</si>
  <si>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</si>
  <si>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</si>
  <si>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</si>
  <si>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</si>
  <si>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</si>
  <si>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</si>
  <si>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</si>
  <si>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</si>
  <si>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</si>
  <si>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</si>
  <si>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</si>
  <si>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</si>
  <si>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</si>
  <si>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</si>
  <si>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</si>
  <si>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</si>
  <si>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</si>
  <si>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</si>
  <si>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</si>
  <si>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</si>
  <si>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</si>
  <si>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</si>
  <si>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</si>
  <si>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</si>
  <si>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</si>
  <si>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</si>
  <si>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</si>
  <si>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</si>
  <si>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</si>
  <si>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</si>
  <si>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</si>
  <si>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</si>
  <si>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</si>
  <si>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</si>
  <si>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</si>
  <si>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</si>
  <si>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</si>
  <si>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</si>
  <si>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</si>
  <si>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</si>
  <si>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</si>
  <si>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</si>
  <si>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</si>
  <si>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</si>
  <si>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</si>
  <si>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</si>
  <si>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</si>
  <si>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</si>
  <si>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</si>
  <si>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</si>
  <si>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</si>
  <si>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</si>
  <si>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</si>
  <si>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</si>
  <si>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</si>
  <si>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</si>
  <si>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</si>
  <si>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</si>
  <si>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</si>
  <si>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</si>
  <si>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</si>
  <si>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</si>
  <si>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</si>
  <si>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</si>
  <si>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</si>
  <si>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</si>
  <si>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</si>
  <si>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</si>
  <si>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</si>
  <si>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</si>
  <si>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</si>
  <si>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</si>
  <si>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</si>
  <si>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</si>
  <si>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</si>
  <si>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</si>
  <si>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</si>
  <si>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</si>
  <si>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</si>
  <si>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</si>
  <si>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</si>
  <si>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</si>
  <si>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</si>
  <si>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</si>
  <si>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</si>
  <si>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</si>
  <si>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</si>
  <si>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</si>
  <si>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</si>
  <si>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</si>
  <si>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</si>
  <si>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</si>
  <si>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</si>
  <si>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</si>
  <si>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</si>
  <si>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</si>
  <si>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</si>
  <si>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</si>
  <si>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</si>
  <si>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</si>
  <si>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</si>
  <si>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</si>
  <si>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</si>
  <si>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</si>
  <si>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</si>
  <si>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</si>
  <si>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</si>
  <si>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</si>
  <si>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</si>
  <si>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</si>
  <si>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</si>
  <si>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</si>
  <si>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</si>
  <si>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</si>
  <si>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</si>
  <si>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</si>
  <si>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</si>
  <si>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</si>
  <si>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</si>
  <si>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</si>
  <si>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</si>
  <si>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</si>
  <si>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</si>
  <si>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</si>
  <si>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</si>
  <si>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</si>
  <si>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</si>
  <si>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</si>
  <si>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</si>
  <si>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</si>
  <si>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</si>
  <si>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</si>
  <si>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</si>
  <si>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</si>
  <si>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</si>
  <si>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</si>
  <si>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</si>
  <si>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</si>
  <si>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</si>
  <si>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</si>
  <si>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</si>
  <si>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</si>
  <si>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</si>
  <si>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</si>
  <si>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</si>
  <si>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</si>
  <si>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</si>
  <si>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</si>
  <si>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</si>
  <si>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</si>
  <si>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</si>
  <si>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</si>
  <si>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</si>
  <si>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</si>
  <si>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</si>
  <si>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</si>
  <si>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</si>
  <si>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</si>
  <si>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</si>
  <si>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</si>
  <si>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</si>
  <si>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</si>
  <si>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</si>
  <si>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</si>
  <si>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</si>
  <si>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</si>
  <si>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</si>
  <si>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</si>
  <si>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</si>
  <si>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</si>
  <si>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</si>
  <si>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</si>
  <si>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</si>
  <si>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</si>
  <si>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</si>
  <si>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</si>
  <si>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</si>
  <si>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</si>
  <si>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</si>
  <si>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</si>
  <si>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</si>
  <si>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</si>
  <si>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</si>
  <si>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</si>
  <si>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</si>
  <si>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</si>
  <si>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</si>
  <si>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</si>
  <si>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</si>
  <si>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</si>
  <si>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</si>
  <si>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</si>
  <si>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</si>
  <si>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</si>
  <si>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</si>
  <si>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</si>
  <si>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</si>
  <si>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</si>
  <si>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</si>
  <si>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</si>
  <si>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</si>
  <si>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</si>
  <si>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</si>
  <si>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</si>
  <si>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</si>
  <si>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</si>
  <si>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</si>
  <si>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</si>
  <si>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</si>
  <si>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</si>
  <si>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</si>
  <si>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</si>
  <si>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</si>
  <si>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</si>
  <si>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</si>
  <si>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</si>
  <si>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</si>
  <si>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</si>
  <si>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</si>
  <si>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</si>
  <si>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</si>
  <si>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TOT</t>
  </si>
  <si>
    <t>Bailleur : PBF</t>
  </si>
  <si>
    <t>% support</t>
  </si>
  <si>
    <t>% Staff</t>
  </si>
  <si>
    <t>Taux USD/HTG</t>
  </si>
  <si>
    <t>Date de debut de projet : 01/01/2022 - 30/06/2023</t>
  </si>
  <si>
    <t>Duree du projet : 18 mois</t>
  </si>
  <si>
    <t>%M&amp;E</t>
  </si>
  <si>
    <t>Mapping</t>
  </si>
  <si>
    <t>Cost Category</t>
  </si>
  <si>
    <t>Unit Quantity</t>
  </si>
  <si>
    <t xml:space="preserve">Unit of Measure </t>
  </si>
  <si>
    <t>Unit price</t>
  </si>
  <si>
    <t>Duration</t>
  </si>
  <si>
    <t>Currency</t>
  </si>
  <si>
    <t>Total Budget USD</t>
  </si>
  <si>
    <t>Concern</t>
  </si>
  <si>
    <t>CMPC</t>
  </si>
  <si>
    <t>Fondation IDEO</t>
  </si>
  <si>
    <t>Other local org</t>
  </si>
  <si>
    <t>NEGES MAWON</t>
  </si>
  <si>
    <t>STAFF COSTS</t>
  </si>
  <si>
    <t>International Support Staff Costs</t>
  </si>
  <si>
    <t>0270 - 0285</t>
  </si>
  <si>
    <t>Country Director</t>
  </si>
  <si>
    <t>Months</t>
  </si>
  <si>
    <t>USD</t>
  </si>
  <si>
    <t xml:space="preserve">Program Director </t>
  </si>
  <si>
    <t>System Director</t>
  </si>
  <si>
    <t>Country Financial Controller</t>
  </si>
  <si>
    <t>Urban Coordinator</t>
  </si>
  <si>
    <t>International Program Staff Costs</t>
  </si>
  <si>
    <t>0270-0280-0285</t>
  </si>
  <si>
    <t>Project Manager</t>
  </si>
  <si>
    <t>National Support Staff Costs</t>
  </si>
  <si>
    <t>Responsable financier</t>
  </si>
  <si>
    <t>Responsable logistique</t>
  </si>
  <si>
    <t>Administrative assistant</t>
  </si>
  <si>
    <t>Chauffeur</t>
  </si>
  <si>
    <t>Gestionnaire administrative</t>
  </si>
  <si>
    <t xml:space="preserve">Charge operationnel et log </t>
  </si>
  <si>
    <t>0200</t>
  </si>
  <si>
    <t>Officier de partenariat et protection</t>
  </si>
  <si>
    <t>HR/Admin Manager</t>
  </si>
  <si>
    <t>0202</t>
  </si>
  <si>
    <t>HR/Admin Officer</t>
  </si>
  <si>
    <t xml:space="preserve">Logistics &amp; Transport Officer </t>
  </si>
  <si>
    <t>0201</t>
  </si>
  <si>
    <t>Procurement Officer</t>
  </si>
  <si>
    <t>Assistant CFC</t>
  </si>
  <si>
    <t>Senior Finance Officer</t>
  </si>
  <si>
    <t>Senior Finance Officer &amp; Partnership</t>
  </si>
  <si>
    <t>Finance Assistant</t>
  </si>
  <si>
    <t>IT Manager</t>
  </si>
  <si>
    <t>Base Manager (Duvivier office)</t>
  </si>
  <si>
    <t>National Program Staff Costs</t>
  </si>
  <si>
    <t xml:space="preserve"> Coordinateur </t>
  </si>
  <si>
    <t xml:space="preserve"> Assistant Coordonnateur </t>
  </si>
  <si>
    <t xml:space="preserve"> Agent de liason communataire </t>
  </si>
  <si>
    <t>Charge de projet</t>
  </si>
  <si>
    <t>Superviseuse Marraines</t>
  </si>
  <si>
    <t>M&amp;E Manager</t>
  </si>
  <si>
    <t>M&amp;E Assistant (2)</t>
  </si>
  <si>
    <t>Database Assistant</t>
  </si>
  <si>
    <t>Officier de Projet</t>
  </si>
  <si>
    <t>Technicien(ne) * 2</t>
  </si>
  <si>
    <t>Agent de liason communataire - Saint Martin (2)</t>
  </si>
  <si>
    <t>Agent de liason communautaire - La Saline (2)</t>
  </si>
  <si>
    <t>Technicien VSLA</t>
  </si>
  <si>
    <t>CONSULTANCY</t>
  </si>
  <si>
    <t>External Evaluator</t>
  </si>
  <si>
    <t>person</t>
  </si>
  <si>
    <t>unit</t>
  </si>
  <si>
    <t>EQUIPMENT (less than 5k)</t>
  </si>
  <si>
    <t xml:space="preserve"> Laptop </t>
  </si>
  <si>
    <t>Unit</t>
  </si>
  <si>
    <t xml:space="preserve"> Imprimante </t>
  </si>
  <si>
    <t>Laptops</t>
  </si>
  <si>
    <t>Tablets</t>
  </si>
  <si>
    <t>PROGRAM COSTS</t>
  </si>
  <si>
    <t>Résultat 1</t>
  </si>
  <si>
    <t>Prise en charge de traitement de troubles de stress post traumatique et des traumatismes</t>
  </si>
  <si>
    <t>A 1.1. 1 Seances individuelles (250 personnes environ)</t>
  </si>
  <si>
    <t>0403</t>
  </si>
  <si>
    <t>A 1.1.1 Frais de transport</t>
  </si>
  <si>
    <t>Lump Sum</t>
  </si>
  <si>
    <t>Prise en charge psychosociale de groupe / 2000 participants - 50 groupes avec 40 personnes / 6 heures</t>
  </si>
  <si>
    <t>A. 1.1. 2Collation,  eau</t>
  </si>
  <si>
    <t>A 1.1.2 Impression documents</t>
  </si>
  <si>
    <t>A 1.1.2 Materiels (crayon, papier, flipchart, marker)</t>
  </si>
  <si>
    <t>A 1.1.2 Animateur</t>
  </si>
  <si>
    <t>A 1.1.2 Assistant animateur</t>
  </si>
  <si>
    <t>A 1.1.2 Supervision</t>
  </si>
  <si>
    <t>A.1.1.2 Location espace</t>
  </si>
  <si>
    <t>A 1.1.3 NEGES MAWON - Marraines</t>
  </si>
  <si>
    <t>accompagnateur</t>
  </si>
  <si>
    <t>A 1.1.3 NEGES MAWON - Marraines Transport</t>
  </si>
  <si>
    <t>Lumpsum</t>
  </si>
  <si>
    <t>A 1.1.3 NEGES MAWON - Marraines Communication</t>
  </si>
  <si>
    <t>A. 1.1.3  Gender Advisor</t>
  </si>
  <si>
    <t>Person</t>
  </si>
  <si>
    <t xml:space="preserve">Produit 1.2 </t>
  </si>
  <si>
    <t>Formation de Formateurs en psychosocial 23 personnes-(3 superviseurs et 20 psychologues /12 jours</t>
  </si>
  <si>
    <t>A 1.2.1 Collation, repas et eau</t>
  </si>
  <si>
    <t>A 1.2.1 Impression documents</t>
  </si>
  <si>
    <t>A 1.2.1 Materiels (crayon, papier, flipchart, marker)</t>
  </si>
  <si>
    <t>A 1.2.1 Animateur</t>
  </si>
  <si>
    <t>A 1.2.1 Developpement materiel</t>
  </si>
  <si>
    <t>A 1.2.1 Location espace</t>
  </si>
  <si>
    <t>Formation en psychosocial 80 participants/4 groupes de vingts /5 jours</t>
  </si>
  <si>
    <t>A 1.2.2 Collation, repas et eau</t>
  </si>
  <si>
    <t>A 1.2.2 Impression documents</t>
  </si>
  <si>
    <t>A 1.2.2 Materiels (crayon, papier, flipchart, marker)</t>
  </si>
  <si>
    <t>A 1.2.2 Animateur</t>
  </si>
  <si>
    <t>A 1.2.2 Supervision</t>
  </si>
  <si>
    <t>A 1.2.2 Location espace</t>
  </si>
  <si>
    <t>0404</t>
  </si>
  <si>
    <t>A 1.2.3 Activités socio-relationnelles</t>
  </si>
  <si>
    <t>A 1.2.4 Mise à jour de la feuille de route de protection</t>
  </si>
  <si>
    <t xml:space="preserve">A. 1.2.5 Technical support </t>
  </si>
  <si>
    <t>A. 1.2.5 Referencement</t>
  </si>
  <si>
    <t>A 1.2.6 Analyse de structures et traditions locales</t>
  </si>
  <si>
    <t>Résultat 2</t>
  </si>
  <si>
    <t xml:space="preserve">Produit 2.1 </t>
  </si>
  <si>
    <t>A 2.1.1 Mise à jour de l'analyse de conflit</t>
  </si>
  <si>
    <t>Facilitation des Séances de médiation communautaire / 6 sceance de 10 personnes</t>
  </si>
  <si>
    <t>A 2.1.2 Collation et eau</t>
  </si>
  <si>
    <t>A 2.1.2 Impression documents</t>
  </si>
  <si>
    <t>A 2.1.2 Materiels (crayon, papier, flipchart, marker)</t>
  </si>
  <si>
    <t>A 2.1.2 Mediateur</t>
  </si>
  <si>
    <t>A 2.1.2 Location salle</t>
  </si>
  <si>
    <t>A 2.1.2 Conflict/humanitarian advisor</t>
  </si>
  <si>
    <t>0405</t>
  </si>
  <si>
    <t>Formation de Médiatrices pour la Paix / 4 groupe de 20 personnes / 12 jours</t>
  </si>
  <si>
    <t>A 2.2.1 Collation et eau et repas</t>
  </si>
  <si>
    <t>A 2.2.1 Impression documents</t>
  </si>
  <si>
    <t>A 2.2.1 Materiels (crayon, papier, flipchart, marker)</t>
  </si>
  <si>
    <t>A 2.2.1 Animateur</t>
  </si>
  <si>
    <t>A 2.2.1 Location salle</t>
  </si>
  <si>
    <t xml:space="preserve">Produit 2.3 </t>
  </si>
  <si>
    <t>Accompagnement médiatrices de la paix</t>
  </si>
  <si>
    <t>A 2.3.1  Suivi et supervision</t>
  </si>
  <si>
    <t>A 2.3.2 Sélection de OCB</t>
  </si>
  <si>
    <t>A 2.3.2 Facilitateurs(trices) (15)</t>
  </si>
  <si>
    <t>Produit 2. 4</t>
  </si>
  <si>
    <t>A 2.4.1 VSLA - AEC</t>
  </si>
  <si>
    <t>A 2.4.1 VSLA - AEC collation-eau</t>
  </si>
  <si>
    <t>Résultat 3</t>
  </si>
  <si>
    <t xml:space="preserve">Produit 3.1 </t>
  </si>
  <si>
    <t>Publications (articles, videos,…) / Plaidoyer / Activites culturelles</t>
  </si>
  <si>
    <t>A 3.1.1 Publication</t>
  </si>
  <si>
    <t>A 3.1.2 NEGES MAWON - Soutien à la réalisation du film documentaire "LES ETOILES SUR VOS TOMBES"</t>
  </si>
  <si>
    <t>A 3.1.3 NEGES MAWON - Responsable d'animation ou de formation (Culture / Création)</t>
  </si>
  <si>
    <t>A 3.1.3 A NEGES MAWON - Photographe</t>
  </si>
  <si>
    <t>A 3.1.4 Formation MCFDF / MJSAC</t>
  </si>
  <si>
    <t>A 3.1.5 Consultation Technique Redevabilité Sociale</t>
  </si>
  <si>
    <t>A 3.1.5 Sessions de travail redevabilité sociale / citoyenneté de paix</t>
  </si>
  <si>
    <t>A 3.1.5 Location Espace Redevabilite Sociale</t>
  </si>
  <si>
    <t xml:space="preserve">Produit 3.2 </t>
  </si>
  <si>
    <t xml:space="preserve">A 3.2.1 Capitalisation </t>
  </si>
  <si>
    <t>OTHER PROGRAM COSTS</t>
  </si>
  <si>
    <t>MONITORING AND EVALUATION</t>
  </si>
  <si>
    <t>DDG licences</t>
  </si>
  <si>
    <t>lumpsum</t>
  </si>
  <si>
    <t>EUR</t>
  </si>
  <si>
    <t>AUDIT</t>
  </si>
  <si>
    <t>0402</t>
  </si>
  <si>
    <t>Audit</t>
  </si>
  <si>
    <t>Direct Support Program Costs</t>
  </si>
  <si>
    <t>Rental car programme</t>
  </si>
  <si>
    <t>Month</t>
  </si>
  <si>
    <t>Communication</t>
  </si>
  <si>
    <t>0400</t>
  </si>
  <si>
    <t>Réunion Kick-Off</t>
  </si>
  <si>
    <t>Visibilité</t>
  </si>
  <si>
    <t>0401</t>
  </si>
  <si>
    <t xml:space="preserve">Communication costs </t>
  </si>
  <si>
    <t xml:space="preserve">OFFICE(S) EXPENSES </t>
  </si>
  <si>
    <t>ADMINISTRATION</t>
  </si>
  <si>
    <t>Location de bureau</t>
  </si>
  <si>
    <t>Maintenance et petits travaux</t>
  </si>
  <si>
    <t>Frais administratif divers</t>
  </si>
  <si>
    <t>Admin staff salary &amp; benefits</t>
  </si>
  <si>
    <t>Legal &amp; Professional Fees</t>
  </si>
  <si>
    <t>Office Expenses &amp; Running costs</t>
  </si>
  <si>
    <t>TRANSPORTATION</t>
  </si>
  <si>
    <t xml:space="preserve"> Carburant </t>
  </si>
  <si>
    <t>Location de voiture / frais divers vehicules</t>
  </si>
  <si>
    <t xml:space="preserve">Transport Running costs (vehicles) </t>
  </si>
  <si>
    <t xml:space="preserve">Transport Repairs &amp; Maintenance (vehicles) </t>
  </si>
  <si>
    <t>Transport Other Cost</t>
  </si>
  <si>
    <t>TOTAL DIRECTS COSTS</t>
  </si>
  <si>
    <t>HQ costs</t>
  </si>
  <si>
    <t>TOTAL COSTS</t>
  </si>
  <si>
    <t>1.1.1 Prise en charge de traitement de troubles de stress post traumatique et des traumatismes</t>
  </si>
  <si>
    <t>1.1.2 Prise en charge psychosociale de groupe / 2000 participants - 50 groupes avec 40 personnes / 6 heures</t>
  </si>
  <si>
    <t>1.1.1</t>
  </si>
  <si>
    <t>1.1.2</t>
  </si>
  <si>
    <t>1.1.3</t>
  </si>
  <si>
    <t>1.2.1</t>
  </si>
  <si>
    <t>1.2.2</t>
  </si>
  <si>
    <t>1.2.3</t>
  </si>
  <si>
    <t>1.2.4</t>
  </si>
  <si>
    <t>1.2.5</t>
  </si>
  <si>
    <t>1.2.6</t>
  </si>
  <si>
    <t>2.1.1</t>
  </si>
  <si>
    <t>2.1.2</t>
  </si>
  <si>
    <t>2.2.1</t>
  </si>
  <si>
    <t>2.3.1</t>
  </si>
  <si>
    <t>2.3.2</t>
  </si>
  <si>
    <t>2.3.3</t>
  </si>
  <si>
    <t>2.3.4</t>
  </si>
  <si>
    <t>2.3.5</t>
  </si>
  <si>
    <t>2.4.1</t>
  </si>
  <si>
    <t>3.1.1</t>
  </si>
  <si>
    <t>3.1.2</t>
  </si>
  <si>
    <t>3.1.3</t>
  </si>
  <si>
    <t>3.1.4</t>
  </si>
  <si>
    <t>3.1.5</t>
  </si>
  <si>
    <t>3.1.6</t>
  </si>
  <si>
    <t>3.1.7</t>
  </si>
  <si>
    <t>3.1.8</t>
  </si>
  <si>
    <t>3.2.1</t>
  </si>
  <si>
    <t>Row Labels</t>
  </si>
  <si>
    <t>Grand Total</t>
  </si>
  <si>
    <t>Sum of Total Budget USD</t>
  </si>
  <si>
    <t>1.2.1 Formation de Formateurs en psychosocial 23 personnes-(3 superviseurs et 20 psychologues /12 jours</t>
  </si>
  <si>
    <t>1.2.2 Formation en psychosocial 80 participants/4 groupes de vingts /5 jours</t>
  </si>
  <si>
    <t>1.2.5 Technical support et referencement</t>
  </si>
  <si>
    <t>1.2.6 Analyse de structures et traditions locales</t>
  </si>
  <si>
    <t>2.1.1 Mise à jour de l'analyse de conflit</t>
  </si>
  <si>
    <t>2.1.2 Facilitation des Séances de médiation communautaire / 6 sceance de 10 personnes</t>
  </si>
  <si>
    <t>2.2.1 Formation de Médiatrices pour la Paix / 4 groupe de 20 personnes / 12 jours</t>
  </si>
  <si>
    <t>2.4.1 VSLA - AEC</t>
  </si>
  <si>
    <t>2.3.6</t>
  </si>
  <si>
    <t>2.3.6 ToT Masculinité Positive</t>
  </si>
  <si>
    <t>2.3.7 Sessions de travail masculinité positive</t>
  </si>
  <si>
    <t>A 3.1.5 Initiatives de Redevabilité Social</t>
  </si>
  <si>
    <t>A 3.1.6 Consultations aux femmes sur les priorités pour la consolidation de la paix</t>
  </si>
  <si>
    <t>3.1.7 Dialogues avec le secteur politique</t>
  </si>
  <si>
    <t>3.1.8 Forum de Femmes, Consolidation de La Paix et Sante Mentale</t>
  </si>
  <si>
    <t>3.1.1 Publication</t>
  </si>
  <si>
    <t>3.1.4 Formation MCFDF / MJSAC</t>
  </si>
  <si>
    <t>3.1.2 Soutien à la réalisation du film documentaire "LES ETOILES SUR VOS TOMBES"</t>
  </si>
  <si>
    <t>3.1.3 Animation et formation (Culture / Création) / Photographie</t>
  </si>
  <si>
    <t>3.1.5 Redevabilite sociale</t>
  </si>
  <si>
    <t>3.1.6 Consultations aux femmes sur les priorités pour la consolidation de la paix</t>
  </si>
  <si>
    <t>Personnel national et expatrié de l'organisation Concern Worldwide</t>
  </si>
  <si>
    <t>Depenses de transport et d'administration pour l'organisation Concern Worldwide</t>
  </si>
  <si>
    <t>Budget Monitoring and evaluation incluant personnel, licence, materiel et formations</t>
  </si>
  <si>
    <t>Evaluateur Final / Audit independent</t>
  </si>
  <si>
    <t>A 3.2.1 Comités Consultatifs</t>
  </si>
  <si>
    <t>A 3.2.1 Renforcement CCJ / CCF</t>
  </si>
  <si>
    <t>TBSPLIT</t>
  </si>
  <si>
    <t>Tableau budgetaire 1</t>
  </si>
  <si>
    <t>Tableau budgetaire 2</t>
  </si>
  <si>
    <t>A 2.3.2 Renforcement OCB / GJ</t>
  </si>
  <si>
    <t>A 2.3.4 Co-Financement - Initiatives de médiation</t>
  </si>
  <si>
    <t>A 2.3.5 ToT Masculinité Positive</t>
  </si>
  <si>
    <t>A 2.3.6 Sessions de travail masculinité positive</t>
  </si>
  <si>
    <t>A 2.3.3 Co-Financement - Documentation du conflit</t>
  </si>
  <si>
    <t>2.3.1 Suivi et supervision</t>
  </si>
  <si>
    <t>2.3.2 Selection/Renforcement/Supervision</t>
  </si>
  <si>
    <t>2.3.3 Co-Financement - Documentation du conflit</t>
  </si>
  <si>
    <t>2.3.4 Co-Financement - Initiatives de médiation</t>
  </si>
  <si>
    <t>3.2.1 Comités Consultatifs / Renforcement CCJ / CCF</t>
  </si>
  <si>
    <t>Baseline - enqueteurs</t>
  </si>
  <si>
    <t>Baseline - loc salle collation</t>
  </si>
  <si>
    <t>Endline - enqueteurs</t>
  </si>
  <si>
    <t>Endline - loc salle capitalisation</t>
  </si>
  <si>
    <t>(blank)</t>
  </si>
  <si>
    <t>L'accent est mis sur la prise en charge de femmes (et de jeunes) survivantes des violences et traumatismes liés au conflit.</t>
  </si>
  <si>
    <t xml:space="preserve">Renforcer les capacités des femmes à mener des activités pour le bien-être de leurs communautés. </t>
  </si>
  <si>
    <t>Les femmes mèneront des activités socio-relationnelles dans leurs communautés où elles adresseront des questions telles que la VBG, l'égalité des sexes, les cycles de violence, la participation des femmes.</t>
  </si>
  <si>
    <t>La feuille de route comprend des institutions et des mécanismes de protection où les survivantes de différents types de violence peuvent être orientés.</t>
  </si>
  <si>
    <t>Soutien à un mécanisme d'orientation pour les femmes survivantes de la violence qui ont besoin de soutien juridique, médical, psychologique,... (mise en place par des femmes leaders)</t>
  </si>
  <si>
    <t>Cette analyse permettra de mitiger les risques pour les femmes participant au projet.</t>
  </si>
  <si>
    <t>L'objectif de ces publications est de rendre visible la voix des femmes (et des jeunes) et de reconnaître leurs histoires de résistance.</t>
  </si>
  <si>
    <t>Le documentaire est un outil de redevabilité sociale pour engager les acteurs clés dans la garantie de non-répétition et dans la reconnaissance des histoires des femmes</t>
  </si>
  <si>
    <t xml:space="preserve">La formation va engager les communautés et les acteurs dans la culture de la non-répétition et la reconnaissance des histoires des femmes (et des jeunes). </t>
  </si>
  <si>
    <t xml:space="preserve">La formation et le renforcement des capacités auront une perspective de genre et renforceront l'autonomisation des femmes (et des jeunes). </t>
  </si>
  <si>
    <t xml:space="preserve">Ces initiatives chercheront à engager les communautés et les acteurs dans la culture de la non-répétition et la reconnaissance des histoires des femmes (et des jeunes). </t>
  </si>
  <si>
    <t>La consultation permettra de recueillir des informations sur le point de vue, les priorités et les obstacles des femmes concernant le conflit.</t>
  </si>
  <si>
    <t>Des espaces de discussion entre les femmes leaders et le secteur politique seront facilités dans le but de valoriser le leadership des femmes dans la consolidation de la paix et de reconnaître leurs histoires de résistance au conflit.</t>
  </si>
  <si>
    <t xml:space="preserve">L'objectif est de partager l'apprentissage, les expériences, les bonnes pratiques et les leçons apprises concernant l'impact des conflits sur les femmes, le leadership des femmes et leur participation à la consolidation de la paix, et les effets des conflits sur la santé mentale. </t>
  </si>
  <si>
    <t>autres</t>
  </si>
  <si>
    <t>L'objectif est d'assurer les capacités techniques pour la mise en œuvre du projet avec une perspective de genre (les marraines seront chargées du soutien de pair à pair aux survivants de VBG et la consultation c'est pour assurer une perspective de genre</t>
  </si>
  <si>
    <t xml:space="preserve">L'analyse du conflit aura une perspective de genre et se concentrera sur les points de vue et les suggestions des femmes ainsi que sur les obstacles et les défis spécifiques auxquels elles sont confrontées. </t>
  </si>
  <si>
    <t xml:space="preserve">Soutien aux femmes qui dirigeront les processus de médiation et de mémoire collective après la formation. </t>
  </si>
  <si>
    <t xml:space="preserve">Les capacités et les ressources disponibles des associations de femmes et des groupes de jeunes seront renforcées pour assurer la durabilité. </t>
  </si>
  <si>
    <t>Ces initiatives cherchent à encourager l'engagement communautaire avec une mémoire collective inclusive qui prend en compte les histoires des femmes (et des jeunes).</t>
  </si>
  <si>
    <t xml:space="preserve">Ces initiatives visent à encourager la médiation communautaire et la reconnaissance des histoires de résistance des femmes et de leurs capacités à participer aux processus de médiation et à les diriger. </t>
  </si>
  <si>
    <t>Renforcement des capacités pour permettre à l'équipe du projet de multiplier et d'adapter les formations et d'aborder la question de la masculinité positive dans les communautés.</t>
  </si>
  <si>
    <t>L'engagement des hommes dans la lutte contre la VBG, la valorisation des histoires des femmes, l'accès des femmes aux ressources financières, ainsi que la participation et le leadership des femmes dans la consolidation de la paix seront abordés dans le cadre des sessions sur la masculinité positive.</t>
  </si>
  <si>
    <t xml:space="preserve">Cette formation s'adressera principalement aux femmes (et aux jeunes) - au moins 80% de femmes. Dans le cadre de l'éducation pour la paix, elle abordera les questions de genre et encouragera la participation des femmes à la médiation et leur autonomisation. </t>
  </si>
  <si>
    <t>Column Labels</t>
  </si>
  <si>
    <t>2. Fournitures, produits de base, matériels 60% , 6. Transferts et subventions aux homologues 40%</t>
  </si>
  <si>
    <t>Activite</t>
  </si>
  <si>
    <t>categorie</t>
  </si>
  <si>
    <t>Montant</t>
  </si>
  <si>
    <t>a</t>
  </si>
  <si>
    <t>r</t>
  </si>
  <si>
    <t>c</t>
  </si>
  <si>
    <t>v</t>
  </si>
  <si>
    <t>h</t>
  </si>
  <si>
    <t>Sum of Montant</t>
  </si>
  <si>
    <t xml:space="preserve">La médiation sera effectuée sur la base des informations recueillies au préalable sur les priorités et les opinions des femmes. La participation des femmes à la médiation sera tres largement encouragée. </t>
  </si>
  <si>
    <t>L'objectif est de renforcer l'accès des femmes aux ressources financières.</t>
  </si>
  <si>
    <t>Concern s'engage à promouvoir l'égalité de genre dans les politiques de ressources humaines et le recrutement. Les membres du personnel ont été formés sur l'égalité des sexes, il existe un groupe de travail sur l'égalité de genre et des experts en la matière.</t>
  </si>
  <si>
    <t>L'équipe S&amp;E de Concern ventile les données, font le suivi des défis et barrières spécifiques aux femmes, et disposent d'espaces où les femmes peuvent participer aux stratégies S&amp;E.</t>
  </si>
  <si>
    <t xml:space="preserve">L'évaluation finale tiendra compte des aspects liés au genre et de l'impact du projet sur l'autonomisation des femmes. </t>
  </si>
  <si>
    <t>Toutes les politiques d'achat et d'administration de Concern encouragent la participation des femmes et exigent des principes de sauvegarde et d'égalité des sexes.</t>
  </si>
  <si>
    <t xml:space="preserve">Les comités assurent la participation des femmes (et des jeunes) à l'Action </t>
  </si>
  <si>
    <t>Job Code</t>
  </si>
  <si>
    <t>0406</t>
  </si>
  <si>
    <t>0407</t>
  </si>
  <si>
    <t>0408</t>
  </si>
  <si>
    <t>8005-8006</t>
  </si>
  <si>
    <t>0409</t>
  </si>
  <si>
    <t>0410</t>
  </si>
  <si>
    <t>0411-1570</t>
  </si>
  <si>
    <t>0411</t>
  </si>
  <si>
    <t>0412</t>
  </si>
  <si>
    <t>0413</t>
  </si>
  <si>
    <t>0414</t>
  </si>
  <si>
    <t>0415</t>
  </si>
  <si>
    <t>0416</t>
  </si>
  <si>
    <t>0417</t>
  </si>
  <si>
    <t>0418</t>
  </si>
  <si>
    <t>0419</t>
  </si>
  <si>
    <t>0420</t>
  </si>
  <si>
    <t>0421</t>
  </si>
  <si>
    <t>0422</t>
  </si>
  <si>
    <t>La résilience et capacité à transformer les conflits des communautés cibles et en particulier des femmes et jeunes sont renforcées, à travers un soutien psychosocial individuel et collectif à base communautaire, mené par un groupe de psychologues et un réseau de femmes formée</t>
  </si>
  <si>
    <t>Une prise en charge des hommes et des femmes de troubles de stress post-traumatique et des traumatismes et un accompagnement de femmes survivantes de violence avec une approche de paires (marrainage) sont fournis</t>
  </si>
  <si>
    <t>1.1.3 Prendre en charge les survivantes de Violence Basé sur le Genre (VBG) avec une approche de paires (Marrainage)</t>
  </si>
  <si>
    <t>Les structures et mécanismes communautaires pour la cohésion sociale la résilience et le bien-être psychosocial sont renforces par le biais de la mise en place d’un réseau de femmes en soutien psychosocial communautaire (SPC) .</t>
  </si>
  <si>
    <t xml:space="preserve">La mémoire collective des expériences de conflit et de la violence vécus par les femmes et jeunes, et de la confiance inter et intracommunautaire à travers des initiatives menées par des femmes et des jeunes touchés par la violence sont (re)construites.  </t>
  </si>
  <si>
    <t>La culture de la paix, et la documentation du conflit (vidéos, cartes, art. etc.) sont promues au travers de l’accompagnement et co-financement de initiatives sociales, rituelles, éducatives, récréatives et artistiques</t>
  </si>
  <si>
    <t>La culture de la paix, la masculinité positive, et la (re)construction de la mémoire colective sont promues au travers de l’accompagnement et co-financement de initiatives sociales, rituelles, éducatives, récréatives et artistiques.</t>
  </si>
  <si>
    <t xml:space="preserve">L’accès des femmes aux ressources économiques est renforcé  à travers les associations d’épargne et crédit (AEC) </t>
  </si>
  <si>
    <t xml:space="preserve">Les acteurs du secteur politique et de la société civile sont engagés dans la reconnaissance de l’impact du conflit, la garantie de non-répétition et la réparation </t>
  </si>
  <si>
    <t xml:space="preserve">La reconnaissance de l'impact du conflit sur les femmes grâce aux initiatives de plaidoyer variées et créatives basées sur l’approche de redevabilité sociale sont promues. </t>
  </si>
  <si>
    <t>Les leçons apprises et les bonnes pratiques de médiation communautaire et le SPC sont diffusés afin que les expériences de succès puissent être reproduites.</t>
  </si>
  <si>
    <t>Depenses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</si>
</sst>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_(* #,##0.00_);_(* \(#,##0.00\);_(* &quot;-&quot;??_);_(@_)"/>
    <numFmt numFmtId="166" formatCode="_-* #,##0_-;\-* #,##0_-;_-* &quot;-&quot;??_-;_-@_-"/>
    <numFmt numFmtId="167" formatCode="_([$$-409]* #,##0.00_);_([$$-409]* \(#,##0.00\);_([$$-409]* &quot;-&quot;??_);_(@_)"/>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b/>
      <sz val="11"/>
      <color theme="0"/>
      <name val="Calibri"/>
      <family val="2"/>
      <scheme val="minor"/>
    </font>
    <font>
      <sz val="10"/>
      <name val="Arial"/>
      <family val="2"/>
    </font>
    <font>
      <b/>
      <sz val="11"/>
      <name val="Calibri"/>
      <family val="2"/>
      <scheme val="minor"/>
    </font>
    <font>
      <b/>
      <u val="singleAccounting"/>
      <sz val="11"/>
      <name val="Calibri"/>
      <family val="2"/>
      <scheme val="minor"/>
    </font>
    <font>
      <sz val="10"/>
      <name val="Calibri"/>
      <family val="2"/>
      <scheme val="minor"/>
    </font>
    <font>
      <b/>
      <sz val="10"/>
      <name val="Calibri"/>
      <family val="2"/>
      <scheme val="minor"/>
    </font>
    <font>
      <b/>
      <u/>
      <sz val="11"/>
      <name val="Calibri"/>
      <family val="2"/>
      <scheme val="minor"/>
    </font>
    <font>
      <b/>
      <sz val="11"/>
      <color rgb="FFFF0000"/>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99FF"/>
        <bgColor indexed="64"/>
      </patternFill>
    </fill>
    <fill>
      <patternFill patternType="solid">
        <fgColor theme="9" tint="0.39997558519241921"/>
        <bgColor indexed="64"/>
      </patternFill>
    </fill>
    <fill>
      <patternFill patternType="solid">
        <fgColor rgb="FFCCFFFF"/>
        <bgColor indexed="64"/>
      </patternFill>
    </fill>
    <fill>
      <patternFill patternType="solid">
        <fgColor theme="4" tint="-0.499984740745262"/>
        <bgColor indexed="64"/>
      </patternFill>
    </fill>
    <fill>
      <patternFill patternType="solid">
        <fgColor rgb="FFFFCCFF"/>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8">
    <xf numFmtId="0" fontId="0" fillId="0" borderId="0"/>
    <xf numFmtId="16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24" fillId="0" borderId="0"/>
    <xf numFmtId="9" fontId="24" fillId="0" borderId="0" applyFont="0" applyFill="0" applyBorder="0" applyAlignment="0" applyProtection="0"/>
    <xf numFmtId="165" fontId="24" fillId="0" borderId="0" applyFont="0" applyFill="0" applyBorder="0" applyAlignment="0" applyProtection="0"/>
    <xf numFmtId="43" fontId="24" fillId="0" borderId="0" applyFont="0" applyFill="0" applyBorder="0" applyAlignment="0" applyProtection="0"/>
  </cellStyleXfs>
  <cellXfs count="531">
    <xf numFmtId="0" fontId="0" fillId="0" borderId="0" xfId="0"/>
    <xf numFmtId="0" fontId="5"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5"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5" fillId="3" borderId="0" xfId="0" applyFont="1" applyFill="1" applyAlignment="1">
      <alignment vertical="center" wrapText="1"/>
    </xf>
    <xf numFmtId="0" fontId="5" fillId="3" borderId="3" xfId="0" applyFont="1" applyFill="1" applyBorder="1" applyAlignment="1" applyProtection="1">
      <alignment vertical="center" wrapText="1"/>
      <protection locked="0"/>
    </xf>
    <xf numFmtId="164" fontId="10" fillId="0" borderId="0" xfId="1" applyFont="1" applyFill="1" applyBorder="1" applyAlignment="1" applyProtection="1">
      <alignment vertical="center"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2" fillId="0" borderId="0" xfId="0" applyFont="1" applyAlignment="1">
      <alignment horizontal="center" vertical="center" wrapText="1"/>
    </xf>
    <xf numFmtId="0" fontId="3" fillId="3" borderId="0" xfId="0" applyFont="1" applyFill="1" applyAlignment="1">
      <alignment horizontal="center" vertical="center"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5" fillId="3" borderId="0" xfId="0" applyNumberFormat="1" applyFont="1" applyFill="1" applyAlignment="1">
      <alignment vertical="center"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lignment vertical="center" wrapText="1"/>
    </xf>
    <xf numFmtId="0" fontId="5" fillId="6" borderId="3" xfId="0" applyFont="1" applyFill="1" applyBorder="1" applyAlignment="1">
      <alignment vertical="center" wrapText="1"/>
    </xf>
    <xf numFmtId="0" fontId="2" fillId="2" borderId="3" xfId="0" applyFont="1" applyFill="1" applyBorder="1" applyAlignment="1">
      <alignment vertical="center" wrapText="1"/>
    </xf>
    <xf numFmtId="164" fontId="5" fillId="2" borderId="3" xfId="0" applyNumberFormat="1" applyFont="1" applyFill="1" applyBorder="1" applyAlignment="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5" fillId="2" borderId="3" xfId="1" applyFont="1" applyFill="1" applyBorder="1" applyAlignment="1" applyProtection="1">
      <alignment vertical="center" wrapText="1"/>
    </xf>
    <xf numFmtId="0" fontId="5" fillId="2" borderId="8" xfId="0" applyFont="1" applyFill="1" applyBorder="1" applyAlignment="1">
      <alignment vertical="center" wrapText="1"/>
    </xf>
    <xf numFmtId="164" fontId="5" fillId="2" borderId="9" xfId="0" applyNumberFormat="1" applyFont="1" applyFill="1" applyBorder="1" applyAlignment="1">
      <alignment vertical="center" wrapText="1"/>
    </xf>
    <xf numFmtId="164" fontId="2" fillId="2" borderId="14" xfId="1" applyFont="1" applyFill="1" applyBorder="1" applyAlignment="1" applyProtection="1">
      <alignment vertical="center" wrapText="1"/>
    </xf>
    <xf numFmtId="0" fontId="5" fillId="3" borderId="2" xfId="0" applyFont="1" applyFill="1" applyBorder="1" applyAlignment="1" applyProtection="1">
      <alignment vertical="center" wrapText="1"/>
      <protection locked="0"/>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164"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164" fontId="5" fillId="2" borderId="8" xfId="1" applyFont="1" applyFill="1" applyBorder="1" applyAlignment="1" applyProtection="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0" fontId="7" fillId="2" borderId="34" xfId="0" applyFont="1" applyFill="1" applyBorder="1" applyAlignment="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Font="1" applyFill="1" applyBorder="1" applyAlignment="1">
      <alignment wrapText="1"/>
    </xf>
    <xf numFmtId="164" fontId="2" fillId="2" borderId="14" xfId="1" applyFont="1" applyFill="1" applyBorder="1" applyAlignment="1">
      <alignment wrapText="1"/>
    </xf>
    <xf numFmtId="164" fontId="5" fillId="2" borderId="27" xfId="1" applyFont="1" applyFill="1" applyBorder="1" applyAlignment="1" applyProtection="1">
      <alignment wrapText="1"/>
    </xf>
    <xf numFmtId="164" fontId="5" fillId="2" borderId="29" xfId="1" applyFont="1" applyFill="1" applyBorder="1" applyAlignment="1">
      <alignment wrapText="1"/>
    </xf>
    <xf numFmtId="164" fontId="5" fillId="2" borderId="16" xfId="0" applyNumberFormat="1" applyFont="1" applyFill="1" applyBorder="1" applyAlignment="1">
      <alignment wrapText="1"/>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0" fontId="1" fillId="2" borderId="8" xfId="0" applyFont="1" applyFill="1" applyBorder="1" applyAlignment="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5" fillId="2" borderId="34" xfId="0" applyFont="1" applyFill="1" applyBorder="1" applyAlignment="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164" fontId="0" fillId="0" borderId="0" xfId="1" applyFont="1" applyFill="1" applyBorder="1" applyAlignment="1">
      <alignment vertical="center"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3" fontId="0" fillId="0" borderId="0" xfId="0" applyNumberFormat="1" applyAlignment="1">
      <alignment horizontal="center" vertical="center"/>
    </xf>
    <xf numFmtId="0" fontId="3" fillId="0" borderId="0" xfId="0" applyFont="1" applyAlignment="1">
      <alignment horizontal="left" vertical="center"/>
    </xf>
    <xf numFmtId="9" fontId="0" fillId="0" borderId="0" xfId="2" applyFont="1" applyAlignment="1">
      <alignment horizontal="center" vertical="center"/>
    </xf>
    <xf numFmtId="4" fontId="0" fillId="0" borderId="0" xfId="0" applyNumberFormat="1" applyAlignment="1">
      <alignment vertical="center"/>
    </xf>
    <xf numFmtId="0" fontId="0" fillId="0" borderId="0" xfId="2" applyNumberFormat="1" applyFont="1" applyAlignment="1">
      <alignment horizontal="center" vertical="center"/>
    </xf>
    <xf numFmtId="0" fontId="3" fillId="0" borderId="0" xfId="0" applyFont="1" applyAlignment="1">
      <alignment vertical="center"/>
    </xf>
    <xf numFmtId="10" fontId="0" fillId="0" borderId="0" xfId="2" applyNumberFormat="1" applyFont="1" applyAlignment="1">
      <alignment horizontal="center" vertical="center"/>
    </xf>
    <xf numFmtId="0" fontId="0" fillId="0" borderId="0" xfId="0" applyAlignment="1">
      <alignment horizontal="center" vertical="center" wrapText="1"/>
    </xf>
    <xf numFmtId="0" fontId="16" fillId="0" borderId="0" xfId="0" applyFont="1" applyAlignment="1">
      <alignment horizontal="center" vertical="center"/>
    </xf>
    <xf numFmtId="0" fontId="16" fillId="0" borderId="0" xfId="0" applyFont="1" applyAlignment="1">
      <alignment vertical="center"/>
    </xf>
    <xf numFmtId="0" fontId="16" fillId="0" borderId="0" xfId="4" applyFont="1" applyAlignment="1" applyProtection="1">
      <alignment horizontal="center" vertical="center"/>
      <protection locked="0"/>
    </xf>
    <xf numFmtId="0" fontId="16" fillId="11" borderId="0" xfId="4" applyFont="1" applyFill="1" applyAlignment="1" applyProtection="1">
      <alignment horizontal="center" vertical="center"/>
      <protection locked="0"/>
    </xf>
    <xf numFmtId="3" fontId="23" fillId="17" borderId="0" xfId="0" applyNumberFormat="1" applyFont="1" applyFill="1" applyAlignment="1">
      <alignment horizontal="center" vertical="center"/>
    </xf>
    <xf numFmtId="10" fontId="3" fillId="0" borderId="0" xfId="2" applyNumberFormat="1" applyFont="1" applyAlignment="1">
      <alignment horizontal="center" vertical="center"/>
    </xf>
    <xf numFmtId="9" fontId="3" fillId="0" borderId="0" xfId="2" applyFont="1" applyAlignment="1">
      <alignment horizontal="center" vertical="center"/>
    </xf>
    <xf numFmtId="3" fontId="23" fillId="0" borderId="0" xfId="0" applyNumberFormat="1" applyFont="1" applyAlignment="1">
      <alignment horizontal="center" vertical="center"/>
    </xf>
    <xf numFmtId="4" fontId="0" fillId="0" borderId="0" xfId="0" applyNumberFormat="1" applyAlignment="1">
      <alignment horizontal="center" vertical="center"/>
    </xf>
    <xf numFmtId="9" fontId="30" fillId="0" borderId="0" xfId="2" applyFont="1" applyFill="1" applyAlignment="1">
      <alignment horizontal="center" vertical="center"/>
    </xf>
    <xf numFmtId="4" fontId="3" fillId="0" borderId="0" xfId="0" applyNumberFormat="1" applyFont="1" applyAlignment="1">
      <alignment horizontal="center" vertical="center"/>
    </xf>
    <xf numFmtId="0" fontId="0" fillId="0" borderId="0" xfId="0" pivotButton="1"/>
    <xf numFmtId="0" fontId="0" fillId="0" borderId="0" xfId="0" applyAlignment="1">
      <alignment horizontal="left"/>
    </xf>
    <xf numFmtId="43" fontId="0" fillId="0" borderId="0" xfId="3" applyFont="1"/>
    <xf numFmtId="0" fontId="0" fillId="0" borderId="0" xfId="0"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164" fontId="14" fillId="0" borderId="0" xfId="1" applyFont="1" applyBorder="1" applyAlignment="1">
      <alignment vertical="center" wrapText="1"/>
    </xf>
    <xf numFmtId="164" fontId="12" fillId="3" borderId="0" xfId="1" applyFont="1" applyFill="1" applyBorder="1" applyAlignment="1">
      <alignment horizontal="left" vertical="center" wrapText="1"/>
    </xf>
    <xf numFmtId="164" fontId="12" fillId="0" borderId="0" xfId="1" applyFont="1" applyFill="1" applyBorder="1" applyAlignment="1">
      <alignment horizontal="left" vertical="center" wrapText="1"/>
    </xf>
    <xf numFmtId="0" fontId="0" fillId="3" borderId="0" xfId="0" applyFill="1" applyAlignment="1">
      <alignment vertical="center" wrapText="1"/>
    </xf>
    <xf numFmtId="0" fontId="1" fillId="0" borderId="3" xfId="0" applyFont="1" applyBorder="1" applyAlignment="1" applyProtection="1">
      <alignment horizontal="left" vertical="center" wrapText="1"/>
      <protection locked="0"/>
    </xf>
    <xf numFmtId="49" fontId="5" fillId="0" borderId="3" xfId="1" applyNumberFormat="1"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49" fontId="5" fillId="3" borderId="3" xfId="1" applyNumberFormat="1" applyFont="1" applyFill="1" applyBorder="1" applyAlignment="1" applyProtection="1">
      <alignment horizontal="left" vertical="center" wrapText="1"/>
      <protection locked="0"/>
    </xf>
    <xf numFmtId="0" fontId="5" fillId="3" borderId="0" xfId="0" applyFont="1" applyFill="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164" fontId="0" fillId="0" borderId="0" xfId="1" applyFont="1" applyBorder="1" applyAlignment="1">
      <alignment vertical="center" wrapText="1"/>
    </xf>
    <xf numFmtId="10" fontId="2" fillId="2" borderId="9" xfId="2" applyNumberFormat="1" applyFont="1" applyFill="1" applyBorder="1" applyAlignment="1" applyProtection="1">
      <alignment vertical="center" wrapText="1"/>
    </xf>
    <xf numFmtId="9" fontId="2" fillId="3" borderId="0" xfId="2" applyFont="1" applyFill="1" applyBorder="1" applyAlignment="1">
      <alignment vertical="center" wrapText="1"/>
    </xf>
    <xf numFmtId="0" fontId="0" fillId="2" borderId="12" xfId="0" applyFill="1" applyBorder="1" applyAlignment="1">
      <alignment vertical="center" wrapText="1"/>
    </xf>
    <xf numFmtId="9" fontId="0" fillId="2" borderId="14" xfId="2" applyFont="1" applyFill="1" applyBorder="1" applyAlignment="1">
      <alignment vertical="center" wrapText="1"/>
    </xf>
    <xf numFmtId="164" fontId="2" fillId="2" borderId="9" xfId="2" applyNumberFormat="1" applyFont="1" applyFill="1" applyBorder="1" applyAlignment="1" applyProtection="1">
      <alignment vertical="center" wrapText="1"/>
    </xf>
    <xf numFmtId="164" fontId="2" fillId="3" borderId="0" xfId="2" applyNumberFormat="1" applyFont="1" applyFill="1" applyBorder="1" applyAlignment="1">
      <alignment vertical="center" wrapText="1"/>
    </xf>
    <xf numFmtId="0" fontId="1" fillId="3"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vertical="center" wrapText="1"/>
      <protection locked="0"/>
    </xf>
    <xf numFmtId="166" fontId="0" fillId="0" borderId="0" xfId="3" applyNumberFormat="1" applyFont="1" applyAlignment="1">
      <alignment horizontal="center" vertical="center"/>
    </xf>
    <xf numFmtId="9" fontId="0" fillId="13" borderId="17" xfId="2" applyFont="1" applyFill="1" applyBorder="1"/>
    <xf numFmtId="9" fontId="0" fillId="13" borderId="11" xfId="2" applyFont="1" applyFill="1" applyBorder="1"/>
    <xf numFmtId="9" fontId="0" fillId="13" borderId="19" xfId="2" applyFont="1" applyFill="1" applyBorder="1"/>
    <xf numFmtId="9" fontId="0" fillId="18" borderId="17" xfId="2" applyFont="1" applyFill="1" applyBorder="1"/>
    <xf numFmtId="9" fontId="0" fillId="18" borderId="11" xfId="2" applyFont="1" applyFill="1" applyBorder="1"/>
    <xf numFmtId="9" fontId="0" fillId="18" borderId="25" xfId="2" applyFont="1" applyFill="1" applyBorder="1"/>
    <xf numFmtId="43" fontId="0" fillId="13" borderId="18" xfId="3" applyFont="1" applyFill="1" applyBorder="1"/>
    <xf numFmtId="43" fontId="0" fillId="13" borderId="52" xfId="3" applyFont="1" applyFill="1" applyBorder="1"/>
    <xf numFmtId="43" fontId="0" fillId="13" borderId="20" xfId="3" applyFont="1" applyFill="1" applyBorder="1"/>
    <xf numFmtId="9" fontId="0" fillId="11" borderId="17" xfId="2" applyFont="1" applyFill="1" applyBorder="1"/>
    <xf numFmtId="43" fontId="0" fillId="11" borderId="18" xfId="3" applyFont="1" applyFill="1" applyBorder="1"/>
    <xf numFmtId="9" fontId="0" fillId="11" borderId="19" xfId="2" applyFont="1" applyFill="1" applyBorder="1"/>
    <xf numFmtId="43" fontId="0" fillId="11" borderId="20" xfId="3" applyFont="1" applyFill="1" applyBorder="1"/>
    <xf numFmtId="9" fontId="0" fillId="11" borderId="25" xfId="2" applyFont="1" applyFill="1" applyBorder="1"/>
    <xf numFmtId="43" fontId="0" fillId="11" borderId="21" xfId="3" applyFont="1" applyFill="1" applyBorder="1"/>
    <xf numFmtId="9" fontId="0" fillId="11" borderId="11" xfId="2" applyFont="1" applyFill="1" applyBorder="1"/>
    <xf numFmtId="43" fontId="0" fillId="11" borderId="52" xfId="3" applyFont="1" applyFill="1" applyBorder="1"/>
    <xf numFmtId="43" fontId="0" fillId="18" borderId="18" xfId="3" applyFont="1" applyFill="1" applyBorder="1"/>
    <xf numFmtId="43" fontId="0" fillId="18" borderId="52" xfId="3" applyFont="1" applyFill="1" applyBorder="1"/>
    <xf numFmtId="43" fontId="0" fillId="18" borderId="21" xfId="3" applyFont="1" applyFill="1" applyBorder="1"/>
    <xf numFmtId="164" fontId="14" fillId="0" borderId="0" xfId="1" applyFont="1" applyFill="1" applyBorder="1" applyAlignment="1">
      <alignment horizontal="left" vertical="center" wrapText="1"/>
    </xf>
    <xf numFmtId="164" fontId="0" fillId="0" borderId="0" xfId="1" applyFont="1" applyFill="1" applyBorder="1" applyAlignment="1">
      <alignment horizontal="left" vertical="center" wrapText="1"/>
    </xf>
    <xf numFmtId="0" fontId="2" fillId="9" borderId="3" xfId="0" applyFont="1" applyFill="1" applyBorder="1" applyAlignment="1">
      <alignment horizontal="left" vertical="center" wrapText="1"/>
    </xf>
    <xf numFmtId="164" fontId="5" fillId="0" borderId="3" xfId="1" applyFont="1" applyFill="1" applyBorder="1" applyAlignment="1" applyProtection="1">
      <alignment horizontal="left" vertical="center" wrapText="1"/>
      <protection locked="0"/>
    </xf>
    <xf numFmtId="164" fontId="2" fillId="0" borderId="3" xfId="1" applyFont="1" applyFill="1" applyBorder="1" applyAlignment="1" applyProtection="1">
      <alignment horizontal="left" vertical="center" wrapText="1"/>
    </xf>
    <xf numFmtId="164" fontId="5" fillId="0" borderId="0" xfId="1" applyFont="1" applyFill="1" applyBorder="1" applyAlignment="1" applyProtection="1">
      <alignment horizontal="left" vertical="center" wrapText="1"/>
      <protection locked="0"/>
    </xf>
    <xf numFmtId="49" fontId="5" fillId="0" borderId="3" xfId="1" applyNumberFormat="1" applyFont="1" applyFill="1" applyBorder="1" applyAlignment="1" applyProtection="1">
      <alignment horizontal="left" vertical="center" wrapText="1"/>
      <protection locked="0"/>
    </xf>
    <xf numFmtId="164" fontId="2" fillId="0" borderId="0" xfId="1" applyFont="1" applyFill="1" applyBorder="1" applyAlignment="1" applyProtection="1">
      <alignment horizontal="left" vertical="center" wrapText="1"/>
      <protection locked="0"/>
    </xf>
    <xf numFmtId="164" fontId="2" fillId="0" borderId="0" xfId="1" applyFont="1" applyFill="1" applyBorder="1" applyAlignment="1">
      <alignment horizontal="left" vertical="center" wrapText="1"/>
    </xf>
    <xf numFmtId="164" fontId="2" fillId="0" borderId="0" xfId="1" applyFont="1" applyFill="1" applyBorder="1" applyAlignment="1" applyProtection="1">
      <alignment horizontal="left" vertical="center" wrapText="1"/>
    </xf>
    <xf numFmtId="9" fontId="0" fillId="0" borderId="0" xfId="2" applyFont="1" applyFill="1" applyBorder="1" applyAlignment="1">
      <alignment horizontal="left" vertical="center" wrapText="1"/>
    </xf>
    <xf numFmtId="49" fontId="1" fillId="0" borderId="3" xfId="1" applyNumberFormat="1" applyFont="1" applyBorder="1" applyAlignment="1" applyProtection="1">
      <alignment horizontal="left" vertical="center" wrapText="1"/>
      <protection locked="0"/>
    </xf>
    <xf numFmtId="9" fontId="5" fillId="0" borderId="3" xfId="2" applyFont="1" applyFill="1" applyBorder="1" applyAlignment="1" applyProtection="1">
      <alignment horizontal="center" vertical="center" wrapText="1"/>
      <protection locked="0"/>
    </xf>
    <xf numFmtId="0" fontId="0" fillId="0" borderId="17" xfId="0" applyBorder="1"/>
    <xf numFmtId="0" fontId="0" fillId="0" borderId="15" xfId="0" applyBorder="1"/>
    <xf numFmtId="0" fontId="0" fillId="13" borderId="53" xfId="0" applyFill="1" applyBorder="1"/>
    <xf numFmtId="166" fontId="0" fillId="0" borderId="11" xfId="3" applyNumberFormat="1" applyFont="1" applyBorder="1"/>
    <xf numFmtId="166" fontId="0" fillId="0" borderId="0" xfId="3" applyNumberFormat="1" applyFont="1" applyBorder="1"/>
    <xf numFmtId="166" fontId="0" fillId="13" borderId="22" xfId="3" applyNumberFormat="1" applyFont="1" applyFill="1" applyBorder="1"/>
    <xf numFmtId="166" fontId="0" fillId="0" borderId="0" xfId="3" applyNumberFormat="1" applyFont="1"/>
    <xf numFmtId="166" fontId="0" fillId="0" borderId="19" xfId="3" applyNumberFormat="1" applyFont="1" applyBorder="1"/>
    <xf numFmtId="166" fontId="0" fillId="0" borderId="24" xfId="3" applyNumberFormat="1" applyFont="1" applyBorder="1"/>
    <xf numFmtId="166" fontId="0" fillId="13" borderId="23" xfId="3" applyNumberFormat="1" applyFont="1" applyFill="1" applyBorder="1"/>
    <xf numFmtId="0" fontId="0" fillId="13" borderId="0" xfId="0" applyFill="1" applyAlignment="1">
      <alignment horizontal="left"/>
    </xf>
    <xf numFmtId="0" fontId="0" fillId="0" borderId="17" xfId="0" applyBorder="1" applyAlignment="1">
      <alignment horizontal="left"/>
    </xf>
    <xf numFmtId="166" fontId="0" fillId="0" borderId="15" xfId="3" applyNumberFormat="1" applyFont="1" applyBorder="1"/>
    <xf numFmtId="166" fontId="0" fillId="0" borderId="18" xfId="3" applyNumberFormat="1" applyFont="1" applyBorder="1"/>
    <xf numFmtId="0" fontId="0" fillId="0" borderId="11" xfId="0" applyBorder="1" applyAlignment="1">
      <alignment horizontal="left"/>
    </xf>
    <xf numFmtId="166" fontId="0" fillId="0" borderId="52" xfId="3" applyNumberFormat="1" applyFont="1" applyBorder="1"/>
    <xf numFmtId="0" fontId="3" fillId="13" borderId="19" xfId="0" applyFont="1" applyFill="1" applyBorder="1" applyAlignment="1">
      <alignment horizontal="left"/>
    </xf>
    <xf numFmtId="166" fontId="3" fillId="13" borderId="24" xfId="3" applyNumberFormat="1" applyFont="1" applyFill="1" applyBorder="1"/>
    <xf numFmtId="166" fontId="3" fillId="13" borderId="20" xfId="3" applyNumberFormat="1" applyFont="1" applyFill="1" applyBorder="1"/>
    <xf numFmtId="0" fontId="3" fillId="11" borderId="19" xfId="0" applyFont="1" applyFill="1" applyBorder="1" applyAlignment="1">
      <alignment horizontal="left"/>
    </xf>
    <xf numFmtId="166" fontId="3" fillId="11" borderId="24" xfId="3" applyNumberFormat="1" applyFont="1" applyFill="1" applyBorder="1"/>
    <xf numFmtId="166" fontId="3" fillId="11" borderId="20" xfId="3" applyNumberFormat="1" applyFont="1" applyFill="1" applyBorder="1"/>
    <xf numFmtId="43" fontId="0" fillId="13" borderId="0" xfId="3" applyFont="1" applyFill="1"/>
    <xf numFmtId="9" fontId="0" fillId="13" borderId="0" xfId="2" applyFont="1" applyFill="1"/>
    <xf numFmtId="0" fontId="0" fillId="11" borderId="0" xfId="0" applyFill="1" applyAlignment="1">
      <alignment horizontal="left"/>
    </xf>
    <xf numFmtId="43" fontId="0" fillId="11" borderId="0" xfId="3" applyFont="1" applyFill="1"/>
    <xf numFmtId="9" fontId="0" fillId="11" borderId="0" xfId="2" applyFont="1" applyFill="1"/>
    <xf numFmtId="0" fontId="3" fillId="19" borderId="19" xfId="0" applyFont="1" applyFill="1" applyBorder="1" applyAlignment="1">
      <alignment horizontal="left"/>
    </xf>
    <xf numFmtId="166" fontId="3" fillId="19" borderId="24" xfId="3" applyNumberFormat="1" applyFont="1" applyFill="1" applyBorder="1"/>
    <xf numFmtId="166" fontId="3" fillId="19" borderId="20" xfId="3" applyNumberFormat="1" applyFont="1" applyFill="1" applyBorder="1"/>
    <xf numFmtId="0" fontId="0" fillId="19" borderId="0" xfId="0" applyFill="1" applyAlignment="1">
      <alignment horizontal="left"/>
    </xf>
    <xf numFmtId="43" fontId="0" fillId="19" borderId="0" xfId="3" applyFont="1" applyFill="1"/>
    <xf numFmtId="9" fontId="0" fillId="19" borderId="0" xfId="2" applyFont="1" applyFill="1"/>
    <xf numFmtId="0" fontId="0" fillId="18" borderId="19" xfId="0" applyFill="1" applyBorder="1" applyAlignment="1">
      <alignment horizontal="left"/>
    </xf>
    <xf numFmtId="166" fontId="3" fillId="18" borderId="24" xfId="3" applyNumberFormat="1" applyFont="1" applyFill="1" applyBorder="1"/>
    <xf numFmtId="166" fontId="3" fillId="18" borderId="20" xfId="3" applyNumberFormat="1" applyFont="1" applyFill="1" applyBorder="1"/>
    <xf numFmtId="0" fontId="0" fillId="18" borderId="0" xfId="0" applyFill="1" applyAlignment="1">
      <alignment horizontal="left"/>
    </xf>
    <xf numFmtId="43" fontId="0" fillId="18" borderId="0" xfId="3" applyFont="1" applyFill="1"/>
    <xf numFmtId="9" fontId="0" fillId="18" borderId="0" xfId="2" applyFont="1" applyFill="1"/>
    <xf numFmtId="0" fontId="0" fillId="13" borderId="19" xfId="0" applyFill="1" applyBorder="1" applyAlignment="1">
      <alignment horizontal="left"/>
    </xf>
    <xf numFmtId="0" fontId="3" fillId="0" borderId="25" xfId="0" applyFont="1" applyBorder="1" applyAlignment="1">
      <alignment horizontal="left"/>
    </xf>
    <xf numFmtId="166" fontId="3" fillId="0" borderId="26" xfId="3" applyNumberFormat="1" applyFont="1" applyBorder="1"/>
    <xf numFmtId="166" fontId="3" fillId="0" borderId="21" xfId="3" applyNumberFormat="1" applyFont="1" applyBorder="1"/>
    <xf numFmtId="0" fontId="3" fillId="0" borderId="0" xfId="0" applyFont="1"/>
    <xf numFmtId="0" fontId="3" fillId="0" borderId="0" xfId="0" applyFont="1" applyAlignment="1">
      <alignment horizontal="left"/>
    </xf>
    <xf numFmtId="9" fontId="5" fillId="20" borderId="3" xfId="2" applyFont="1" applyFill="1" applyBorder="1" applyAlignment="1" applyProtection="1">
      <alignment horizontal="center" vertical="center" wrapText="1"/>
      <protection locked="0"/>
    </xf>
    <xf numFmtId="164" fontId="1" fillId="0" borderId="3" xfId="1" applyFont="1" applyFill="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0" fontId="2" fillId="2" borderId="37" xfId="0" applyFont="1" applyFill="1" applyBorder="1" applyAlignment="1">
      <alignment horizontal="center" vertical="center" wrapText="1"/>
    </xf>
    <xf numFmtId="43" fontId="0" fillId="0" borderId="0" xfId="0" applyNumberFormat="1"/>
    <xf numFmtId="9" fontId="1" fillId="0" borderId="3" xfId="2" applyFont="1" applyFill="1" applyBorder="1" applyAlignment="1" applyProtection="1">
      <alignment vertical="center" wrapText="1"/>
      <protection locked="0"/>
    </xf>
    <xf numFmtId="3" fontId="0" fillId="21" borderId="0" xfId="0" applyNumberFormat="1" applyFill="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left" vertical="center" wrapText="1"/>
    </xf>
    <xf numFmtId="3" fontId="0" fillId="0" borderId="3" xfId="0" applyNumberFormat="1" applyBorder="1" applyAlignment="1">
      <alignment horizontal="center" vertical="center" wrapText="1"/>
    </xf>
    <xf numFmtId="0" fontId="23" fillId="10" borderId="3" xfId="0" applyFont="1" applyFill="1" applyBorder="1" applyAlignment="1">
      <alignment horizontal="center" vertical="center"/>
    </xf>
    <xf numFmtId="0" fontId="23" fillId="10" borderId="3" xfId="0" applyFont="1" applyFill="1" applyBorder="1" applyAlignment="1">
      <alignment horizontal="left" vertical="center"/>
    </xf>
    <xf numFmtId="0" fontId="23" fillId="10" borderId="3" xfId="0" applyFont="1" applyFill="1" applyBorder="1" applyAlignment="1">
      <alignment vertical="center"/>
    </xf>
    <xf numFmtId="3" fontId="23" fillId="10" borderId="3" xfId="0" applyNumberFormat="1" applyFont="1" applyFill="1" applyBorder="1" applyAlignment="1">
      <alignment horizontal="center" vertical="center"/>
    </xf>
    <xf numFmtId="4" fontId="23" fillId="10" borderId="3" xfId="0" applyNumberFormat="1" applyFont="1"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16" fillId="0" borderId="3" xfId="0" applyFont="1" applyBorder="1" applyAlignment="1">
      <alignment horizontal="center" vertical="center"/>
    </xf>
    <xf numFmtId="0" fontId="25" fillId="11" borderId="3" xfId="4" applyFont="1" applyFill="1" applyBorder="1" applyAlignment="1" applyProtection="1">
      <alignment horizontal="left" vertical="center"/>
      <protection locked="0"/>
    </xf>
    <xf numFmtId="0" fontId="25" fillId="11" borderId="3" xfId="4" applyFont="1" applyFill="1" applyBorder="1" applyAlignment="1" applyProtection="1">
      <alignment vertical="center"/>
      <protection locked="0"/>
    </xf>
    <xf numFmtId="3" fontId="25" fillId="11" borderId="3" xfId="4" applyNumberFormat="1" applyFont="1" applyFill="1" applyBorder="1" applyAlignment="1" applyProtection="1">
      <alignment horizontal="center" vertical="center"/>
      <protection locked="0"/>
    </xf>
    <xf numFmtId="3" fontId="25" fillId="11" borderId="3" xfId="4" applyNumberFormat="1" applyFont="1" applyFill="1" applyBorder="1" applyAlignment="1">
      <alignment horizontal="center" vertical="center"/>
    </xf>
    <xf numFmtId="0" fontId="16" fillId="0" borderId="3" xfId="0" applyFont="1" applyBorder="1" applyAlignment="1">
      <alignment vertical="center"/>
    </xf>
    <xf numFmtId="0" fontId="16" fillId="0" borderId="3" xfId="4" applyFont="1" applyBorder="1" applyAlignment="1" applyProtection="1">
      <alignment horizontal="center" vertical="center"/>
      <protection locked="0"/>
    </xf>
    <xf numFmtId="0" fontId="16" fillId="0" borderId="3" xfId="4" applyFont="1" applyBorder="1" applyAlignment="1" applyProtection="1">
      <alignment horizontal="left" vertical="center"/>
      <protection locked="0"/>
    </xf>
    <xf numFmtId="9" fontId="16" fillId="0" borderId="3" xfId="5" applyFont="1" applyFill="1" applyBorder="1" applyAlignment="1" applyProtection="1">
      <alignment horizontal="center" vertical="center"/>
      <protection locked="0"/>
    </xf>
    <xf numFmtId="0" fontId="16" fillId="0" borderId="3" xfId="4" applyFont="1" applyBorder="1" applyAlignment="1" applyProtection="1">
      <alignment vertical="center"/>
      <protection locked="0"/>
    </xf>
    <xf numFmtId="3" fontId="16" fillId="0" borderId="3" xfId="4" applyNumberFormat="1" applyFont="1" applyBorder="1" applyAlignment="1" applyProtection="1">
      <alignment horizontal="center" vertical="center"/>
      <protection locked="0"/>
    </xf>
    <xf numFmtId="4" fontId="16" fillId="0" borderId="3" xfId="0" applyNumberFormat="1" applyFont="1" applyBorder="1" applyAlignment="1">
      <alignment horizontal="center" vertical="center"/>
    </xf>
    <xf numFmtId="0" fontId="16" fillId="0" borderId="3" xfId="0" applyFont="1" applyBorder="1" applyAlignment="1">
      <alignment horizontal="left" vertical="center"/>
    </xf>
    <xf numFmtId="0" fontId="0" fillId="11" borderId="3" xfId="0" applyFill="1" applyBorder="1" applyAlignment="1">
      <alignment horizontal="center" vertical="center"/>
    </xf>
    <xf numFmtId="0" fontId="3" fillId="11" borderId="3" xfId="0" applyFont="1" applyFill="1" applyBorder="1" applyAlignment="1">
      <alignment horizontal="left" vertical="center"/>
    </xf>
    <xf numFmtId="0" fontId="0" fillId="11" borderId="3" xfId="0" applyFill="1" applyBorder="1" applyAlignment="1">
      <alignment vertical="center"/>
    </xf>
    <xf numFmtId="3" fontId="0" fillId="11" borderId="3" xfId="0" applyNumberFormat="1" applyFill="1" applyBorder="1" applyAlignment="1">
      <alignment horizontal="center" vertical="center"/>
    </xf>
    <xf numFmtId="4" fontId="3" fillId="11" borderId="3" xfId="0" applyNumberFormat="1" applyFont="1" applyFill="1" applyBorder="1" applyAlignment="1">
      <alignment horizontal="center" vertical="center"/>
    </xf>
    <xf numFmtId="0" fontId="0" fillId="0" borderId="3" xfId="0" applyBorder="1" applyAlignment="1">
      <alignment horizontal="left" vertical="center"/>
    </xf>
    <xf numFmtId="0" fontId="16" fillId="11" borderId="3" xfId="4" applyFont="1" applyFill="1" applyBorder="1" applyAlignment="1" applyProtection="1">
      <alignment horizontal="center" vertical="center"/>
      <protection locked="0"/>
    </xf>
    <xf numFmtId="9" fontId="16" fillId="11" borderId="3" xfId="5" applyFont="1" applyFill="1" applyBorder="1" applyAlignment="1" applyProtection="1">
      <alignment horizontal="center" vertical="center"/>
      <protection locked="0"/>
    </xf>
    <xf numFmtId="0" fontId="16" fillId="11" borderId="3" xfId="4" applyFont="1" applyFill="1" applyBorder="1" applyAlignment="1" applyProtection="1">
      <alignment vertical="center"/>
      <protection locked="0"/>
    </xf>
    <xf numFmtId="3" fontId="16" fillId="11" borderId="3" xfId="4" applyNumberFormat="1" applyFont="1" applyFill="1" applyBorder="1" applyAlignment="1" applyProtection="1">
      <alignment horizontal="center" vertical="center"/>
      <protection locked="0"/>
    </xf>
    <xf numFmtId="0" fontId="16" fillId="7" borderId="3" xfId="4" applyFont="1" applyFill="1" applyBorder="1" applyAlignment="1" applyProtection="1">
      <alignment horizontal="center" vertical="center"/>
      <protection locked="0"/>
    </xf>
    <xf numFmtId="0" fontId="16" fillId="7" borderId="3" xfId="4" applyFont="1" applyFill="1" applyBorder="1" applyAlignment="1" applyProtection="1">
      <alignment horizontal="left" vertical="center"/>
      <protection locked="0"/>
    </xf>
    <xf numFmtId="9" fontId="16" fillId="7" borderId="3" xfId="5" applyFont="1" applyFill="1" applyBorder="1" applyAlignment="1" applyProtection="1">
      <alignment horizontal="center" vertical="center"/>
      <protection locked="0"/>
    </xf>
    <xf numFmtId="0" fontId="16" fillId="7" borderId="3" xfId="4" applyFont="1" applyFill="1" applyBorder="1" applyAlignment="1" applyProtection="1">
      <alignment vertical="center"/>
      <protection locked="0"/>
    </xf>
    <xf numFmtId="3" fontId="16" fillId="7" borderId="3" xfId="4" applyNumberFormat="1" applyFont="1" applyFill="1" applyBorder="1" applyAlignment="1" applyProtection="1">
      <alignment horizontal="center"/>
      <protection locked="0"/>
    </xf>
    <xf numFmtId="0" fontId="0" fillId="7" borderId="3" xfId="0" applyFill="1" applyBorder="1" applyAlignment="1">
      <alignment horizontal="center" vertical="center"/>
    </xf>
    <xf numFmtId="0" fontId="0" fillId="7" borderId="3" xfId="0" applyFill="1" applyBorder="1" applyAlignment="1">
      <alignment vertical="center"/>
    </xf>
    <xf numFmtId="4" fontId="16" fillId="7" borderId="3" xfId="0" applyNumberFormat="1" applyFont="1" applyFill="1" applyBorder="1" applyAlignment="1">
      <alignment horizontal="center" vertical="center"/>
    </xf>
    <xf numFmtId="0" fontId="16" fillId="12" borderId="3" xfId="4" applyFont="1" applyFill="1" applyBorder="1" applyAlignment="1" applyProtection="1">
      <alignment horizontal="left" vertical="center"/>
      <protection locked="0"/>
    </xf>
    <xf numFmtId="9" fontId="16" fillId="12" borderId="3" xfId="5" applyFont="1" applyFill="1" applyBorder="1" applyAlignment="1" applyProtection="1">
      <alignment horizontal="center" vertical="center"/>
      <protection locked="0"/>
    </xf>
    <xf numFmtId="0" fontId="16" fillId="12" borderId="3" xfId="4" applyFont="1" applyFill="1" applyBorder="1" applyAlignment="1" applyProtection="1">
      <alignment vertical="center"/>
      <protection locked="0"/>
    </xf>
    <xf numFmtId="3" fontId="16" fillId="12" borderId="3" xfId="4" applyNumberFormat="1" applyFont="1" applyFill="1" applyBorder="1" applyAlignment="1" applyProtection="1">
      <alignment horizontal="center"/>
      <protection locked="0"/>
    </xf>
    <xf numFmtId="0" fontId="0" fillId="12" borderId="3" xfId="0" applyFill="1" applyBorder="1" applyAlignment="1">
      <alignment horizontal="center" vertical="center"/>
    </xf>
    <xf numFmtId="0" fontId="0" fillId="12" borderId="3" xfId="0" applyFill="1" applyBorder="1" applyAlignment="1">
      <alignment vertical="center"/>
    </xf>
    <xf numFmtId="4" fontId="16" fillId="12" borderId="3" xfId="0" applyNumberFormat="1" applyFont="1" applyFill="1" applyBorder="1" applyAlignment="1">
      <alignment horizontal="center" vertical="center"/>
    </xf>
    <xf numFmtId="4" fontId="16" fillId="0" borderId="3" xfId="4" applyNumberFormat="1" applyFont="1" applyBorder="1" applyAlignment="1">
      <alignment horizontal="left" vertical="center"/>
    </xf>
    <xf numFmtId="9" fontId="16" fillId="0" borderId="3" xfId="5" applyFont="1" applyBorder="1" applyAlignment="1" applyProtection="1">
      <alignment horizontal="center" vertical="center"/>
      <protection locked="0"/>
    </xf>
    <xf numFmtId="3" fontId="0" fillId="0" borderId="3" xfId="3" applyNumberFormat="1" applyFont="1" applyFill="1" applyBorder="1" applyAlignment="1">
      <alignment horizontal="center" vertical="center"/>
    </xf>
    <xf numFmtId="165" fontId="16" fillId="7" borderId="3" xfId="6" applyFont="1" applyFill="1" applyBorder="1" applyAlignment="1">
      <alignment horizontal="left" vertical="center"/>
    </xf>
    <xf numFmtId="9" fontId="16" fillId="7" borderId="3" xfId="2" applyFont="1" applyFill="1" applyBorder="1" applyAlignment="1">
      <alignment horizontal="center" vertical="center"/>
    </xf>
    <xf numFmtId="165" fontId="16" fillId="13" borderId="3" xfId="6" applyFont="1" applyFill="1" applyBorder="1" applyAlignment="1">
      <alignment horizontal="left" vertical="center"/>
    </xf>
    <xf numFmtId="9" fontId="16" fillId="13" borderId="3" xfId="2" applyFont="1" applyFill="1" applyBorder="1" applyAlignment="1">
      <alignment horizontal="center" vertical="center"/>
    </xf>
    <xf numFmtId="0" fontId="0" fillId="13" borderId="3" xfId="0" applyFill="1" applyBorder="1" applyAlignment="1">
      <alignment vertical="center"/>
    </xf>
    <xf numFmtId="3" fontId="16" fillId="13" borderId="3" xfId="4" applyNumberFormat="1" applyFont="1" applyFill="1" applyBorder="1" applyAlignment="1" applyProtection="1">
      <alignment horizontal="center" vertical="center"/>
      <protection locked="0"/>
    </xf>
    <xf numFmtId="0" fontId="0" fillId="13" borderId="3" xfId="0" applyFill="1" applyBorder="1" applyAlignment="1">
      <alignment horizontal="center" vertical="center"/>
    </xf>
    <xf numFmtId="4" fontId="16" fillId="13" borderId="3" xfId="0" applyNumberFormat="1" applyFont="1" applyFill="1" applyBorder="1" applyAlignment="1">
      <alignment horizontal="center" vertical="center"/>
    </xf>
    <xf numFmtId="0" fontId="16" fillId="13" borderId="3" xfId="4" applyFont="1" applyFill="1" applyBorder="1" applyAlignment="1" applyProtection="1">
      <alignment horizontal="left" vertical="center"/>
      <protection locked="0"/>
    </xf>
    <xf numFmtId="9" fontId="16" fillId="13" borderId="3" xfId="2" applyFont="1" applyFill="1" applyBorder="1" applyAlignment="1" applyProtection="1">
      <alignment horizontal="center" vertical="center"/>
      <protection locked="0"/>
    </xf>
    <xf numFmtId="0" fontId="16" fillId="13" borderId="3" xfId="4" applyFont="1" applyFill="1" applyBorder="1" applyAlignment="1" applyProtection="1">
      <alignment vertical="center"/>
      <protection locked="0"/>
    </xf>
    <xf numFmtId="4" fontId="16" fillId="14" borderId="3" xfId="4" applyNumberFormat="1" applyFont="1" applyFill="1" applyBorder="1" applyAlignment="1">
      <alignment horizontal="left" vertical="center"/>
    </xf>
    <xf numFmtId="9" fontId="16" fillId="14" borderId="3" xfId="5" applyFont="1" applyFill="1" applyBorder="1" applyAlignment="1" applyProtection="1">
      <alignment horizontal="center" vertical="center"/>
      <protection locked="0"/>
    </xf>
    <xf numFmtId="0" fontId="16" fillId="14" borderId="3" xfId="4" applyFont="1" applyFill="1" applyBorder="1" applyAlignment="1" applyProtection="1">
      <alignment vertical="center"/>
      <protection locked="0"/>
    </xf>
    <xf numFmtId="3" fontId="0" fillId="14" borderId="3" xfId="3" applyNumberFormat="1" applyFont="1" applyFill="1" applyBorder="1" applyAlignment="1">
      <alignment horizontal="center" vertical="center"/>
    </xf>
    <xf numFmtId="0" fontId="0" fillId="14" borderId="3" xfId="0" applyFill="1" applyBorder="1" applyAlignment="1">
      <alignment horizontal="center" vertical="center"/>
    </xf>
    <xf numFmtId="0" fontId="0" fillId="14" borderId="3" xfId="0" applyFill="1" applyBorder="1" applyAlignment="1">
      <alignment vertical="center"/>
    </xf>
    <xf numFmtId="4" fontId="16" fillId="14" borderId="3" xfId="0" applyNumberFormat="1" applyFont="1" applyFill="1" applyBorder="1" applyAlignment="1">
      <alignment horizontal="center" vertical="center"/>
    </xf>
    <xf numFmtId="9" fontId="16" fillId="0" borderId="3" xfId="2" applyFont="1" applyBorder="1" applyAlignment="1" applyProtection="1">
      <alignment horizontal="center" vertical="center"/>
      <protection locked="0"/>
    </xf>
    <xf numFmtId="0" fontId="0" fillId="14" borderId="3" xfId="0" applyFill="1" applyBorder="1" applyAlignment="1">
      <alignment horizontal="left" vertical="center"/>
    </xf>
    <xf numFmtId="1" fontId="16" fillId="7" borderId="3" xfId="2" applyNumberFormat="1" applyFont="1" applyFill="1" applyBorder="1" applyAlignment="1">
      <alignment horizontal="center" vertical="center"/>
    </xf>
    <xf numFmtId="0" fontId="16" fillId="7" borderId="3" xfId="0" applyFont="1" applyFill="1" applyBorder="1" applyAlignment="1">
      <alignment vertical="center"/>
    </xf>
    <xf numFmtId="3" fontId="16" fillId="7" borderId="3" xfId="0" applyNumberFormat="1" applyFont="1" applyFill="1" applyBorder="1" applyAlignment="1">
      <alignment horizontal="center" vertical="center"/>
    </xf>
    <xf numFmtId="0" fontId="16" fillId="7" borderId="3" xfId="0" applyFont="1" applyFill="1" applyBorder="1" applyAlignment="1">
      <alignment horizontal="center" vertical="center"/>
    </xf>
    <xf numFmtId="165" fontId="16" fillId="12" borderId="3" xfId="6" applyFont="1" applyFill="1" applyBorder="1" applyAlignment="1">
      <alignment horizontal="left" vertical="center"/>
    </xf>
    <xf numFmtId="1" fontId="16" fillId="12" borderId="3" xfId="2" applyNumberFormat="1" applyFont="1" applyFill="1" applyBorder="1" applyAlignment="1">
      <alignment horizontal="center" vertical="center"/>
    </xf>
    <xf numFmtId="0" fontId="16" fillId="12" borderId="3" xfId="0" applyFont="1" applyFill="1" applyBorder="1" applyAlignment="1">
      <alignment vertical="center"/>
    </xf>
    <xf numFmtId="3" fontId="16" fillId="12" borderId="3" xfId="0" applyNumberFormat="1" applyFont="1" applyFill="1" applyBorder="1" applyAlignment="1">
      <alignment horizontal="center" vertical="center"/>
    </xf>
    <xf numFmtId="0" fontId="16" fillId="12" borderId="3" xfId="0" applyFont="1" applyFill="1" applyBorder="1" applyAlignment="1">
      <alignment horizontal="center" vertical="center"/>
    </xf>
    <xf numFmtId="0" fontId="4" fillId="0" borderId="3" xfId="0" applyFont="1" applyBorder="1" applyAlignment="1">
      <alignment horizontal="left" vertical="center"/>
    </xf>
    <xf numFmtId="3" fontId="0" fillId="0" borderId="3" xfId="0" applyNumberFormat="1" applyBorder="1" applyAlignment="1">
      <alignment horizontal="center" vertical="center"/>
    </xf>
    <xf numFmtId="0" fontId="0" fillId="15" borderId="3" xfId="0" applyFill="1" applyBorder="1" applyAlignment="1">
      <alignment horizontal="center" vertical="center"/>
    </xf>
    <xf numFmtId="0" fontId="3" fillId="15" borderId="3" xfId="0" applyFont="1" applyFill="1" applyBorder="1" applyAlignment="1">
      <alignment horizontal="left" vertical="center"/>
    </xf>
    <xf numFmtId="0" fontId="0" fillId="15" borderId="3" xfId="0" applyFill="1" applyBorder="1" applyAlignment="1">
      <alignment vertical="center"/>
    </xf>
    <xf numFmtId="3" fontId="0" fillId="15" borderId="3" xfId="0" applyNumberFormat="1" applyFill="1" applyBorder="1" applyAlignment="1">
      <alignment horizontal="center" vertical="center"/>
    </xf>
    <xf numFmtId="4" fontId="3" fillId="15" borderId="3" xfId="0" applyNumberFormat="1" applyFont="1" applyFill="1" applyBorder="1" applyAlignment="1">
      <alignment horizontal="center" vertical="center"/>
    </xf>
    <xf numFmtId="0" fontId="3" fillId="0" borderId="3" xfId="0" applyFont="1" applyBorder="1" applyAlignment="1">
      <alignment horizontal="left" vertical="center"/>
    </xf>
    <xf numFmtId="4" fontId="3" fillId="0" borderId="3" xfId="0" applyNumberFormat="1" applyFont="1" applyBorder="1" applyAlignment="1">
      <alignment horizontal="center" vertical="center"/>
    </xf>
    <xf numFmtId="0" fontId="25" fillId="0" borderId="3" xfId="0" applyFont="1" applyBorder="1" applyAlignment="1">
      <alignment horizontal="center" vertical="center"/>
    </xf>
    <xf numFmtId="165" fontId="26" fillId="0" borderId="3" xfId="6" applyFont="1" applyFill="1" applyBorder="1" applyAlignment="1">
      <alignment horizontal="left" vertical="center"/>
    </xf>
    <xf numFmtId="9" fontId="16" fillId="0" borderId="3" xfId="2" applyFont="1" applyFill="1" applyBorder="1" applyAlignment="1">
      <alignment horizontal="center" vertical="center"/>
    </xf>
    <xf numFmtId="3" fontId="16" fillId="0" borderId="3" xfId="6"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vertical="center"/>
    </xf>
    <xf numFmtId="0" fontId="16" fillId="7" borderId="3" xfId="2" applyNumberFormat="1" applyFont="1" applyFill="1" applyBorder="1" applyAlignment="1">
      <alignment horizontal="center" vertical="center"/>
    </xf>
    <xf numFmtId="3" fontId="16" fillId="7" borderId="3" xfId="6" applyNumberFormat="1" applyFont="1" applyFill="1" applyBorder="1" applyAlignment="1">
      <alignment horizontal="center" vertical="center"/>
    </xf>
    <xf numFmtId="0" fontId="4" fillId="7" borderId="3" xfId="0" applyFont="1" applyFill="1" applyBorder="1" applyAlignment="1">
      <alignment horizontal="center" vertical="center"/>
    </xf>
    <xf numFmtId="0" fontId="16" fillId="0" borderId="3" xfId="0" quotePrefix="1" applyFont="1" applyBorder="1" applyAlignment="1">
      <alignment horizontal="center" vertical="center"/>
    </xf>
    <xf numFmtId="165" fontId="16" fillId="0" borderId="3" xfId="6" applyFont="1" applyFill="1" applyBorder="1" applyAlignment="1">
      <alignment horizontal="left" vertical="center"/>
    </xf>
    <xf numFmtId="0" fontId="16" fillId="0" borderId="3" xfId="2" applyNumberFormat="1" applyFont="1" applyFill="1" applyBorder="1" applyAlignment="1">
      <alignment horizontal="center" vertical="center"/>
    </xf>
    <xf numFmtId="165" fontId="26" fillId="7" borderId="3" xfId="6" applyFont="1" applyFill="1" applyBorder="1" applyAlignment="1">
      <alignment horizontal="left" vertical="center"/>
    </xf>
    <xf numFmtId="0" fontId="4" fillId="7" borderId="3" xfId="0" applyFont="1" applyFill="1" applyBorder="1" applyAlignment="1">
      <alignment vertical="center"/>
    </xf>
    <xf numFmtId="1" fontId="16" fillId="13" borderId="3" xfId="2" applyNumberFormat="1" applyFont="1" applyFill="1" applyBorder="1" applyAlignment="1">
      <alignment horizontal="center" vertical="center"/>
    </xf>
    <xf numFmtId="0" fontId="4" fillId="13" borderId="3" xfId="0" applyFont="1" applyFill="1" applyBorder="1" applyAlignment="1">
      <alignment vertical="center"/>
    </xf>
    <xf numFmtId="0" fontId="4" fillId="13" borderId="3" xfId="0" applyFont="1" applyFill="1" applyBorder="1" applyAlignment="1">
      <alignment horizontal="center" vertical="center"/>
    </xf>
    <xf numFmtId="0" fontId="16" fillId="0" borderId="3" xfId="4" quotePrefix="1" applyFont="1" applyBorder="1" applyAlignment="1" applyProtection="1">
      <alignment horizontal="center" vertical="center"/>
      <protection locked="0"/>
    </xf>
    <xf numFmtId="0" fontId="16" fillId="0" borderId="3" xfId="5" applyNumberFormat="1" applyFont="1" applyFill="1" applyBorder="1" applyAlignment="1" applyProtection="1">
      <alignment horizontal="center" vertical="center"/>
      <protection locked="0"/>
    </xf>
    <xf numFmtId="0" fontId="25" fillId="0" borderId="3" xfId="0" applyFont="1" applyBorder="1" applyAlignment="1">
      <alignment horizontal="left" vertical="center"/>
    </xf>
    <xf numFmtId="3" fontId="16" fillId="0" borderId="3" xfId="0" applyNumberFormat="1" applyFont="1" applyBorder="1" applyAlignment="1">
      <alignment horizontal="center" vertical="center"/>
    </xf>
    <xf numFmtId="0" fontId="25" fillId="0" borderId="3" xfId="0" quotePrefix="1" applyFont="1" applyBorder="1" applyAlignment="1">
      <alignment horizontal="center" vertical="center"/>
    </xf>
    <xf numFmtId="0" fontId="16" fillId="15" borderId="3" xfId="0" applyFont="1" applyFill="1" applyBorder="1" applyAlignment="1">
      <alignment horizontal="center" vertical="center"/>
    </xf>
    <xf numFmtId="0" fontId="25" fillId="15" borderId="3" xfId="0" applyFont="1" applyFill="1" applyBorder="1" applyAlignment="1">
      <alignment horizontal="left" vertical="center"/>
    </xf>
    <xf numFmtId="0" fontId="16" fillId="15" borderId="3" xfId="0" applyFont="1" applyFill="1" applyBorder="1" applyAlignment="1">
      <alignment vertical="center"/>
    </xf>
    <xf numFmtId="3" fontId="16" fillId="15" borderId="3" xfId="0" applyNumberFormat="1" applyFont="1" applyFill="1" applyBorder="1" applyAlignment="1">
      <alignment horizontal="center" vertical="center"/>
    </xf>
    <xf numFmtId="9" fontId="27" fillId="0" borderId="3" xfId="2" applyFont="1" applyFill="1" applyBorder="1" applyAlignment="1">
      <alignment horizontal="center" vertical="center"/>
    </xf>
    <xf numFmtId="3" fontId="27" fillId="0" borderId="3" xfId="6" applyNumberFormat="1" applyFont="1" applyFill="1" applyBorder="1" applyAlignment="1">
      <alignment horizontal="center" vertical="center"/>
    </xf>
    <xf numFmtId="3" fontId="27" fillId="12" borderId="3" xfId="2" applyNumberFormat="1" applyFont="1" applyFill="1" applyBorder="1" applyAlignment="1">
      <alignment horizontal="center" vertical="center"/>
    </xf>
    <xf numFmtId="3" fontId="27" fillId="12" borderId="3" xfId="6" applyNumberFormat="1" applyFont="1" applyFill="1" applyBorder="1" applyAlignment="1">
      <alignment horizontal="center" vertical="center"/>
    </xf>
    <xf numFmtId="165" fontId="25" fillId="0" borderId="3" xfId="6" applyFont="1" applyFill="1" applyBorder="1" applyAlignment="1">
      <alignment horizontal="left" vertical="center"/>
    </xf>
    <xf numFmtId="3" fontId="27" fillId="0" borderId="3" xfId="2" applyNumberFormat="1" applyFont="1" applyFill="1" applyBorder="1" applyAlignment="1">
      <alignment horizontal="center" vertical="center"/>
    </xf>
    <xf numFmtId="165" fontId="25" fillId="3" borderId="3" xfId="6" applyFont="1" applyFill="1" applyBorder="1" applyAlignment="1">
      <alignment horizontal="left" vertical="center"/>
    </xf>
    <xf numFmtId="3" fontId="28" fillId="3" borderId="3" xfId="2" applyNumberFormat="1" applyFont="1" applyFill="1" applyBorder="1" applyAlignment="1">
      <alignment horizontal="center" vertical="center"/>
    </xf>
    <xf numFmtId="0" fontId="25" fillId="3" borderId="3" xfId="4" applyFont="1" applyFill="1" applyBorder="1" applyAlignment="1" applyProtection="1">
      <alignment vertical="center"/>
      <protection locked="0"/>
    </xf>
    <xf numFmtId="3" fontId="28" fillId="3" borderId="3" xfId="6"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vertical="center"/>
    </xf>
    <xf numFmtId="4" fontId="25" fillId="3" borderId="3" xfId="0" applyNumberFormat="1" applyFont="1" applyFill="1" applyBorder="1" applyAlignment="1">
      <alignment horizontal="center" vertical="center"/>
    </xf>
    <xf numFmtId="165" fontId="26" fillId="12" borderId="3" xfId="6" applyFont="1" applyFill="1" applyBorder="1" applyAlignment="1">
      <alignment horizontal="left" vertical="center"/>
    </xf>
    <xf numFmtId="9" fontId="27" fillId="12" borderId="3" xfId="2" applyFont="1" applyFill="1" applyBorder="1" applyAlignment="1">
      <alignment horizontal="center" vertical="center"/>
    </xf>
    <xf numFmtId="0" fontId="16" fillId="12" borderId="3" xfId="0" applyFont="1" applyFill="1" applyBorder="1" applyAlignment="1">
      <alignment horizontal="left" vertical="center"/>
    </xf>
    <xf numFmtId="0" fontId="16" fillId="16" borderId="3" xfId="0" applyFont="1" applyFill="1" applyBorder="1" applyAlignment="1">
      <alignment horizontal="left" vertical="center"/>
    </xf>
    <xf numFmtId="0" fontId="16" fillId="16" borderId="3" xfId="0" applyFont="1" applyFill="1" applyBorder="1" applyAlignment="1">
      <alignment horizontal="center" vertical="center"/>
    </xf>
    <xf numFmtId="0" fontId="16" fillId="16" borderId="3" xfId="0" applyFont="1" applyFill="1" applyBorder="1" applyAlignment="1">
      <alignment vertical="center"/>
    </xf>
    <xf numFmtId="3" fontId="16" fillId="16" borderId="3" xfId="0" applyNumberFormat="1" applyFont="1" applyFill="1" applyBorder="1" applyAlignment="1">
      <alignment horizontal="center" vertical="center"/>
    </xf>
    <xf numFmtId="4" fontId="16" fillId="16" borderId="3" xfId="0" applyNumberFormat="1" applyFont="1" applyFill="1" applyBorder="1" applyAlignment="1">
      <alignment horizontal="center" vertical="center"/>
    </xf>
    <xf numFmtId="4" fontId="16" fillId="21" borderId="3" xfId="0" applyNumberFormat="1" applyFont="1" applyFill="1" applyBorder="1" applyAlignment="1">
      <alignment horizontal="center" vertical="center"/>
    </xf>
    <xf numFmtId="0" fontId="25" fillId="0" borderId="3" xfId="0" applyFont="1" applyBorder="1" applyAlignment="1">
      <alignment vertical="center"/>
    </xf>
    <xf numFmtId="3" fontId="25" fillId="0" borderId="3" xfId="0" applyNumberFormat="1" applyFont="1" applyBorder="1" applyAlignment="1">
      <alignment horizontal="center" vertical="center"/>
    </xf>
    <xf numFmtId="4" fontId="25" fillId="0" borderId="3" xfId="0" applyNumberFormat="1" applyFont="1" applyBorder="1" applyAlignment="1">
      <alignment horizontal="center" vertical="center"/>
    </xf>
    <xf numFmtId="0" fontId="29" fillId="0" borderId="3" xfId="0" applyFont="1" applyBorder="1" applyAlignment="1">
      <alignment horizontal="left" vertical="center"/>
    </xf>
    <xf numFmtId="4" fontId="0" fillId="0" borderId="3" xfId="0" applyNumberFormat="1" applyBorder="1" applyAlignment="1">
      <alignment horizontal="center" vertical="center"/>
    </xf>
    <xf numFmtId="0" fontId="16" fillId="14" borderId="3" xfId="0" applyFont="1" applyFill="1" applyBorder="1" applyAlignment="1">
      <alignment horizontal="center" vertical="center"/>
    </xf>
    <xf numFmtId="4" fontId="0" fillId="15" borderId="3" xfId="0" applyNumberFormat="1" applyFill="1" applyBorder="1" applyAlignment="1">
      <alignment horizontal="center" vertical="center"/>
    </xf>
    <xf numFmtId="0" fontId="0" fillId="0" borderId="3" xfId="0" quotePrefix="1" applyBorder="1" applyAlignment="1">
      <alignment horizontal="center" vertical="center"/>
    </xf>
    <xf numFmtId="0" fontId="0" fillId="7" borderId="3" xfId="0" applyFill="1" applyBorder="1" applyAlignment="1">
      <alignment horizontal="left" vertical="center"/>
    </xf>
    <xf numFmtId="3" fontId="0" fillId="7" borderId="3" xfId="0" applyNumberFormat="1" applyFill="1" applyBorder="1" applyAlignment="1">
      <alignment horizontal="center" vertical="center"/>
    </xf>
    <xf numFmtId="9" fontId="0" fillId="7" borderId="3" xfId="2" applyFont="1" applyFill="1" applyBorder="1" applyAlignment="1">
      <alignment horizontal="center" vertical="center"/>
    </xf>
    <xf numFmtId="2" fontId="0" fillId="7" borderId="3" xfId="0" applyNumberFormat="1" applyFill="1" applyBorder="1" applyAlignment="1">
      <alignment horizontal="center" vertical="center"/>
    </xf>
    <xf numFmtId="0" fontId="0" fillId="13" borderId="3" xfId="0" applyFill="1" applyBorder="1" applyAlignment="1">
      <alignment horizontal="left" vertical="center"/>
    </xf>
    <xf numFmtId="3" fontId="0" fillId="13" borderId="3" xfId="0" applyNumberFormat="1" applyFill="1" applyBorder="1" applyAlignment="1">
      <alignment horizontal="center" vertical="center"/>
    </xf>
    <xf numFmtId="9" fontId="0" fillId="0" borderId="3" xfId="0" applyNumberFormat="1" applyBorder="1" applyAlignment="1">
      <alignment horizontal="center" vertical="center"/>
    </xf>
    <xf numFmtId="166" fontId="0" fillId="21" borderId="0" xfId="3" applyNumberFormat="1" applyFont="1" applyFill="1" applyBorder="1"/>
    <xf numFmtId="167" fontId="1" fillId="3" borderId="0" xfId="1" applyNumberFormat="1" applyFont="1" applyFill="1" applyBorder="1" applyAlignment="1" applyProtection="1">
      <alignment vertical="center" wrapText="1"/>
      <protection locked="0"/>
    </xf>
    <xf numFmtId="9" fontId="3" fillId="0" borderId="0" xfId="2" applyFont="1" applyAlignment="1">
      <alignment horizontal="center" vertical="center"/>
    </xf>
    <xf numFmtId="4" fontId="0" fillId="0" borderId="0" xfId="0" applyNumberFormat="1" applyAlignment="1">
      <alignment horizontal="center" vertical="center"/>
    </xf>
    <xf numFmtId="10" fontId="3" fillId="0" borderId="0" xfId="2" applyNumberFormat="1" applyFont="1" applyAlignment="1">
      <alignment horizontal="center" vertical="center" wrapText="1"/>
    </xf>
    <xf numFmtId="0" fontId="17" fillId="0" borderId="0" xfId="0" applyFont="1" applyAlignment="1">
      <alignment horizontal="left" vertical="top" wrapText="1"/>
    </xf>
    <xf numFmtId="0" fontId="5" fillId="3" borderId="3" xfId="0" applyFont="1" applyFill="1" applyBorder="1" applyAlignment="1" applyProtection="1">
      <alignment horizontal="left" vertical="center" wrapText="1"/>
      <protection locked="0"/>
    </xf>
    <xf numFmtId="164" fontId="5" fillId="3" borderId="3" xfId="1" applyFont="1" applyFill="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164" fontId="1" fillId="0"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164" fontId="1" fillId="3" borderId="3" xfId="1" applyFont="1" applyFill="1" applyBorder="1" applyAlignment="1" applyProtection="1">
      <alignment horizontal="left" vertical="center" wrapText="1"/>
      <protection locked="0"/>
    </xf>
    <xf numFmtId="0" fontId="17" fillId="0" borderId="0" xfId="0" applyFont="1" applyAlignment="1">
      <alignment horizontal="left" vertical="center" wrapText="1"/>
    </xf>
    <xf numFmtId="0" fontId="22" fillId="0" borderId="0" xfId="0" applyFont="1" applyAlignment="1">
      <alignment horizontal="left" vertical="center" wrapText="1"/>
    </xf>
    <xf numFmtId="49" fontId="2" fillId="3" borderId="3" xfId="0" applyNumberFormat="1"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1" fillId="0" borderId="48" xfId="0" applyFont="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8">
    <cellStyle name="Comma" xfId="3" builtinId="3"/>
    <cellStyle name="Comma 3" xfId="6" xr:uid="{00000000-0005-0000-0000-000001000000}"/>
    <cellStyle name="Comma 3 2" xfId="7" xr:uid="{00000000-0005-0000-0000-000002000000}"/>
    <cellStyle name="Currency" xfId="1" builtinId="4"/>
    <cellStyle name="Normal" xfId="0" builtinId="0"/>
    <cellStyle name="Normal 2" xfId="4" xr:uid="{00000000-0005-0000-0000-000005000000}"/>
    <cellStyle name="Percent" xfId="2" builtinId="5"/>
    <cellStyle name="Percent 2" xfId="5" xr:uid="{00000000-0005-0000-0000-000007000000}"/>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35" formatCode="_-* #,##0.00_-;\-* #,##0.00_-;_-* &quot;-&quot;??_-;_-@_-"/>
    </dxf>
    <dxf>
      <numFmt numFmtId="35" formatCode="_-* #,##0.00_-;\-* #,##0.00_-;_-* &quot;-&quot;??_-;_-@_-"/>
    </dxf>
  </dxfs>
  <tableStyles count="0" defaultTableStyle="TableStyleMedium2" defaultPivotStyle="PivotStyleLight16"/>
  <colors>
    <mruColors>
      <color rgb="FF99CCFF"/>
      <color rgb="FFFFCCFF"/>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en.Tchao/Downloads/Work/Concern%20Worldwide/4.%20Projects%20Management/3.%20UD056-Fanm%20Djanm-UNPBF/2.%20Financial%20Report/UD056%20Sept%202023%20Testing%20Correctio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h.sellier/Desktop/CFC/4%20-%20CMT/2022/Protection%20Projects_Haiti_CW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Summary"/>
      <sheetName val="1. Details"/>
      <sheetName val="2. ProjectSummary"/>
      <sheetName val="3. Donor Budget &amp; Report"/>
      <sheetName val="4. Agreed Donor Budget"/>
      <sheetName val="PBF"/>
      <sheetName val="5. TransactionList"/>
      <sheetName val="Sheet1"/>
      <sheetName val="6. FurtherDetails"/>
      <sheetName val="Checklist"/>
      <sheetName val="MasterData"/>
    </sheetNames>
    <sheetDataSet>
      <sheetData sheetId="0"/>
      <sheetData sheetId="1">
        <row r="13">
          <cell r="D13" t="str">
            <v>UD056</v>
          </cell>
        </row>
        <row r="26">
          <cell r="D26" t="str">
            <v>202309</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Details"/>
      <sheetName val="Synthese"/>
    </sheetNames>
    <sheetDataSet>
      <sheetData sheetId="0"/>
      <sheetData sheetId="1">
        <row r="132">
          <cell r="G132">
            <v>1251216.1626000002</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rien Patrick TCHAO TCHACOUNTE" refreshedDate="45166.848517361112" createdVersion="6" refreshedVersion="6" minRefreshableVersion="3" recordCount="171" xr:uid="{00000000-000A-0000-FFFF-FFFF03000000}">
  <cacheSource type="worksheet">
    <worksheetSource ref="E6:R177" sheet="BU CWW"/>
  </cacheSource>
  <cacheFields count="13">
    <cacheField name="Cost Category" numFmtId="0">
      <sharedItems/>
    </cacheField>
    <cacheField name="Unit Quantity" numFmtId="0">
      <sharedItems containsString="0" containsBlank="1" containsNumber="1" minValue="0.05" maxValue="2000"/>
    </cacheField>
    <cacheField name="Unit of Measure " numFmtId="0">
      <sharedItems containsBlank="1"/>
    </cacheField>
    <cacheField name="Unit price" numFmtId="3">
      <sharedItems containsString="0" containsBlank="1" containsNumber="1" minValue="2.5" maxValue="30139"/>
    </cacheField>
    <cacheField name="Duration" numFmtId="0">
      <sharedItems containsString="0" containsBlank="1" containsNumber="1" minValue="1" maxValue="50"/>
    </cacheField>
    <cacheField name="Currency" numFmtId="0">
      <sharedItems containsBlank="1"/>
    </cacheField>
    <cacheField name="Total Budget USD" numFmtId="0">
      <sharedItems containsBlank="1" containsMixedTypes="1" containsNumber="1" minValue="0" maxValue="1500000.0057290695"/>
    </cacheField>
    <cacheField name="Concern" numFmtId="0">
      <sharedItems containsBlank="1" containsMixedTypes="1" containsNumber="1" minValue="0" maxValue="794645.24986206391"/>
    </cacheField>
    <cacheField name="CMPC" numFmtId="0">
      <sharedItems containsBlank="1" containsMixedTypes="1" containsNumber="1" containsInteger="1" minValue="0" maxValue="55475"/>
    </cacheField>
    <cacheField name="Fondation IDEO" numFmtId="0">
      <sharedItems containsBlank="1" containsMixedTypes="1" containsNumber="1" containsInteger="1" minValue="0" maxValue="227862"/>
    </cacheField>
    <cacheField name="Other local org" numFmtId="0">
      <sharedItems containsBlank="1" containsMixedTypes="1" containsNumber="1" containsInteger="1" minValue="0" maxValue="200000"/>
    </cacheField>
    <cacheField name="NEGES MAWON" numFmtId="0">
      <sharedItems containsBlank="1" containsMixedTypes="1" containsNumber="1" minValue="0" maxValue="213010.16"/>
    </cacheField>
    <cacheField name="Tableau budgetaire 1" numFmtId="0">
      <sharedItems containsBlank="1" count="35">
        <m/>
        <s v="Cout de personnel du projet si pas inclus dans les activites si-dessus"/>
        <s v="TBSPLIT"/>
        <s v="Budget de suivi"/>
        <s v="Budget pour l'évaluation finale indépendante"/>
        <s v="Activite"/>
        <s v="1.1.1"/>
        <s v="1.1.2"/>
        <s v="1.1.3"/>
        <s v="1.2.1"/>
        <s v="1.2.2"/>
        <s v="1.2.3"/>
        <s v="1.2.4"/>
        <s v="1.2.5"/>
        <s v="1.2.6"/>
        <s v="2.1.1"/>
        <s v="2.1.2"/>
        <s v="2.2.1"/>
        <s v="2.3.1"/>
        <s v="2.3.2"/>
        <s v="2.3.3"/>
        <s v="2.3.4"/>
        <s v="2.3.5"/>
        <s v="2.3.6"/>
        <s v="2.4.1"/>
        <s v="3.1.1"/>
        <s v="3.1.2"/>
        <s v="3.1.3"/>
        <s v="3.1.4"/>
        <s v="3.1.5"/>
        <s v="3.1.6"/>
        <s v="3.1.7"/>
        <s v="3.1.8"/>
        <s v="3.2.1"/>
        <s v="Couts operationnels si pas inclus dans les activites si-dessus"/>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rien Patrick TCHAO TCHACOUNTE" refreshedDate="45166.848750347221" createdVersion="6" refreshedVersion="6" minRefreshableVersion="3" recordCount="171" xr:uid="{00000000-000A-0000-FFFF-FFFF04000000}">
  <cacheSource type="worksheet">
    <worksheetSource ref="E6:S177" sheet="BU CWW"/>
  </cacheSource>
  <cacheFields count="14">
    <cacheField name="Cost Category" numFmtId="0">
      <sharedItems/>
    </cacheField>
    <cacheField name="Unit Quantity" numFmtId="0">
      <sharedItems containsString="0" containsBlank="1" containsNumber="1" minValue="0.05" maxValue="2000"/>
    </cacheField>
    <cacheField name="Unit of Measure " numFmtId="0">
      <sharedItems containsBlank="1"/>
    </cacheField>
    <cacheField name="Unit price" numFmtId="3">
      <sharedItems containsString="0" containsBlank="1" containsNumber="1" minValue="2.5" maxValue="30139"/>
    </cacheField>
    <cacheField name="Duration" numFmtId="0">
      <sharedItems containsString="0" containsBlank="1" containsNumber="1" minValue="1" maxValue="50"/>
    </cacheField>
    <cacheField name="Currency" numFmtId="0">
      <sharedItems containsBlank="1"/>
    </cacheField>
    <cacheField name="Total Budget USD" numFmtId="0">
      <sharedItems containsBlank="1" containsMixedTypes="1" containsNumber="1" minValue="0" maxValue="1500000.0057290695"/>
    </cacheField>
    <cacheField name="Concern" numFmtId="0">
      <sharedItems containsBlank="1" containsMixedTypes="1" containsNumber="1" minValue="0" maxValue="794645.24986206391"/>
    </cacheField>
    <cacheField name="CMPC" numFmtId="0">
      <sharedItems containsBlank="1" containsMixedTypes="1" containsNumber="1" containsInteger="1" minValue="0" maxValue="55475"/>
    </cacheField>
    <cacheField name="Fondation IDEO" numFmtId="0">
      <sharedItems containsBlank="1" containsMixedTypes="1" containsNumber="1" containsInteger="1" minValue="0" maxValue="227862"/>
    </cacheField>
    <cacheField name="Other local org" numFmtId="0">
      <sharedItems containsBlank="1" containsMixedTypes="1" containsNumber="1" containsInteger="1" minValue="0" maxValue="200000"/>
    </cacheField>
    <cacheField name="NEGES MAWON" numFmtId="0">
      <sharedItems containsBlank="1" containsMixedTypes="1" containsNumber="1" minValue="0" maxValue="213010.16"/>
    </cacheField>
    <cacheField name="Tableau budgetaire 1" numFmtId="0">
      <sharedItems containsBlank="1" count="35">
        <m/>
        <s v="Cout de personnel du projet si pas inclus dans les activites si-dessus"/>
        <s v="TBSPLIT"/>
        <s v="Budget de suivi"/>
        <s v="Budget pour l'évaluation finale indépendante"/>
        <s v="Activite"/>
        <s v="1.1.1"/>
        <s v="1.1.2"/>
        <s v="1.1.3"/>
        <s v="1.2.1"/>
        <s v="1.2.2"/>
        <s v="1.2.3"/>
        <s v="1.2.4"/>
        <s v="1.2.5"/>
        <s v="1.2.6"/>
        <s v="2.1.1"/>
        <s v="2.1.2"/>
        <s v="2.2.1"/>
        <s v="2.3.1"/>
        <s v="2.3.2"/>
        <s v="2.3.3"/>
        <s v="2.3.4"/>
        <s v="2.3.5"/>
        <s v="2.3.6"/>
        <s v="2.4.1"/>
        <s v="3.1.1"/>
        <s v="3.1.2"/>
        <s v="3.1.3"/>
        <s v="3.1.4"/>
        <s v="3.1.5"/>
        <s v="3.1.6"/>
        <s v="3.1.7"/>
        <s v="3.1.8"/>
        <s v="3.2.1"/>
        <s v="Couts operationnels si pas inclus dans les activites si-dessus"/>
      </sharedItems>
    </cacheField>
    <cacheField name="Tableau budgetaire 2" numFmtId="0">
      <sharedItems containsBlank="1" count="10">
        <m/>
        <s v="1. Personnel et autres employés"/>
        <s v="4. Services contractuels"/>
        <s v="3. Équipement, véhicules et mobilier (compte tenu de la dépréciation)"/>
        <s v="categorie"/>
        <s v="5. Frais de déplacement"/>
        <s v="2. Fournitures, produits de base, matériels"/>
        <s v="6. Transferts et subventions aux homologues"/>
        <s v="7. Frais généraux de fonctionnement et autres coûts directs"/>
        <s v="2. Fournitures, produits de base, matériels 60% , 6. Transferts et subventions aux homologues 40%"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rien Patrick TCHAO TCHACOUNTE" refreshedDate="45166.849163657411" createdVersion="6" refreshedVersion="6" minRefreshableVersion="3" recordCount="84" xr:uid="{00000000-000A-0000-FFFF-FFFF05000000}">
  <cacheSource type="worksheet">
    <worksheetSource ref="K60:S144" sheet="BU CWW"/>
  </cacheSource>
  <cacheFields count="8">
    <cacheField name="Montant" numFmtId="4">
      <sharedItems containsString="0" containsBlank="1" containsNumber="1" minValue="50" maxValue="317290.35379876633"/>
    </cacheField>
    <cacheField name="a" numFmtId="4">
      <sharedItems containsString="0" containsBlank="1" containsNumber="1" minValue="448.21826912915913" maxValue="108350.75"/>
    </cacheField>
    <cacheField name="c" numFmtId="4">
      <sharedItems containsString="0" containsBlank="1" containsNumber="1" containsInteger="1" minValue="0" maxValue="54975"/>
    </cacheField>
    <cacheField name="v" numFmtId="4">
      <sharedItems containsString="0" containsBlank="1" containsNumber="1" containsInteger="1" minValue="0" maxValue="84000"/>
    </cacheField>
    <cacheField name="r" numFmtId="4">
      <sharedItems containsString="0" containsBlank="1" containsNumber="1" containsInteger="1" minValue="0" maxValue="200000"/>
    </cacheField>
    <cacheField name="h" numFmtId="4">
      <sharedItems containsString="0" containsBlank="1" containsNumber="1" containsInteger="1" minValue="0" maxValue="96000"/>
    </cacheField>
    <cacheField name="Activite" numFmtId="0">
      <sharedItems containsBlank="1" count="29">
        <s v="1.1.1"/>
        <m/>
        <s v="1.1.2"/>
        <s v="1.1.3"/>
        <s v="1.2.1"/>
        <s v="1.2.2"/>
        <s v="1.2.3"/>
        <s v="1.2.4"/>
        <s v="1.2.5"/>
        <s v="1.2.6"/>
        <s v="2.1.1"/>
        <s v="2.1.2"/>
        <s v="2.2.1"/>
        <s v="2.3.1"/>
        <s v="2.3.2"/>
        <s v="2.3.3"/>
        <s v="2.3.4"/>
        <s v="2.3.5"/>
        <s v="2.3.6"/>
        <s v="2.4.1"/>
        <s v="3.1.1"/>
        <s v="3.1.2"/>
        <s v="3.1.3"/>
        <s v="3.1.4"/>
        <s v="3.1.5"/>
        <s v="3.1.6"/>
        <s v="3.1.7"/>
        <s v="3.1.8"/>
        <s v="3.2.1"/>
      </sharedItems>
    </cacheField>
    <cacheField name="categorie" numFmtId="0">
      <sharedItems containsBlank="1" count="6">
        <s v="1. Personnel et autres employés"/>
        <s v="5. Frais de déplacement"/>
        <m/>
        <s v="2. Fournitures, produits de base, matériels"/>
        <s v="6. Transferts et subventions aux homologues"/>
        <s v="4. Services contractuel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1">
  <r>
    <s v="STAFF COSTS"/>
    <m/>
    <m/>
    <m/>
    <m/>
    <m/>
    <n v="423764.28"/>
    <n v="324764.27999999997"/>
    <n v="0"/>
    <n v="59040"/>
    <n v="0"/>
    <n v="39960"/>
    <x v="0"/>
  </r>
  <r>
    <s v="International Support Staff Costs"/>
    <m/>
    <m/>
    <m/>
    <m/>
    <m/>
    <n v="62095.040000000001"/>
    <n v="62095.040000000001"/>
    <n v="0"/>
    <n v="0"/>
    <n v="0"/>
    <n v="0"/>
    <x v="0"/>
  </r>
  <r>
    <s v="Country Director"/>
    <n v="0.1"/>
    <s v="Months"/>
    <n v="9000"/>
    <n v="18"/>
    <s v="USD"/>
    <n v="17351.5"/>
    <n v="17351.5"/>
    <m/>
    <m/>
    <m/>
    <m/>
    <x v="1"/>
  </r>
  <r>
    <s v="Program Director "/>
    <n v="0.1"/>
    <s v="Months"/>
    <n v="8000"/>
    <n v="18"/>
    <s v="USD"/>
    <n v="15943.54"/>
    <n v="15943.54"/>
    <m/>
    <m/>
    <m/>
    <m/>
    <x v="1"/>
  </r>
  <r>
    <s v="System Director"/>
    <n v="0.1"/>
    <s v="Months"/>
    <n v="8000"/>
    <n v="18"/>
    <s v="USD"/>
    <n v="14400"/>
    <n v="14400"/>
    <m/>
    <m/>
    <m/>
    <m/>
    <x v="1"/>
  </r>
  <r>
    <s v="Country Financial Controller"/>
    <n v="0.1"/>
    <s v="Months"/>
    <n v="8000"/>
    <n v="18"/>
    <s v="USD"/>
    <n v="14400"/>
    <n v="14400"/>
    <m/>
    <m/>
    <m/>
    <m/>
    <x v="1"/>
  </r>
  <r>
    <s v="Urban Coordinator"/>
    <n v="0.1"/>
    <s v="Months"/>
    <n v="7000"/>
    <n v="6"/>
    <s v="USD"/>
    <n v="0"/>
    <n v="0"/>
    <m/>
    <m/>
    <m/>
    <m/>
    <x v="1"/>
  </r>
  <r>
    <s v="International Program Staff Costs"/>
    <m/>
    <m/>
    <m/>
    <m/>
    <m/>
    <n v="98380.47"/>
    <n v="98380.47"/>
    <n v="0"/>
    <n v="0"/>
    <n v="0"/>
    <n v="0"/>
    <x v="0"/>
  </r>
  <r>
    <s v="Project Manager"/>
    <n v="0.5"/>
    <s v="Months"/>
    <n v="6000"/>
    <n v="18"/>
    <s v="USD"/>
    <n v="98380.47"/>
    <n v="98380.47"/>
    <m/>
    <m/>
    <m/>
    <m/>
    <x v="1"/>
  </r>
  <r>
    <s v="National Support Staff Costs"/>
    <m/>
    <m/>
    <m/>
    <m/>
    <m/>
    <n v="72402.16"/>
    <n v="45402.159999999989"/>
    <n v="0"/>
    <n v="14040"/>
    <n v="0"/>
    <n v="12960"/>
    <x v="0"/>
  </r>
  <r>
    <s v="Responsable financier"/>
    <n v="0.3"/>
    <s v="Months"/>
    <n v="1000"/>
    <n v="18"/>
    <s v="USD"/>
    <n v="5400"/>
    <m/>
    <m/>
    <n v="5400"/>
    <m/>
    <m/>
    <x v="2"/>
  </r>
  <r>
    <s v="Responsable logistique"/>
    <n v="0.3"/>
    <s v="Months"/>
    <n v="800"/>
    <n v="18"/>
    <s v="USD"/>
    <n v="4320"/>
    <m/>
    <m/>
    <n v="4320"/>
    <m/>
    <m/>
    <x v="2"/>
  </r>
  <r>
    <s v="Administrative assistant"/>
    <n v="0.2"/>
    <s v="Months"/>
    <n v="600"/>
    <n v="18"/>
    <s v="USD"/>
    <n v="2160"/>
    <m/>
    <m/>
    <n v="2160"/>
    <m/>
    <m/>
    <x v="2"/>
  </r>
  <r>
    <s v="Chauffeur"/>
    <n v="0.3"/>
    <s v="Months"/>
    <n v="400"/>
    <n v="18"/>
    <s v="USD"/>
    <n v="2160"/>
    <m/>
    <m/>
    <n v="2160"/>
    <m/>
    <m/>
    <x v="2"/>
  </r>
  <r>
    <s v="Gestionnaire administrative"/>
    <n v="0.8"/>
    <s v="Months"/>
    <n v="500"/>
    <n v="18"/>
    <s v="USD"/>
    <n v="7200"/>
    <m/>
    <m/>
    <m/>
    <m/>
    <n v="7200"/>
    <x v="2"/>
  </r>
  <r>
    <s v="Charge operationnel et log "/>
    <n v="0.8"/>
    <s v="Months"/>
    <n v="400"/>
    <n v="18"/>
    <s v="USD"/>
    <n v="5760"/>
    <m/>
    <m/>
    <m/>
    <m/>
    <n v="5760"/>
    <x v="2"/>
  </r>
  <r>
    <s v="Officier de partenariat et protection"/>
    <n v="0.2"/>
    <s v="Months"/>
    <n v="1200"/>
    <n v="18"/>
    <s v="USD"/>
    <n v="5389.73"/>
    <n v="5389.73"/>
    <m/>
    <m/>
    <m/>
    <m/>
    <x v="1"/>
  </r>
  <r>
    <s v="HR/Admin Manager"/>
    <n v="0.05"/>
    <s v="Months"/>
    <n v="2300"/>
    <n v="18"/>
    <s v="USD"/>
    <n v="4235.7700000000004"/>
    <n v="4235.7700000000004"/>
    <m/>
    <m/>
    <m/>
    <m/>
    <x v="1"/>
  </r>
  <r>
    <s v="HR/Admin Officer"/>
    <n v="0.05"/>
    <s v="Months"/>
    <n v="1200"/>
    <n v="18"/>
    <s v="USD"/>
    <n v="2271.59"/>
    <n v="2271.59"/>
    <m/>
    <m/>
    <m/>
    <m/>
    <x v="1"/>
  </r>
  <r>
    <s v="Logistics &amp; Transport Officer "/>
    <n v="0.05"/>
    <s v="Months"/>
    <n v="1200"/>
    <n v="18"/>
    <s v="USD"/>
    <n v="4250.05"/>
    <n v="4250.05"/>
    <m/>
    <m/>
    <m/>
    <m/>
    <x v="1"/>
  </r>
  <r>
    <s v="Procurement Officer"/>
    <n v="0.05"/>
    <s v="Months"/>
    <n v="1500"/>
    <n v="18"/>
    <s v="USD"/>
    <n v="2957.92"/>
    <n v="2957.92"/>
    <m/>
    <m/>
    <m/>
    <m/>
    <x v="1"/>
  </r>
  <r>
    <s v="Assistant CFC"/>
    <n v="0.05"/>
    <s v="Months"/>
    <n v="2800"/>
    <n v="18"/>
    <s v="USD"/>
    <n v="4385.71"/>
    <n v="4385.71"/>
    <m/>
    <m/>
    <m/>
    <m/>
    <x v="1"/>
  </r>
  <r>
    <s v="Senior Finance Officer"/>
    <n v="0.05"/>
    <s v="Months"/>
    <n v="2000"/>
    <n v="18"/>
    <s v="USD"/>
    <n v="7579.45"/>
    <n v="7579.45"/>
    <m/>
    <m/>
    <m/>
    <m/>
    <x v="1"/>
  </r>
  <r>
    <s v="Senior Finance Officer &amp; Partnership"/>
    <n v="0.2"/>
    <s v="Months"/>
    <n v="1200"/>
    <n v="18"/>
    <s v="USD"/>
    <n v="6136.36"/>
    <n v="6136.36"/>
    <m/>
    <m/>
    <m/>
    <m/>
    <x v="1"/>
  </r>
  <r>
    <s v="Finance Assistant"/>
    <n v="0.05"/>
    <s v="Months"/>
    <n v="1000"/>
    <n v="18"/>
    <s v="USD"/>
    <n v="1998.42"/>
    <n v="1998.42"/>
    <m/>
    <m/>
    <m/>
    <m/>
    <x v="1"/>
  </r>
  <r>
    <s v="IT Manager"/>
    <n v="0.05"/>
    <s v="Months"/>
    <n v="2300"/>
    <n v="18"/>
    <s v="USD"/>
    <n v="4659.0599999999995"/>
    <n v="4659.0599999999995"/>
    <m/>
    <m/>
    <m/>
    <m/>
    <x v="1"/>
  </r>
  <r>
    <s v="Base Manager (Duvivier office)"/>
    <n v="0.05"/>
    <s v="Months"/>
    <n v="1200"/>
    <n v="18"/>
    <s v="USD"/>
    <n v="1538.1"/>
    <n v="1538.1"/>
    <m/>
    <m/>
    <m/>
    <m/>
    <x v="1"/>
  </r>
  <r>
    <s v="National Program Staff Costs"/>
    <m/>
    <m/>
    <m/>
    <m/>
    <m/>
    <n v="190886.61000000002"/>
    <n v="118886.61"/>
    <n v="0"/>
    <n v="45000"/>
    <n v="0"/>
    <n v="27000"/>
    <x v="0"/>
  </r>
  <r>
    <s v=" Coordinateur "/>
    <n v="1"/>
    <s v="Months"/>
    <n v="1400"/>
    <n v="18"/>
    <s v="USD"/>
    <n v="25200"/>
    <m/>
    <m/>
    <n v="25200"/>
    <m/>
    <m/>
    <x v="2"/>
  </r>
  <r>
    <s v=" Assistant Coordonnateur "/>
    <n v="1"/>
    <s v="Months"/>
    <n v="700"/>
    <n v="18"/>
    <s v="USD"/>
    <n v="12600"/>
    <m/>
    <m/>
    <n v="12600"/>
    <m/>
    <m/>
    <x v="2"/>
  </r>
  <r>
    <s v=" Agent de liason communataire "/>
    <n v="1"/>
    <s v="Months"/>
    <n v="400"/>
    <n v="18"/>
    <s v="USD"/>
    <n v="7200"/>
    <m/>
    <m/>
    <n v="7200"/>
    <m/>
    <m/>
    <x v="2"/>
  </r>
  <r>
    <s v="Charge de projet"/>
    <n v="1"/>
    <s v="Months"/>
    <n v="1000"/>
    <n v="18"/>
    <s v="USD"/>
    <n v="18000"/>
    <m/>
    <m/>
    <m/>
    <m/>
    <n v="18000"/>
    <x v="2"/>
  </r>
  <r>
    <s v="Superviseuse Marraines"/>
    <n v="1"/>
    <s v="Months"/>
    <n v="500"/>
    <n v="18"/>
    <s v="USD"/>
    <n v="9000"/>
    <m/>
    <m/>
    <m/>
    <m/>
    <n v="9000"/>
    <x v="2"/>
  </r>
  <r>
    <s v="M&amp;E Manager"/>
    <n v="0.35"/>
    <s v="Months"/>
    <n v="2300"/>
    <n v="18"/>
    <s v="USD"/>
    <n v="13494.55"/>
    <n v="13494.55"/>
    <m/>
    <m/>
    <m/>
    <m/>
    <x v="3"/>
  </r>
  <r>
    <s v="M&amp;E Assistant (2)"/>
    <n v="0.35"/>
    <s v="Months"/>
    <n v="1500"/>
    <n v="18"/>
    <s v="USD"/>
    <n v="14117.64"/>
    <n v="14117.64"/>
    <m/>
    <m/>
    <m/>
    <m/>
    <x v="3"/>
  </r>
  <r>
    <s v="Database Assistant"/>
    <n v="0.35"/>
    <s v="Months"/>
    <n v="1500"/>
    <n v="18"/>
    <s v="USD"/>
    <n v="3611.6100000000006"/>
    <n v="3611.6100000000006"/>
    <m/>
    <m/>
    <m/>
    <m/>
    <x v="3"/>
  </r>
  <r>
    <s v="Officier de Projet"/>
    <n v="1"/>
    <s v="Months"/>
    <n v="1500"/>
    <n v="18"/>
    <s v="USD"/>
    <n v="26565.66"/>
    <n v="26565.66"/>
    <m/>
    <m/>
    <m/>
    <m/>
    <x v="1"/>
  </r>
  <r>
    <s v="Technicien(ne) * 2"/>
    <n v="2"/>
    <s v="Months"/>
    <n v="1000"/>
    <n v="18"/>
    <s v="USD"/>
    <n v="33893.89"/>
    <n v="33893.89"/>
    <m/>
    <m/>
    <m/>
    <m/>
    <x v="1"/>
  </r>
  <r>
    <s v="Agent de liason communataire - Saint Martin (2)"/>
    <n v="2"/>
    <s v="Months"/>
    <n v="600"/>
    <n v="17"/>
    <s v="USD"/>
    <n v="250"/>
    <n v="250"/>
    <m/>
    <m/>
    <m/>
    <m/>
    <x v="1"/>
  </r>
  <r>
    <s v="Agent de liason communautaire - La Saline (2)"/>
    <n v="2"/>
    <s v="Months"/>
    <n v="600"/>
    <n v="17"/>
    <s v="USD"/>
    <n v="250"/>
    <n v="250"/>
    <m/>
    <m/>
    <m/>
    <m/>
    <x v="1"/>
  </r>
  <r>
    <s v="Technicien VSLA"/>
    <n v="1"/>
    <s v="Months"/>
    <n v="600"/>
    <n v="9"/>
    <s v="USD"/>
    <n v="8074.45"/>
    <n v="8074.45"/>
    <m/>
    <m/>
    <m/>
    <m/>
    <x v="1"/>
  </r>
  <r>
    <s v="Chauffeur"/>
    <n v="1"/>
    <s v="Months"/>
    <n v="600"/>
    <n v="15"/>
    <s v="USD"/>
    <n v="18628.809999999998"/>
    <n v="18628.809999999998"/>
    <m/>
    <m/>
    <m/>
    <m/>
    <x v="1"/>
  </r>
  <r>
    <s v="CONSULTANCY"/>
    <m/>
    <m/>
    <m/>
    <m/>
    <m/>
    <n v="19000"/>
    <n v="12000"/>
    <n v="0"/>
    <n v="0"/>
    <n v="0"/>
    <n v="0"/>
    <x v="0"/>
  </r>
  <r>
    <s v="External Evaluator"/>
    <n v="1"/>
    <s v="person"/>
    <n v="12000"/>
    <n v="1"/>
    <s v="USD"/>
    <n v="19000"/>
    <n v="12000"/>
    <m/>
    <m/>
    <m/>
    <m/>
    <x v="4"/>
  </r>
  <r>
    <s v="EQUIPMENT (less than 5k)"/>
    <m/>
    <m/>
    <m/>
    <m/>
    <m/>
    <n v="6072.7500410736657"/>
    <n v="6900"/>
    <n v="500"/>
    <n v="700"/>
    <n v="0"/>
    <n v="0"/>
    <x v="0"/>
  </r>
  <r>
    <s v=" Laptop "/>
    <n v="1"/>
    <s v="Unit"/>
    <n v="500"/>
    <n v="1"/>
    <s v="USD"/>
    <n v="500"/>
    <m/>
    <m/>
    <n v="500"/>
    <m/>
    <m/>
    <x v="2"/>
  </r>
  <r>
    <s v=" Imprimante "/>
    <n v="1"/>
    <s v="Unit"/>
    <n v="200"/>
    <n v="1"/>
    <s v="USD"/>
    <n v="200"/>
    <m/>
    <m/>
    <n v="200"/>
    <m/>
    <m/>
    <x v="2"/>
  </r>
  <r>
    <s v="Laptops"/>
    <n v="1"/>
    <s v="Unit"/>
    <n v="500"/>
    <n v="1"/>
    <s v="USD"/>
    <n v="500"/>
    <m/>
    <n v="500"/>
    <m/>
    <m/>
    <m/>
    <x v="2"/>
  </r>
  <r>
    <s v="Laptops"/>
    <n v="2"/>
    <s v="Unit"/>
    <n v="1200"/>
    <n v="1"/>
    <s v="USD"/>
    <n v="2442.75"/>
    <n v="2400"/>
    <m/>
    <m/>
    <m/>
    <m/>
    <x v="2"/>
  </r>
  <r>
    <s v="Tablets"/>
    <n v="12"/>
    <s v="Unit"/>
    <n v="375"/>
    <n v="1"/>
    <s v="USD"/>
    <n v="2430.0000410736657"/>
    <n v="4500"/>
    <m/>
    <m/>
    <m/>
    <m/>
    <x v="3"/>
  </r>
  <r>
    <s v="PROGRAM COSTS"/>
    <m/>
    <m/>
    <m/>
    <m/>
    <m/>
    <n v="817539.20159170113"/>
    <n v="234477.35606206401"/>
    <n v="54975"/>
    <n v="161702"/>
    <n v="200000"/>
    <n v="162650"/>
    <x v="0"/>
  </r>
  <r>
    <s v="Résultat 1"/>
    <m/>
    <m/>
    <m/>
    <m/>
    <m/>
    <n v="328313.24779293482"/>
    <n v="63811.247792934839"/>
    <n v="0"/>
    <n v="155702"/>
    <n v="0"/>
    <n v="108800"/>
    <x v="0"/>
  </r>
  <r>
    <s v="Produit 1.1"/>
    <m/>
    <m/>
    <m/>
    <m/>
    <m/>
    <m/>
    <m/>
    <m/>
    <m/>
    <m/>
    <m/>
    <x v="0"/>
  </r>
  <r>
    <s v="Prise en charge de traitement de troubles de stress post traumatique et des traumatismes"/>
    <m/>
    <m/>
    <m/>
    <m/>
    <m/>
    <s v="Montant"/>
    <s v="a"/>
    <s v="c"/>
    <s v="v"/>
    <s v="r"/>
    <s v="h"/>
    <x v="5"/>
  </r>
  <r>
    <s v="A 1.1. 1 Seances individuelles (250 personnes environ)"/>
    <n v="350"/>
    <s v="Unit"/>
    <n v="40"/>
    <n v="6"/>
    <s v="USD"/>
    <n v="84000"/>
    <m/>
    <m/>
    <n v="84000"/>
    <m/>
    <m/>
    <x v="6"/>
  </r>
  <r>
    <s v="A 1.1.1 Frais de transport"/>
    <n v="350"/>
    <s v="Lump Sum"/>
    <n v="5"/>
    <n v="6"/>
    <s v="USD"/>
    <n v="10500"/>
    <n v="10500"/>
    <m/>
    <m/>
    <m/>
    <m/>
    <x v="6"/>
  </r>
  <r>
    <s v="Prise en charge psychosociale de groupe / 2000 participants - 50 groupes avec 40 personnes / 6 heures"/>
    <m/>
    <m/>
    <m/>
    <m/>
    <m/>
    <m/>
    <m/>
    <m/>
    <m/>
    <m/>
    <m/>
    <x v="0"/>
  </r>
  <r>
    <s v="A. 1.1. 2Collation,  eau"/>
    <n v="2000"/>
    <s v="Unit"/>
    <n v="2.5"/>
    <n v="2"/>
    <s v="USD"/>
    <n v="10000"/>
    <m/>
    <m/>
    <n v="10000"/>
    <m/>
    <m/>
    <x v="7"/>
  </r>
  <r>
    <s v="A 1.1.2 Impression documents"/>
    <n v="2000"/>
    <s v="Unit"/>
    <n v="4"/>
    <n v="1"/>
    <s v="USD"/>
    <n v="8000"/>
    <m/>
    <m/>
    <n v="8000"/>
    <m/>
    <m/>
    <x v="7"/>
  </r>
  <r>
    <s v="A 1.1.2 Materiels (crayon, papier, flipchart, marker)"/>
    <n v="1"/>
    <s v="Unit"/>
    <n v="600"/>
    <n v="1"/>
    <s v="USD"/>
    <n v="600"/>
    <m/>
    <m/>
    <n v="600"/>
    <m/>
    <m/>
    <x v="7"/>
  </r>
  <r>
    <s v="A 1.1.2 Animateur"/>
    <n v="1"/>
    <s v="Unit"/>
    <n v="300"/>
    <n v="50"/>
    <s v="USD"/>
    <n v="15000"/>
    <m/>
    <m/>
    <n v="15000"/>
    <m/>
    <m/>
    <x v="7"/>
  </r>
  <r>
    <s v="A 1.1.2 Assistant animateur"/>
    <n v="1"/>
    <s v="Unit"/>
    <n v="120"/>
    <n v="50"/>
    <s v="USD"/>
    <n v="6000"/>
    <m/>
    <m/>
    <n v="6000"/>
    <m/>
    <m/>
    <x v="7"/>
  </r>
  <r>
    <s v="A 1.1.2 Supervision"/>
    <n v="5"/>
    <s v="Unit"/>
    <n v="200"/>
    <n v="1"/>
    <s v="USD"/>
    <n v="1000"/>
    <m/>
    <m/>
    <n v="1000"/>
    <m/>
    <m/>
    <x v="7"/>
  </r>
  <r>
    <s v="A.1.1.2 Location espace"/>
    <n v="50"/>
    <s v="Unit"/>
    <n v="40"/>
    <n v="2"/>
    <s v="USD"/>
    <n v="4000"/>
    <m/>
    <m/>
    <n v="4000"/>
    <m/>
    <m/>
    <x v="7"/>
  </r>
  <r>
    <s v="A 1.1.3 NEGES MAWON - Marraines"/>
    <n v="20"/>
    <s v="accompagnateur"/>
    <n v="300"/>
    <n v="16"/>
    <s v="USD"/>
    <n v="96000"/>
    <m/>
    <m/>
    <m/>
    <m/>
    <n v="96000"/>
    <x v="8"/>
  </r>
  <r>
    <s v="A 1.1.3 NEGES MAWON - Marraines Transport"/>
    <n v="1"/>
    <s v="Lumpsum"/>
    <n v="400"/>
    <n v="16"/>
    <s v="USD"/>
    <n v="6400"/>
    <m/>
    <m/>
    <m/>
    <m/>
    <n v="6400"/>
    <x v="8"/>
  </r>
  <r>
    <s v="A 1.1.3 NEGES MAWON - Marraines Communication"/>
    <n v="1"/>
    <s v="Lumpsum"/>
    <n v="400"/>
    <n v="16"/>
    <s v="USD"/>
    <n v="6400"/>
    <m/>
    <m/>
    <m/>
    <m/>
    <n v="6400"/>
    <x v="8"/>
  </r>
  <r>
    <s v="A. 1.1.3  Gender Advisor"/>
    <n v="1"/>
    <s v="person"/>
    <n v="416.5"/>
    <n v="10"/>
    <s v="USD"/>
    <n v="482.59220203085351"/>
    <n v="482.59220203085351"/>
    <m/>
    <m/>
    <m/>
    <m/>
    <x v="8"/>
  </r>
  <r>
    <s v="Produit 1.2 "/>
    <m/>
    <m/>
    <m/>
    <m/>
    <m/>
    <m/>
    <m/>
    <m/>
    <m/>
    <m/>
    <m/>
    <x v="0"/>
  </r>
  <r>
    <s v="Formation de Formateurs en psychosocial 23 personnes-(3 superviseurs et 20 psychologues /12 jours"/>
    <m/>
    <m/>
    <m/>
    <m/>
    <m/>
    <m/>
    <m/>
    <m/>
    <m/>
    <m/>
    <m/>
    <x v="0"/>
  </r>
  <r>
    <s v="A 1.2.1 Collation, repas et eau"/>
    <n v="23"/>
    <s v="Unit"/>
    <n v="15"/>
    <n v="12"/>
    <s v="USD"/>
    <n v="4140"/>
    <m/>
    <m/>
    <n v="4140"/>
    <m/>
    <m/>
    <x v="9"/>
  </r>
  <r>
    <s v="A 1.2.1 Impression documents"/>
    <n v="23"/>
    <s v="Unit"/>
    <n v="4"/>
    <n v="1"/>
    <s v="USD"/>
    <n v="92"/>
    <m/>
    <m/>
    <n v="92"/>
    <m/>
    <m/>
    <x v="9"/>
  </r>
  <r>
    <s v="A 1.2.1 Materiels (crayon, papier, flipchart, marker)"/>
    <n v="1"/>
    <s v="Unit"/>
    <n v="50"/>
    <n v="1"/>
    <s v="USD"/>
    <n v="50"/>
    <m/>
    <m/>
    <n v="50"/>
    <m/>
    <m/>
    <x v="9"/>
  </r>
  <r>
    <s v="A 1.2.1 Animateur"/>
    <n v="1"/>
    <s v="Unit"/>
    <n v="350"/>
    <n v="12"/>
    <s v="USD"/>
    <n v="4200"/>
    <m/>
    <m/>
    <n v="4200"/>
    <m/>
    <m/>
    <x v="9"/>
  </r>
  <r>
    <s v="A 1.2.1 Developpement materiel"/>
    <n v="1"/>
    <s v="Lumpsum"/>
    <n v="1600"/>
    <n v="1"/>
    <s v="USD"/>
    <n v="1600"/>
    <m/>
    <m/>
    <n v="1600"/>
    <m/>
    <m/>
    <x v="9"/>
  </r>
  <r>
    <s v="A 1.2.1 Location espace"/>
    <n v="1"/>
    <s v="Unit"/>
    <n v="200"/>
    <n v="12"/>
    <s v="USD"/>
    <n v="2400"/>
    <m/>
    <m/>
    <n v="2400"/>
    <m/>
    <m/>
    <x v="9"/>
  </r>
  <r>
    <s v="Formation en psychosocial 80 participants/4 groupes de vingts /5 jours"/>
    <m/>
    <m/>
    <m/>
    <m/>
    <m/>
    <m/>
    <m/>
    <m/>
    <m/>
    <m/>
    <m/>
    <x v="0"/>
  </r>
  <r>
    <s v="A 1.2.2 Collation, repas et eau"/>
    <n v="80"/>
    <s v="Unit"/>
    <n v="15"/>
    <n v="5"/>
    <s v="USD"/>
    <n v="6000"/>
    <m/>
    <m/>
    <n v="6000"/>
    <m/>
    <m/>
    <x v="10"/>
  </r>
  <r>
    <s v="A 1.2.2 Impression documents"/>
    <n v="80"/>
    <s v="Unit"/>
    <n v="4"/>
    <n v="1"/>
    <s v="USD"/>
    <n v="320"/>
    <m/>
    <m/>
    <n v="320"/>
    <m/>
    <m/>
    <x v="10"/>
  </r>
  <r>
    <s v="A 1.2.2 Materiels (crayon, papier, flipchart, marker)"/>
    <n v="1"/>
    <s v="Unit"/>
    <n v="100"/>
    <n v="1"/>
    <s v="USD"/>
    <n v="100"/>
    <m/>
    <m/>
    <n v="100"/>
    <m/>
    <m/>
    <x v="10"/>
  </r>
  <r>
    <s v="A 1.2.2 Animateur"/>
    <n v="1"/>
    <s v="Unit"/>
    <n v="350"/>
    <n v="20"/>
    <s v="USD"/>
    <n v="7000"/>
    <m/>
    <m/>
    <n v="7000"/>
    <m/>
    <m/>
    <x v="10"/>
  </r>
  <r>
    <s v="A 1.2.2 Supervision"/>
    <n v="2"/>
    <s v="Unit"/>
    <n v="200"/>
    <n v="1"/>
    <s v="USD"/>
    <n v="400"/>
    <m/>
    <m/>
    <n v="400"/>
    <m/>
    <m/>
    <x v="10"/>
  </r>
  <r>
    <s v="A 1.2.2 Location espace"/>
    <n v="1"/>
    <s v="Unit"/>
    <n v="40"/>
    <n v="20"/>
    <s v="USD"/>
    <n v="800"/>
    <m/>
    <m/>
    <n v="800"/>
    <m/>
    <m/>
    <x v="10"/>
  </r>
  <r>
    <s v="A 1.2.3 Activités socio-relationnelles"/>
    <n v="1"/>
    <s v="Lump Sum"/>
    <n v="25000"/>
    <n v="1"/>
    <s v="USD"/>
    <n v="25000"/>
    <n v="25000"/>
    <m/>
    <m/>
    <m/>
    <m/>
    <x v="11"/>
  </r>
  <r>
    <s v="A 1.2.4 Mise à jour de la feuille de route de protection"/>
    <n v="1"/>
    <s v="Lump Sum"/>
    <n v="1000"/>
    <n v="1"/>
    <s v="USD"/>
    <n v="1000"/>
    <n v="1000"/>
    <m/>
    <m/>
    <m/>
    <m/>
    <x v="12"/>
  </r>
  <r>
    <s v="A. 1.2.5 Technical support "/>
    <n v="1"/>
    <s v="Lump Sum"/>
    <n v="20000"/>
    <n v="1"/>
    <s v="USD"/>
    <n v="20000"/>
    <n v="20000"/>
    <m/>
    <m/>
    <m/>
    <m/>
    <x v="13"/>
  </r>
  <r>
    <s v="A. 1.2.5 Referencement"/>
    <n v="1"/>
    <s v="Lump Sum"/>
    <n v="4000"/>
    <n v="1"/>
    <s v="USD"/>
    <n v="4000"/>
    <n v="4000"/>
    <m/>
    <m/>
    <m/>
    <m/>
    <x v="13"/>
  </r>
  <r>
    <s v="A 1.2.6 Analyse de structures et traditions locales"/>
    <n v="1"/>
    <s v="Lump Sum"/>
    <n v="2000"/>
    <n v="1"/>
    <s v="USD"/>
    <n v="2828.6555909039871"/>
    <n v="2828.6555909039871"/>
    <m/>
    <m/>
    <m/>
    <m/>
    <x v="14"/>
  </r>
  <r>
    <s v="Résultat 2"/>
    <m/>
    <m/>
    <m/>
    <m/>
    <m/>
    <n v="317290.35379876633"/>
    <n v="62315.358269129159"/>
    <n v="54975"/>
    <n v="0"/>
    <n v="200000"/>
    <n v="0"/>
    <x v="0"/>
  </r>
  <r>
    <s v="Produit 2.1 "/>
    <m/>
    <m/>
    <m/>
    <m/>
    <m/>
    <m/>
    <m/>
    <m/>
    <m/>
    <m/>
    <m/>
    <x v="0"/>
  </r>
  <r>
    <s v="A 2.1.1 Mise à jour de l'analyse de conflit"/>
    <n v="1"/>
    <s v="Lump Sum"/>
    <n v="10000"/>
    <n v="1"/>
    <s v="USD"/>
    <n v="10000"/>
    <n v="10000"/>
    <m/>
    <m/>
    <m/>
    <m/>
    <x v="15"/>
  </r>
  <r>
    <s v="Facilitation des Séances de médiation communautaire / 6 sceance de 10 personnes"/>
    <m/>
    <m/>
    <m/>
    <m/>
    <m/>
    <m/>
    <m/>
    <m/>
    <m/>
    <m/>
    <m/>
    <x v="0"/>
  </r>
  <r>
    <s v="A 2.1.2 Collation et eau"/>
    <n v="120"/>
    <s v="Unit"/>
    <n v="2.5"/>
    <n v="4"/>
    <s v="USD"/>
    <n v="1200"/>
    <m/>
    <n v="1200"/>
    <m/>
    <m/>
    <m/>
    <x v="16"/>
  </r>
  <r>
    <s v="A 2.1.2 Impression documents"/>
    <n v="120"/>
    <s v="Unit"/>
    <n v="4"/>
    <n v="1"/>
    <s v="USD"/>
    <n v="480"/>
    <m/>
    <n v="480"/>
    <m/>
    <m/>
    <m/>
    <x v="16"/>
  </r>
  <r>
    <s v="A 2.1.2 Materiels (crayon, papier, flipchart, marker)"/>
    <n v="1"/>
    <s v="Lump Sum"/>
    <n v="60"/>
    <n v="1"/>
    <s v="USD"/>
    <n v="60"/>
    <m/>
    <n v="60"/>
    <m/>
    <m/>
    <m/>
    <x v="16"/>
  </r>
  <r>
    <s v="A 2.1.2 Mediateur"/>
    <n v="12"/>
    <s v="Lump Sum"/>
    <n v="40"/>
    <n v="16"/>
    <s v="USD"/>
    <n v="7680"/>
    <m/>
    <n v="7680"/>
    <m/>
    <m/>
    <m/>
    <x v="16"/>
  </r>
  <r>
    <s v="A 2.1.2 Location salle"/>
    <n v="12"/>
    <s v="Lump Sum"/>
    <n v="40"/>
    <n v="4"/>
    <s v="USD"/>
    <n v="1920"/>
    <m/>
    <n v="1920"/>
    <m/>
    <m/>
    <m/>
    <x v="16"/>
  </r>
  <r>
    <s v="A 2.1.2 Conflict/humanitarian advisor"/>
    <n v="1"/>
    <s v="person"/>
    <n v="416.5"/>
    <n v="10"/>
    <s v="USD"/>
    <n v="967.13552963719167"/>
    <n v="967.14"/>
    <m/>
    <m/>
    <m/>
    <m/>
    <x v="16"/>
  </r>
  <r>
    <s v="Produit 2.2"/>
    <m/>
    <m/>
    <m/>
    <m/>
    <m/>
    <m/>
    <m/>
    <m/>
    <m/>
    <m/>
    <m/>
    <x v="0"/>
  </r>
  <r>
    <s v="Formation de Médiatrices pour la Paix / 4 groupe de 20 personnes / 12 jours"/>
    <m/>
    <m/>
    <m/>
    <m/>
    <m/>
    <m/>
    <m/>
    <m/>
    <m/>
    <m/>
    <m/>
    <x v="0"/>
  </r>
  <r>
    <s v="A 2.2.1 Collation et eau et repas"/>
    <n v="100"/>
    <s v="Unit"/>
    <n v="15"/>
    <n v="12"/>
    <s v="USD"/>
    <n v="18000"/>
    <m/>
    <n v="18000"/>
    <m/>
    <m/>
    <m/>
    <x v="17"/>
  </r>
  <r>
    <s v="A 2.2.1 Impression documents"/>
    <n v="100"/>
    <s v="Unit"/>
    <n v="4"/>
    <n v="1"/>
    <s v="USD"/>
    <n v="400"/>
    <m/>
    <n v="400"/>
    <m/>
    <m/>
    <m/>
    <x v="17"/>
  </r>
  <r>
    <s v="A 2.2.1 Materiels (crayon, papier, flipchart, marker)"/>
    <n v="1"/>
    <s v="Lump Sum"/>
    <n v="50"/>
    <n v="1"/>
    <s v="USD"/>
    <n v="50"/>
    <m/>
    <n v="50"/>
    <m/>
    <m/>
    <m/>
    <x v="17"/>
  </r>
  <r>
    <s v="A 2.2.1 Animateur"/>
    <n v="4"/>
    <s v="Lump Sum"/>
    <n v="300"/>
    <n v="12"/>
    <s v="USD"/>
    <n v="14400"/>
    <m/>
    <n v="14400"/>
    <m/>
    <m/>
    <m/>
    <x v="17"/>
  </r>
  <r>
    <s v="A 2.2.1 Location salle"/>
    <n v="4"/>
    <s v="Lump Sum"/>
    <n v="40"/>
    <n v="12"/>
    <s v="USD"/>
    <n v="1920"/>
    <m/>
    <n v="1920"/>
    <m/>
    <m/>
    <m/>
    <x v="17"/>
  </r>
  <r>
    <s v="Produit 2.3 "/>
    <m/>
    <m/>
    <m/>
    <m/>
    <m/>
    <m/>
    <m/>
    <m/>
    <m/>
    <m/>
    <m/>
    <x v="0"/>
  </r>
  <r>
    <s v="Accompagnement médiatrices de la paix"/>
    <m/>
    <m/>
    <m/>
    <m/>
    <m/>
    <m/>
    <m/>
    <m/>
    <m/>
    <m/>
    <m/>
    <x v="0"/>
  </r>
  <r>
    <s v="A 2.3.1  Suivi et supervision"/>
    <n v="1"/>
    <s v="Unit"/>
    <n v="7000"/>
    <n v="1"/>
    <s v="USD"/>
    <n v="8865"/>
    <m/>
    <n v="8865"/>
    <m/>
    <m/>
    <m/>
    <x v="18"/>
  </r>
  <r>
    <s v="A 2.3.2 Sélection de OCB"/>
    <n v="1"/>
    <s v="Lump Sum"/>
    <n v="2000"/>
    <n v="1"/>
    <s v="USD"/>
    <n v="448.21826912915913"/>
    <n v="448.21826912915913"/>
    <m/>
    <m/>
    <m/>
    <m/>
    <x v="19"/>
  </r>
  <r>
    <s v="A 2.3.2 Facilitateurs(trices) (15)"/>
    <n v="3.75"/>
    <s v="Months"/>
    <n v="300"/>
    <n v="18"/>
    <s v="USD"/>
    <n v="7000"/>
    <n v="7000"/>
    <m/>
    <m/>
    <m/>
    <m/>
    <x v="19"/>
  </r>
  <r>
    <s v="A 2.3.2 Renforcement OCB / GJ"/>
    <n v="1"/>
    <s v="Lump Sum"/>
    <n v="10000"/>
    <n v="1"/>
    <s v="USD"/>
    <n v="14500"/>
    <n v="14500"/>
    <m/>
    <m/>
    <m/>
    <m/>
    <x v="19"/>
  </r>
  <r>
    <s v="A 2.3.3 Co-Financement - Documentation du conflit"/>
    <n v="10"/>
    <s v="Lump Sum"/>
    <n v="10000"/>
    <n v="1"/>
    <s v="USD"/>
    <n v="100000"/>
    <m/>
    <m/>
    <m/>
    <n v="100000"/>
    <m/>
    <x v="20"/>
  </r>
  <r>
    <s v="A 2.3.4 Co-Financement - Initiatives de médiation"/>
    <n v="10"/>
    <s v="Lump Sum"/>
    <n v="10000"/>
    <n v="1"/>
    <s v="USD"/>
    <n v="100000"/>
    <m/>
    <m/>
    <m/>
    <n v="100000"/>
    <m/>
    <x v="21"/>
  </r>
  <r>
    <s v="A 2.3.5 ToT Masculinité Positive"/>
    <n v="1"/>
    <s v="Lump Sum"/>
    <n v="5000"/>
    <n v="1"/>
    <s v="USD"/>
    <n v="5000"/>
    <n v="5000"/>
    <m/>
    <m/>
    <m/>
    <m/>
    <x v="22"/>
  </r>
  <r>
    <s v="A 2.3.5 ToT Masculinité Positive"/>
    <n v="1"/>
    <s v="Lump Sum"/>
    <n v="3000"/>
    <n v="1"/>
    <s v="USD"/>
    <n v="3000"/>
    <n v="3000"/>
    <m/>
    <m/>
    <m/>
    <m/>
    <x v="22"/>
  </r>
  <r>
    <s v="A 2.3.6 Sessions de travail masculinité positive"/>
    <n v="17"/>
    <s v="Lump Sum"/>
    <n v="100"/>
    <n v="5"/>
    <s v="USD"/>
    <n v="10000"/>
    <n v="10000"/>
    <m/>
    <m/>
    <m/>
    <m/>
    <x v="23"/>
  </r>
  <r>
    <s v="Produit 2. 4"/>
    <m/>
    <m/>
    <m/>
    <m/>
    <m/>
    <m/>
    <m/>
    <m/>
    <m/>
    <m/>
    <m/>
    <x v="0"/>
  </r>
  <r>
    <s v="A 2.4.1 VSLA - AEC"/>
    <n v="12"/>
    <s v="Lump Sum"/>
    <n v="200"/>
    <n v="1"/>
    <s v="USD"/>
    <n v="2400"/>
    <n v="2400"/>
    <m/>
    <m/>
    <m/>
    <m/>
    <x v="24"/>
  </r>
  <r>
    <s v="A 2.4.1 VSLA - AEC collation-eau"/>
    <n v="300"/>
    <s v="Lump Sum"/>
    <n v="5"/>
    <n v="5"/>
    <s v="USD"/>
    <n v="9000"/>
    <n v="9000"/>
    <m/>
    <m/>
    <m/>
    <m/>
    <x v="24"/>
  </r>
  <r>
    <s v="Résultat 3"/>
    <m/>
    <m/>
    <m/>
    <m/>
    <m/>
    <n v="171935.6"/>
    <n v="108350.75"/>
    <n v="0"/>
    <n v="6000"/>
    <n v="0"/>
    <n v="53850"/>
    <x v="0"/>
  </r>
  <r>
    <s v="Produit 3.1 "/>
    <m/>
    <m/>
    <m/>
    <m/>
    <m/>
    <m/>
    <m/>
    <m/>
    <m/>
    <m/>
    <m/>
    <x v="0"/>
  </r>
  <r>
    <s v="Publications (articles, videos,…) / Plaidoyer / Activites culturelles"/>
    <m/>
    <m/>
    <m/>
    <m/>
    <m/>
    <m/>
    <m/>
    <m/>
    <m/>
    <m/>
    <m/>
    <x v="0"/>
  </r>
  <r>
    <s v="A 3.1.1 Publication"/>
    <n v="1"/>
    <s v="Unit"/>
    <n v="11000"/>
    <n v="1"/>
    <s v="USD"/>
    <n v="11000"/>
    <n v="2500"/>
    <m/>
    <n v="6000"/>
    <m/>
    <n v="2500"/>
    <x v="25"/>
  </r>
  <r>
    <s v="A 3.1.2 NEGES MAWON - Soutien à la réalisation du film documentaire &quot;LES ETOILES SUR VOS TOMBES&quot;"/>
    <n v="1"/>
    <s v="Lump Sum"/>
    <n v="20000"/>
    <n v="1"/>
    <s v="USD"/>
    <n v="20000"/>
    <m/>
    <m/>
    <m/>
    <m/>
    <n v="20000"/>
    <x v="26"/>
  </r>
  <r>
    <s v="A 3.1.3 NEGES MAWON - Responsable d'animation ou de formation (Culture / Création)"/>
    <n v="1"/>
    <s v="Lump Sum"/>
    <n v="5000"/>
    <n v="1"/>
    <s v="USD"/>
    <n v="5000"/>
    <m/>
    <m/>
    <m/>
    <m/>
    <n v="5000"/>
    <x v="27"/>
  </r>
  <r>
    <s v="A 3.1.3 A NEGES MAWON - Photographe"/>
    <n v="1"/>
    <s v="Lump Sum"/>
    <n v="4000"/>
    <n v="1"/>
    <s v="USD"/>
    <n v="4000"/>
    <m/>
    <m/>
    <m/>
    <m/>
    <n v="4000"/>
    <x v="28"/>
  </r>
  <r>
    <s v="A 3.1.4 Formation MCFDF / MJSAC"/>
    <n v="1"/>
    <s v="Lump Sum"/>
    <n v="30139"/>
    <n v="1"/>
    <s v="USD"/>
    <n v="30139"/>
    <n v="30139"/>
    <m/>
    <m/>
    <m/>
    <n v="5000"/>
    <x v="29"/>
  </r>
  <r>
    <s v="A 3.1.5 Consultation Technique Redevabilité Sociale"/>
    <n v="1"/>
    <s v="Lump Sum"/>
    <n v="10000"/>
    <n v="1"/>
    <s v="USD"/>
    <n v="10000"/>
    <n v="10000"/>
    <m/>
    <m/>
    <m/>
    <m/>
    <x v="29"/>
  </r>
  <r>
    <s v="A 3.1.5 Sessions de travail redevabilité sociale / citoyenneté de paix"/>
    <n v="45"/>
    <s v="person"/>
    <n v="15"/>
    <n v="8"/>
    <s v="USD"/>
    <n v="9799.52"/>
    <n v="9799.52"/>
    <m/>
    <m/>
    <m/>
    <m/>
    <x v="29"/>
  </r>
  <r>
    <s v="A 3.1.5 Location Espace Redevabilite Sociale"/>
    <n v="3"/>
    <s v="Lump Sum"/>
    <n v="150"/>
    <n v="7"/>
    <s v="USD"/>
    <n v="650"/>
    <n v="650"/>
    <m/>
    <m/>
    <m/>
    <m/>
    <x v="29"/>
  </r>
  <r>
    <s v="A 3.1.5 Initiatives de Redevabilité Social"/>
    <n v="1"/>
    <s v="Lump Sum"/>
    <n v="30139"/>
    <n v="1"/>
    <s v="USD"/>
    <n v="30139"/>
    <n v="30139"/>
    <m/>
    <m/>
    <m/>
    <m/>
    <x v="29"/>
  </r>
  <r>
    <s v="A 3.1.6 Consultations aux femmes sur les priorités pour la consolidation de la paix"/>
    <n v="7"/>
    <s v="Lump Sum"/>
    <n v="771.42857142857144"/>
    <n v="6"/>
    <s v="USD"/>
    <n v="5400"/>
    <n v="5400"/>
    <m/>
    <m/>
    <m/>
    <m/>
    <x v="30"/>
  </r>
  <r>
    <s v="3.1.7 Dialogues avec le secteur politique"/>
    <n v="3"/>
    <s v="Lump Sum"/>
    <n v="300"/>
    <n v="3"/>
    <s v="USD"/>
    <n v="2700"/>
    <n v="1350"/>
    <m/>
    <m/>
    <m/>
    <n v="1350"/>
    <x v="31"/>
  </r>
  <r>
    <s v="3.1.8 Forum de Femmes, Consolidation de La Paix et Sante Mentale"/>
    <n v="6"/>
    <s v="Lump Sum"/>
    <n v="2000"/>
    <n v="1"/>
    <s v="USD"/>
    <n v="16573.23"/>
    <n v="8573.23"/>
    <m/>
    <m/>
    <m/>
    <n v="8000"/>
    <x v="32"/>
  </r>
  <r>
    <s v="3.1.8 Forum de Femmes, Consolidation de La Paix et Sante Mentale"/>
    <n v="6"/>
    <s v="Lump Sum"/>
    <n v="1250"/>
    <n v="1"/>
    <s v="USD"/>
    <n v="7500"/>
    <m/>
    <m/>
    <m/>
    <m/>
    <n v="8000"/>
    <x v="32"/>
  </r>
  <r>
    <s v="Produit 3.2 "/>
    <m/>
    <m/>
    <m/>
    <m/>
    <m/>
    <m/>
    <m/>
    <m/>
    <m/>
    <m/>
    <m/>
    <x v="0"/>
  </r>
  <r>
    <s v="A 3.2.1 Comités Consultatifs"/>
    <n v="40"/>
    <s v="Lump Sum"/>
    <n v="120"/>
    <n v="1"/>
    <s v="USD"/>
    <n v="13034.85"/>
    <n v="4800"/>
    <m/>
    <m/>
    <m/>
    <m/>
    <x v="33"/>
  </r>
  <r>
    <s v="A 3.2.1 Renforcement CCJ / CCF"/>
    <n v="1"/>
    <s v="Lump Sum"/>
    <n v="5000"/>
    <n v="1"/>
    <s v="USD"/>
    <n v="6000"/>
    <n v="5000"/>
    <m/>
    <m/>
    <m/>
    <m/>
    <x v="33"/>
  </r>
  <r>
    <s v="OTHER PROGRAM COSTS"/>
    <m/>
    <m/>
    <m/>
    <m/>
    <m/>
    <n v="57613.092599999996"/>
    <n v="56413.092599999996"/>
    <n v="0"/>
    <n v="900"/>
    <n v="0"/>
    <n v="0"/>
    <x v="0"/>
  </r>
  <r>
    <s v="MONITORING AND EVALUATION"/>
    <m/>
    <m/>
    <m/>
    <m/>
    <m/>
    <n v="40000"/>
    <n v="40000"/>
    <n v="0"/>
    <n v="0"/>
    <n v="0"/>
    <n v="0"/>
    <x v="0"/>
  </r>
  <r>
    <s v="Baseline - enqueteurs"/>
    <n v="1"/>
    <s v="Lump Sum"/>
    <n v="10000"/>
    <n v="1"/>
    <s v="USD"/>
    <n v="13000"/>
    <n v="13000"/>
    <m/>
    <m/>
    <m/>
    <m/>
    <x v="3"/>
  </r>
  <r>
    <s v="Baseline - loc salle collation"/>
    <n v="1"/>
    <s v="Lump Sum"/>
    <n v="5000"/>
    <n v="1"/>
    <s v="USD"/>
    <n v="2000"/>
    <n v="2000"/>
    <m/>
    <m/>
    <m/>
    <m/>
    <x v="3"/>
  </r>
  <r>
    <s v="A 3.2.1 Capitalisation "/>
    <n v="2"/>
    <s v="Lump Sum"/>
    <n v="3500"/>
    <n v="1"/>
    <s v="USD"/>
    <n v="7000"/>
    <n v="7000"/>
    <m/>
    <m/>
    <m/>
    <m/>
    <x v="3"/>
  </r>
  <r>
    <s v="Endline - enqueteurs"/>
    <n v="1"/>
    <s v="Lump Sum"/>
    <n v="10000"/>
    <n v="1"/>
    <s v="USD"/>
    <n v="14000"/>
    <n v="14000"/>
    <m/>
    <m/>
    <m/>
    <m/>
    <x v="3"/>
  </r>
  <r>
    <s v="Endline - loc salle capitalisation"/>
    <n v="1"/>
    <s v="Lump Sum"/>
    <n v="5000"/>
    <n v="1"/>
    <s v="USD"/>
    <n v="1000"/>
    <n v="1000"/>
    <m/>
    <m/>
    <m/>
    <m/>
    <x v="3"/>
  </r>
  <r>
    <s v="DDG licences"/>
    <n v="1"/>
    <s v="Lumpsum"/>
    <n v="2500"/>
    <n v="1"/>
    <s v="EUR"/>
    <n v="3000"/>
    <n v="3000"/>
    <m/>
    <m/>
    <m/>
    <m/>
    <x v="3"/>
  </r>
  <r>
    <s v="AUDIT"/>
    <m/>
    <m/>
    <m/>
    <m/>
    <m/>
    <n v="8167"/>
    <n v="8167"/>
    <n v="0"/>
    <n v="0"/>
    <n v="0"/>
    <n v="0"/>
    <x v="0"/>
  </r>
  <r>
    <s v="Audit"/>
    <n v="1"/>
    <s v="Unit"/>
    <n v="8167"/>
    <n v="1"/>
    <s v="USD"/>
    <n v="8167"/>
    <n v="8167"/>
    <m/>
    <m/>
    <m/>
    <m/>
    <x v="4"/>
  </r>
  <r>
    <s v="Direct Support Program Costs"/>
    <m/>
    <m/>
    <m/>
    <m/>
    <m/>
    <n v="9446.0925999999999"/>
    <n v="8246.0925999999999"/>
    <n v="0"/>
    <n v="900"/>
    <n v="0"/>
    <n v="0"/>
    <x v="0"/>
  </r>
  <r>
    <s v="Rental car programme"/>
    <n v="1"/>
    <s v="Month"/>
    <n v="3367.2858999999999"/>
    <n v="14"/>
    <s v="USD"/>
    <n v="2.599999999802094E-3"/>
    <n v="2.599999999802094E-3"/>
    <m/>
    <m/>
    <m/>
    <m/>
    <x v="2"/>
  </r>
  <r>
    <s v="Communication"/>
    <n v="1"/>
    <s v="Unit"/>
    <n v="50"/>
    <n v="18"/>
    <s v="USD"/>
    <n v="900"/>
    <m/>
    <m/>
    <n v="900"/>
    <m/>
    <m/>
    <x v="2"/>
  </r>
  <r>
    <s v="Réunion Kick-Off"/>
    <n v="30"/>
    <s v="person"/>
    <n v="50"/>
    <n v="1"/>
    <s v="USD"/>
    <n v="1571.09"/>
    <n v="1571.09"/>
    <m/>
    <m/>
    <m/>
    <m/>
    <x v="2"/>
  </r>
  <r>
    <s v="Visibilité"/>
    <n v="1"/>
    <s v="Lump Sum"/>
    <n v="6000"/>
    <n v="1"/>
    <s v="USD"/>
    <n v="6000"/>
    <n v="6000"/>
    <m/>
    <m/>
    <m/>
    <m/>
    <x v="2"/>
  </r>
  <r>
    <s v="Communication costs "/>
    <n v="15"/>
    <s v="Lumpsum"/>
    <n v="2.5"/>
    <n v="18"/>
    <s v="USD"/>
    <n v="975"/>
    <n v="675"/>
    <m/>
    <m/>
    <m/>
    <m/>
    <x v="2"/>
  </r>
  <r>
    <s v="OFFICE(S) EXPENSES "/>
    <m/>
    <m/>
    <m/>
    <m/>
    <m/>
    <n v="77879.839999999997"/>
    <n v="61959.68"/>
    <n v="0"/>
    <n v="5520"/>
    <n v="0"/>
    <n v="10400.16"/>
    <x v="0"/>
  </r>
  <r>
    <s v="ADMINISTRATION"/>
    <m/>
    <m/>
    <m/>
    <m/>
    <m/>
    <n v="57500.130000000005"/>
    <n v="48149.97"/>
    <n v="0"/>
    <n v="4350"/>
    <n v="0"/>
    <n v="5000.16"/>
    <x v="0"/>
  </r>
  <r>
    <s v="Location de bureau"/>
    <n v="0.5"/>
    <s v="Unit"/>
    <n v="4000"/>
    <n v="1.5"/>
    <s v="USD"/>
    <n v="3000"/>
    <m/>
    <m/>
    <n v="3000"/>
    <m/>
    <m/>
    <x v="2"/>
  </r>
  <r>
    <s v="Maintenance et petits travaux"/>
    <n v="0.5"/>
    <s v="Unit"/>
    <n v="150"/>
    <n v="18"/>
    <s v="USD"/>
    <n v="1350"/>
    <m/>
    <m/>
    <n v="1350"/>
    <m/>
    <m/>
    <x v="2"/>
  </r>
  <r>
    <s v="Frais administratif divers"/>
    <n v="1"/>
    <s v="Unit"/>
    <n v="277.78666666666663"/>
    <n v="18"/>
    <s v="USD"/>
    <n v="5000.16"/>
    <m/>
    <m/>
    <m/>
    <m/>
    <n v="5000.16"/>
    <x v="2"/>
  </r>
  <r>
    <s v="Admin staff salary &amp; benefits"/>
    <n v="0.2"/>
    <s v="Month"/>
    <n v="6000"/>
    <n v="18"/>
    <s v="USD"/>
    <n v="28001.84"/>
    <n v="28001.84"/>
    <m/>
    <m/>
    <m/>
    <m/>
    <x v="34"/>
  </r>
  <r>
    <s v="Legal &amp; Professional Fees"/>
    <n v="0.25"/>
    <s v="Month"/>
    <n v="1400"/>
    <n v="18"/>
    <s v="USD"/>
    <n v="4847.16"/>
    <n v="4847.16"/>
    <m/>
    <m/>
    <m/>
    <m/>
    <x v="34"/>
  </r>
  <r>
    <s v="Office Expenses &amp; Running costs"/>
    <n v="0.25"/>
    <s v="Month"/>
    <n v="4500"/>
    <n v="18"/>
    <s v="USD"/>
    <n v="15300.970000000001"/>
    <n v="15300.970000000001"/>
    <m/>
    <m/>
    <m/>
    <m/>
    <x v="34"/>
  </r>
  <r>
    <s v="TRANSPORTATION"/>
    <m/>
    <m/>
    <m/>
    <m/>
    <m/>
    <n v="20379.71"/>
    <n v="13809.71"/>
    <n v="0"/>
    <n v="1170"/>
    <n v="0"/>
    <n v="5400"/>
    <x v="0"/>
  </r>
  <r>
    <s v=" Carburant "/>
    <n v="0.5"/>
    <s v="Unit"/>
    <n v="130"/>
    <n v="18"/>
    <s v="USD"/>
    <n v="1170"/>
    <m/>
    <m/>
    <n v="1170"/>
    <m/>
    <m/>
    <x v="2"/>
  </r>
  <r>
    <s v="Location de voiture / frais divers vehicules"/>
    <n v="1"/>
    <m/>
    <n v="300"/>
    <n v="18"/>
    <s v="USD"/>
    <n v="5400"/>
    <m/>
    <m/>
    <m/>
    <m/>
    <n v="5400"/>
    <x v="2"/>
  </r>
  <r>
    <s v="Transport Running costs (vehicles) "/>
    <n v="0.25"/>
    <s v="Month"/>
    <n v="1000"/>
    <n v="18"/>
    <s v="USD"/>
    <n v="7285.34"/>
    <n v="7285.34"/>
    <m/>
    <m/>
    <m/>
    <m/>
    <x v="34"/>
  </r>
  <r>
    <s v="Transport Repairs &amp; Maintenance (vehicles) "/>
    <n v="0.25"/>
    <s v="Month"/>
    <n v="600"/>
    <n v="18"/>
    <s v="USD"/>
    <n v="5174.37"/>
    <n v="5174.37"/>
    <m/>
    <m/>
    <m/>
    <m/>
    <x v="34"/>
  </r>
  <r>
    <s v="Transport Other Cost"/>
    <n v="0.25"/>
    <s v="Month"/>
    <n v="300"/>
    <n v="18"/>
    <s v="USD"/>
    <n v="1350"/>
    <n v="1350"/>
    <m/>
    <m/>
    <m/>
    <m/>
    <x v="34"/>
  </r>
  <r>
    <s v="TOTAL DIRECTS COSTS"/>
    <m/>
    <m/>
    <m/>
    <m/>
    <m/>
    <n v="1401869.1642327751"/>
    <n v="696514.40866206388"/>
    <n v="55475"/>
    <n v="227862"/>
    <n v="200000"/>
    <n v="213010.16"/>
    <x v="0"/>
  </r>
  <r>
    <s v="HQ costs"/>
    <m/>
    <m/>
    <m/>
    <m/>
    <m/>
    <n v="98130.841496294262"/>
    <n v="98130.84120000001"/>
    <m/>
    <m/>
    <m/>
    <m/>
    <x v="0"/>
  </r>
  <r>
    <s v="TOTAL COSTS"/>
    <m/>
    <m/>
    <m/>
    <m/>
    <m/>
    <n v="1500000.0057290695"/>
    <n v="794645.24986206391"/>
    <n v="55475"/>
    <n v="227862"/>
    <n v="200000"/>
    <n v="213010.16"/>
    <x v="0"/>
  </r>
</pivotCacheRecords>
</file>

<file path=xl/pivotCache/pivotCacheRecords2.xml><?xml version="1.0" encoding="utf-8"?>
<pivotCacheRecords xmlns="http://schemas.openxmlformats.org/spreadsheetml/2006/main" xmlns:r="http://schemas.openxmlformats.org/officeDocument/2006/relationships" count="171">
  <r>
    <s v="STAFF COSTS"/>
    <m/>
    <m/>
    <m/>
    <m/>
    <m/>
    <n v="423764.28"/>
    <n v="324764.27999999997"/>
    <n v="0"/>
    <n v="59040"/>
    <n v="0"/>
    <n v="39960"/>
    <x v="0"/>
    <x v="0"/>
  </r>
  <r>
    <s v="International Support Staff Costs"/>
    <m/>
    <m/>
    <m/>
    <m/>
    <m/>
    <n v="62095.040000000001"/>
    <n v="62095.040000000001"/>
    <n v="0"/>
    <n v="0"/>
    <n v="0"/>
    <n v="0"/>
    <x v="0"/>
    <x v="0"/>
  </r>
  <r>
    <s v="Country Director"/>
    <n v="0.1"/>
    <s v="Months"/>
    <n v="9000"/>
    <n v="18"/>
    <s v="USD"/>
    <n v="17351.5"/>
    <n v="17351.5"/>
    <m/>
    <m/>
    <m/>
    <m/>
    <x v="1"/>
    <x v="1"/>
  </r>
  <r>
    <s v="Program Director "/>
    <n v="0.1"/>
    <s v="Months"/>
    <n v="8000"/>
    <n v="18"/>
    <s v="USD"/>
    <n v="15943.54"/>
    <n v="15943.54"/>
    <m/>
    <m/>
    <m/>
    <m/>
    <x v="1"/>
    <x v="1"/>
  </r>
  <r>
    <s v="System Director"/>
    <n v="0.1"/>
    <s v="Months"/>
    <n v="8000"/>
    <n v="18"/>
    <s v="USD"/>
    <n v="14400"/>
    <n v="14400"/>
    <m/>
    <m/>
    <m/>
    <m/>
    <x v="1"/>
    <x v="1"/>
  </r>
  <r>
    <s v="Country Financial Controller"/>
    <n v="0.1"/>
    <s v="Months"/>
    <n v="8000"/>
    <n v="18"/>
    <s v="USD"/>
    <n v="14400"/>
    <n v="14400"/>
    <m/>
    <m/>
    <m/>
    <m/>
    <x v="1"/>
    <x v="1"/>
  </r>
  <r>
    <s v="Urban Coordinator"/>
    <n v="0.1"/>
    <s v="Months"/>
    <n v="7000"/>
    <n v="6"/>
    <s v="USD"/>
    <n v="0"/>
    <n v="0"/>
    <m/>
    <m/>
    <m/>
    <m/>
    <x v="1"/>
    <x v="1"/>
  </r>
  <r>
    <s v="International Program Staff Costs"/>
    <m/>
    <m/>
    <m/>
    <m/>
    <m/>
    <n v="98380.47"/>
    <n v="98380.47"/>
    <n v="0"/>
    <n v="0"/>
    <n v="0"/>
    <n v="0"/>
    <x v="0"/>
    <x v="0"/>
  </r>
  <r>
    <s v="Project Manager"/>
    <n v="0.5"/>
    <s v="Months"/>
    <n v="6000"/>
    <n v="18"/>
    <s v="USD"/>
    <n v="98380.47"/>
    <n v="98380.47"/>
    <m/>
    <m/>
    <m/>
    <m/>
    <x v="1"/>
    <x v="1"/>
  </r>
  <r>
    <s v="National Support Staff Costs"/>
    <m/>
    <m/>
    <m/>
    <m/>
    <m/>
    <n v="72402.16"/>
    <n v="45402.159999999989"/>
    <n v="0"/>
    <n v="14040"/>
    <n v="0"/>
    <n v="12960"/>
    <x v="0"/>
    <x v="0"/>
  </r>
  <r>
    <s v="Responsable financier"/>
    <n v="0.3"/>
    <s v="Months"/>
    <n v="1000"/>
    <n v="18"/>
    <s v="USD"/>
    <n v="5400"/>
    <m/>
    <m/>
    <n v="5400"/>
    <m/>
    <m/>
    <x v="2"/>
    <x v="1"/>
  </r>
  <r>
    <s v="Responsable logistique"/>
    <n v="0.3"/>
    <s v="Months"/>
    <n v="800"/>
    <n v="18"/>
    <s v="USD"/>
    <n v="4320"/>
    <m/>
    <m/>
    <n v="4320"/>
    <m/>
    <m/>
    <x v="2"/>
    <x v="1"/>
  </r>
  <r>
    <s v="Administrative assistant"/>
    <n v="0.2"/>
    <s v="Months"/>
    <n v="600"/>
    <n v="18"/>
    <s v="USD"/>
    <n v="2160"/>
    <m/>
    <m/>
    <n v="2160"/>
    <m/>
    <m/>
    <x v="2"/>
    <x v="1"/>
  </r>
  <r>
    <s v="Chauffeur"/>
    <n v="0.3"/>
    <s v="Months"/>
    <n v="400"/>
    <n v="18"/>
    <s v="USD"/>
    <n v="2160"/>
    <m/>
    <m/>
    <n v="2160"/>
    <m/>
    <m/>
    <x v="2"/>
    <x v="1"/>
  </r>
  <r>
    <s v="Gestionnaire administrative"/>
    <n v="0.8"/>
    <s v="Months"/>
    <n v="500"/>
    <n v="18"/>
    <s v="USD"/>
    <n v="7200"/>
    <m/>
    <m/>
    <m/>
    <m/>
    <n v="7200"/>
    <x v="2"/>
    <x v="1"/>
  </r>
  <r>
    <s v="Charge operationnel et log "/>
    <n v="0.8"/>
    <s v="Months"/>
    <n v="400"/>
    <n v="18"/>
    <s v="USD"/>
    <n v="5760"/>
    <m/>
    <m/>
    <m/>
    <m/>
    <n v="5760"/>
    <x v="2"/>
    <x v="1"/>
  </r>
  <r>
    <s v="Officier de partenariat et protection"/>
    <n v="0.2"/>
    <s v="Months"/>
    <n v="1200"/>
    <n v="18"/>
    <s v="USD"/>
    <n v="5389.73"/>
    <n v="5389.73"/>
    <m/>
    <m/>
    <m/>
    <m/>
    <x v="1"/>
    <x v="1"/>
  </r>
  <r>
    <s v="HR/Admin Manager"/>
    <n v="0.05"/>
    <s v="Months"/>
    <n v="2300"/>
    <n v="18"/>
    <s v="USD"/>
    <n v="4235.7700000000004"/>
    <n v="4235.7700000000004"/>
    <m/>
    <m/>
    <m/>
    <m/>
    <x v="1"/>
    <x v="1"/>
  </r>
  <r>
    <s v="HR/Admin Officer"/>
    <n v="0.05"/>
    <s v="Months"/>
    <n v="1200"/>
    <n v="18"/>
    <s v="USD"/>
    <n v="2271.59"/>
    <n v="2271.59"/>
    <m/>
    <m/>
    <m/>
    <m/>
    <x v="1"/>
    <x v="1"/>
  </r>
  <r>
    <s v="Logistics &amp; Transport Officer "/>
    <n v="0.05"/>
    <s v="Months"/>
    <n v="1200"/>
    <n v="18"/>
    <s v="USD"/>
    <n v="4250.05"/>
    <n v="4250.05"/>
    <m/>
    <m/>
    <m/>
    <m/>
    <x v="1"/>
    <x v="1"/>
  </r>
  <r>
    <s v="Procurement Officer"/>
    <n v="0.05"/>
    <s v="Months"/>
    <n v="1500"/>
    <n v="18"/>
    <s v="USD"/>
    <n v="2957.92"/>
    <n v="2957.92"/>
    <m/>
    <m/>
    <m/>
    <m/>
    <x v="1"/>
    <x v="1"/>
  </r>
  <r>
    <s v="Assistant CFC"/>
    <n v="0.05"/>
    <s v="Months"/>
    <n v="2800"/>
    <n v="18"/>
    <s v="USD"/>
    <n v="4385.71"/>
    <n v="4385.71"/>
    <m/>
    <m/>
    <m/>
    <m/>
    <x v="1"/>
    <x v="1"/>
  </r>
  <r>
    <s v="Senior Finance Officer"/>
    <n v="0.05"/>
    <s v="Months"/>
    <n v="2000"/>
    <n v="18"/>
    <s v="USD"/>
    <n v="7579.45"/>
    <n v="7579.45"/>
    <m/>
    <m/>
    <m/>
    <m/>
    <x v="1"/>
    <x v="1"/>
  </r>
  <r>
    <s v="Senior Finance Officer &amp; Partnership"/>
    <n v="0.2"/>
    <s v="Months"/>
    <n v="1200"/>
    <n v="18"/>
    <s v="USD"/>
    <n v="6136.36"/>
    <n v="6136.36"/>
    <m/>
    <m/>
    <m/>
    <m/>
    <x v="1"/>
    <x v="1"/>
  </r>
  <r>
    <s v="Finance Assistant"/>
    <n v="0.05"/>
    <s v="Months"/>
    <n v="1000"/>
    <n v="18"/>
    <s v="USD"/>
    <n v="1998.42"/>
    <n v="1998.42"/>
    <m/>
    <m/>
    <m/>
    <m/>
    <x v="1"/>
    <x v="1"/>
  </r>
  <r>
    <s v="IT Manager"/>
    <n v="0.05"/>
    <s v="Months"/>
    <n v="2300"/>
    <n v="18"/>
    <s v="USD"/>
    <n v="4659.0599999999995"/>
    <n v="4659.0599999999995"/>
    <m/>
    <m/>
    <m/>
    <m/>
    <x v="1"/>
    <x v="1"/>
  </r>
  <r>
    <s v="Base Manager (Duvivier office)"/>
    <n v="0.05"/>
    <s v="Months"/>
    <n v="1200"/>
    <n v="18"/>
    <s v="USD"/>
    <n v="1538.1"/>
    <n v="1538.1"/>
    <m/>
    <m/>
    <m/>
    <m/>
    <x v="1"/>
    <x v="1"/>
  </r>
  <r>
    <s v="National Program Staff Costs"/>
    <m/>
    <m/>
    <m/>
    <m/>
    <m/>
    <n v="190886.61000000002"/>
    <n v="118886.61"/>
    <n v="0"/>
    <n v="45000"/>
    <n v="0"/>
    <n v="27000"/>
    <x v="0"/>
    <x v="0"/>
  </r>
  <r>
    <s v=" Coordinateur "/>
    <n v="1"/>
    <s v="Months"/>
    <n v="1400"/>
    <n v="18"/>
    <s v="USD"/>
    <n v="25200"/>
    <m/>
    <m/>
    <n v="25200"/>
    <m/>
    <m/>
    <x v="2"/>
    <x v="1"/>
  </r>
  <r>
    <s v=" Assistant Coordonnateur "/>
    <n v="1"/>
    <s v="Months"/>
    <n v="700"/>
    <n v="18"/>
    <s v="USD"/>
    <n v="12600"/>
    <m/>
    <m/>
    <n v="12600"/>
    <m/>
    <m/>
    <x v="2"/>
    <x v="1"/>
  </r>
  <r>
    <s v=" Agent de liason communataire "/>
    <n v="1"/>
    <s v="Months"/>
    <n v="400"/>
    <n v="18"/>
    <s v="USD"/>
    <n v="7200"/>
    <m/>
    <m/>
    <n v="7200"/>
    <m/>
    <m/>
    <x v="2"/>
    <x v="1"/>
  </r>
  <r>
    <s v="Charge de projet"/>
    <n v="1"/>
    <s v="Months"/>
    <n v="1000"/>
    <n v="18"/>
    <s v="USD"/>
    <n v="18000"/>
    <m/>
    <m/>
    <m/>
    <m/>
    <n v="18000"/>
    <x v="2"/>
    <x v="1"/>
  </r>
  <r>
    <s v="Superviseuse Marraines"/>
    <n v="1"/>
    <s v="Months"/>
    <n v="500"/>
    <n v="18"/>
    <s v="USD"/>
    <n v="9000"/>
    <m/>
    <m/>
    <m/>
    <m/>
    <n v="9000"/>
    <x v="2"/>
    <x v="1"/>
  </r>
  <r>
    <s v="M&amp;E Manager"/>
    <n v="0.35"/>
    <s v="Months"/>
    <n v="2300"/>
    <n v="18"/>
    <s v="USD"/>
    <n v="13494.55"/>
    <n v="13494.55"/>
    <m/>
    <m/>
    <m/>
    <m/>
    <x v="3"/>
    <x v="1"/>
  </r>
  <r>
    <s v="M&amp;E Assistant (2)"/>
    <n v="0.35"/>
    <s v="Months"/>
    <n v="1500"/>
    <n v="18"/>
    <s v="USD"/>
    <n v="14117.64"/>
    <n v="14117.64"/>
    <m/>
    <m/>
    <m/>
    <m/>
    <x v="3"/>
    <x v="1"/>
  </r>
  <r>
    <s v="Database Assistant"/>
    <n v="0.35"/>
    <s v="Months"/>
    <n v="1500"/>
    <n v="18"/>
    <s v="USD"/>
    <n v="3611.6100000000006"/>
    <n v="3611.6100000000006"/>
    <m/>
    <m/>
    <m/>
    <m/>
    <x v="3"/>
    <x v="1"/>
  </r>
  <r>
    <s v="Officier de Projet"/>
    <n v="1"/>
    <s v="Months"/>
    <n v="1500"/>
    <n v="18"/>
    <s v="USD"/>
    <n v="26565.66"/>
    <n v="26565.66"/>
    <m/>
    <m/>
    <m/>
    <m/>
    <x v="1"/>
    <x v="1"/>
  </r>
  <r>
    <s v="Technicien(ne) * 2"/>
    <n v="2"/>
    <s v="Months"/>
    <n v="1000"/>
    <n v="18"/>
    <s v="USD"/>
    <n v="33893.89"/>
    <n v="33893.89"/>
    <m/>
    <m/>
    <m/>
    <m/>
    <x v="1"/>
    <x v="1"/>
  </r>
  <r>
    <s v="Agent de liason communataire - Saint Martin (2)"/>
    <n v="2"/>
    <s v="Months"/>
    <n v="600"/>
    <n v="17"/>
    <s v="USD"/>
    <n v="250"/>
    <n v="250"/>
    <m/>
    <m/>
    <m/>
    <m/>
    <x v="1"/>
    <x v="1"/>
  </r>
  <r>
    <s v="Agent de liason communautaire - La Saline (2)"/>
    <n v="2"/>
    <s v="Months"/>
    <n v="600"/>
    <n v="17"/>
    <s v="USD"/>
    <n v="250"/>
    <n v="250"/>
    <m/>
    <m/>
    <m/>
    <m/>
    <x v="1"/>
    <x v="1"/>
  </r>
  <r>
    <s v="Technicien VSLA"/>
    <n v="1"/>
    <s v="Months"/>
    <n v="600"/>
    <n v="9"/>
    <s v="USD"/>
    <n v="8074.45"/>
    <n v="8074.45"/>
    <m/>
    <m/>
    <m/>
    <m/>
    <x v="1"/>
    <x v="1"/>
  </r>
  <r>
    <s v="Chauffeur"/>
    <n v="1"/>
    <s v="Months"/>
    <n v="600"/>
    <n v="15"/>
    <s v="USD"/>
    <n v="18628.809999999998"/>
    <n v="18628.809999999998"/>
    <m/>
    <m/>
    <m/>
    <m/>
    <x v="1"/>
    <x v="1"/>
  </r>
  <r>
    <s v="CONSULTANCY"/>
    <m/>
    <m/>
    <m/>
    <m/>
    <m/>
    <n v="19000"/>
    <n v="12000"/>
    <n v="0"/>
    <n v="0"/>
    <n v="0"/>
    <n v="0"/>
    <x v="0"/>
    <x v="0"/>
  </r>
  <r>
    <s v="External Evaluator"/>
    <n v="1"/>
    <s v="person"/>
    <n v="12000"/>
    <n v="1"/>
    <s v="USD"/>
    <n v="19000"/>
    <n v="12000"/>
    <m/>
    <m/>
    <m/>
    <m/>
    <x v="4"/>
    <x v="2"/>
  </r>
  <r>
    <s v="EQUIPMENT (less than 5k)"/>
    <m/>
    <m/>
    <m/>
    <m/>
    <m/>
    <n v="6072.7500410736657"/>
    <n v="6900"/>
    <n v="500"/>
    <n v="700"/>
    <n v="0"/>
    <n v="0"/>
    <x v="0"/>
    <x v="0"/>
  </r>
  <r>
    <s v=" Laptop "/>
    <n v="1"/>
    <s v="Unit"/>
    <n v="500"/>
    <n v="1"/>
    <s v="USD"/>
    <n v="500"/>
    <m/>
    <m/>
    <n v="500"/>
    <m/>
    <m/>
    <x v="2"/>
    <x v="3"/>
  </r>
  <r>
    <s v=" Imprimante "/>
    <n v="1"/>
    <s v="Unit"/>
    <n v="200"/>
    <n v="1"/>
    <s v="USD"/>
    <n v="200"/>
    <m/>
    <m/>
    <n v="200"/>
    <m/>
    <m/>
    <x v="2"/>
    <x v="3"/>
  </r>
  <r>
    <s v="Laptops"/>
    <n v="1"/>
    <s v="Unit"/>
    <n v="500"/>
    <n v="1"/>
    <s v="USD"/>
    <n v="500"/>
    <m/>
    <n v="500"/>
    <m/>
    <m/>
    <m/>
    <x v="2"/>
    <x v="3"/>
  </r>
  <r>
    <s v="Laptops"/>
    <n v="2"/>
    <s v="Unit"/>
    <n v="1200"/>
    <n v="1"/>
    <s v="USD"/>
    <n v="2442.75"/>
    <n v="2400"/>
    <m/>
    <m/>
    <m/>
    <m/>
    <x v="2"/>
    <x v="3"/>
  </r>
  <r>
    <s v="Tablets"/>
    <n v="12"/>
    <s v="Unit"/>
    <n v="375"/>
    <n v="1"/>
    <s v="USD"/>
    <n v="2430.0000410736657"/>
    <n v="4500"/>
    <m/>
    <m/>
    <m/>
    <m/>
    <x v="3"/>
    <x v="3"/>
  </r>
  <r>
    <s v="PROGRAM COSTS"/>
    <m/>
    <m/>
    <m/>
    <m/>
    <m/>
    <n v="817539.20159170113"/>
    <n v="234477.35606206401"/>
    <n v="54975"/>
    <n v="161702"/>
    <n v="200000"/>
    <n v="162650"/>
    <x v="0"/>
    <x v="0"/>
  </r>
  <r>
    <s v="Résultat 1"/>
    <m/>
    <m/>
    <m/>
    <m/>
    <m/>
    <n v="328313.24779293482"/>
    <n v="63811.247792934839"/>
    <n v="0"/>
    <n v="155702"/>
    <n v="0"/>
    <n v="108800"/>
    <x v="0"/>
    <x v="0"/>
  </r>
  <r>
    <s v="Produit 1.1"/>
    <m/>
    <m/>
    <m/>
    <m/>
    <m/>
    <m/>
    <m/>
    <m/>
    <m/>
    <m/>
    <m/>
    <x v="0"/>
    <x v="0"/>
  </r>
  <r>
    <s v="Prise en charge de traitement de troubles de stress post traumatique et des traumatismes"/>
    <m/>
    <m/>
    <m/>
    <m/>
    <m/>
    <s v="Montant"/>
    <s v="a"/>
    <s v="c"/>
    <s v="v"/>
    <s v="r"/>
    <s v="h"/>
    <x v="5"/>
    <x v="4"/>
  </r>
  <r>
    <s v="A 1.1. 1 Seances individuelles (250 personnes environ)"/>
    <n v="350"/>
    <s v="Unit"/>
    <n v="40"/>
    <n v="6"/>
    <s v="USD"/>
    <n v="84000"/>
    <m/>
    <m/>
    <n v="84000"/>
    <m/>
    <m/>
    <x v="6"/>
    <x v="1"/>
  </r>
  <r>
    <s v="A 1.1.1 Frais de transport"/>
    <n v="350"/>
    <s v="Lump Sum"/>
    <n v="5"/>
    <n v="6"/>
    <s v="USD"/>
    <n v="10500"/>
    <n v="10500"/>
    <m/>
    <m/>
    <m/>
    <m/>
    <x v="6"/>
    <x v="5"/>
  </r>
  <r>
    <s v="Prise en charge psychosociale de groupe / 2000 participants - 50 groupes avec 40 personnes / 6 heures"/>
    <m/>
    <m/>
    <m/>
    <m/>
    <m/>
    <m/>
    <m/>
    <m/>
    <m/>
    <m/>
    <m/>
    <x v="0"/>
    <x v="0"/>
  </r>
  <r>
    <s v="A. 1.1. 2Collation,  eau"/>
    <n v="2000"/>
    <s v="Unit"/>
    <n v="2.5"/>
    <n v="2"/>
    <s v="USD"/>
    <n v="10000"/>
    <m/>
    <m/>
    <n v="10000"/>
    <m/>
    <m/>
    <x v="7"/>
    <x v="6"/>
  </r>
  <r>
    <s v="A 1.1.2 Impression documents"/>
    <n v="2000"/>
    <s v="Unit"/>
    <n v="4"/>
    <n v="1"/>
    <s v="USD"/>
    <n v="8000"/>
    <m/>
    <m/>
    <n v="8000"/>
    <m/>
    <m/>
    <x v="7"/>
    <x v="6"/>
  </r>
  <r>
    <s v="A 1.1.2 Materiels (crayon, papier, flipchart, marker)"/>
    <n v="1"/>
    <s v="Unit"/>
    <n v="600"/>
    <n v="1"/>
    <s v="USD"/>
    <n v="600"/>
    <m/>
    <m/>
    <n v="600"/>
    <m/>
    <m/>
    <x v="7"/>
    <x v="6"/>
  </r>
  <r>
    <s v="A 1.1.2 Animateur"/>
    <n v="1"/>
    <s v="Unit"/>
    <n v="300"/>
    <n v="50"/>
    <s v="USD"/>
    <n v="15000"/>
    <m/>
    <m/>
    <n v="15000"/>
    <m/>
    <m/>
    <x v="7"/>
    <x v="1"/>
  </r>
  <r>
    <s v="A 1.1.2 Assistant animateur"/>
    <n v="1"/>
    <s v="Unit"/>
    <n v="120"/>
    <n v="50"/>
    <s v="USD"/>
    <n v="6000"/>
    <m/>
    <m/>
    <n v="6000"/>
    <m/>
    <m/>
    <x v="7"/>
    <x v="1"/>
  </r>
  <r>
    <s v="A 1.1.2 Supervision"/>
    <n v="5"/>
    <s v="Unit"/>
    <n v="200"/>
    <n v="1"/>
    <s v="USD"/>
    <n v="1000"/>
    <m/>
    <m/>
    <n v="1000"/>
    <m/>
    <m/>
    <x v="7"/>
    <x v="1"/>
  </r>
  <r>
    <s v="A.1.1.2 Location espace"/>
    <n v="50"/>
    <s v="Unit"/>
    <n v="40"/>
    <n v="2"/>
    <s v="USD"/>
    <n v="4000"/>
    <m/>
    <m/>
    <n v="4000"/>
    <m/>
    <m/>
    <x v="7"/>
    <x v="6"/>
  </r>
  <r>
    <s v="A 1.1.3 NEGES MAWON - Marraines"/>
    <n v="20"/>
    <s v="accompagnateur"/>
    <n v="300"/>
    <n v="16"/>
    <s v="USD"/>
    <n v="96000"/>
    <m/>
    <m/>
    <m/>
    <m/>
    <n v="96000"/>
    <x v="8"/>
    <x v="1"/>
  </r>
  <r>
    <s v="A 1.1.3 NEGES MAWON - Marraines Transport"/>
    <n v="1"/>
    <s v="Lumpsum"/>
    <n v="400"/>
    <n v="16"/>
    <s v="USD"/>
    <n v="6400"/>
    <m/>
    <m/>
    <m/>
    <m/>
    <n v="6400"/>
    <x v="8"/>
    <x v="5"/>
  </r>
  <r>
    <s v="A 1.1.3 NEGES MAWON - Marraines Communication"/>
    <n v="1"/>
    <s v="Lumpsum"/>
    <n v="400"/>
    <n v="16"/>
    <s v="USD"/>
    <n v="6400"/>
    <m/>
    <m/>
    <m/>
    <m/>
    <n v="6400"/>
    <x v="8"/>
    <x v="6"/>
  </r>
  <r>
    <s v="A. 1.1.3  Gender Advisor"/>
    <n v="1"/>
    <s v="person"/>
    <n v="416.5"/>
    <n v="10"/>
    <s v="USD"/>
    <n v="482.59220203085351"/>
    <n v="482.59220203085351"/>
    <m/>
    <m/>
    <m/>
    <m/>
    <x v="8"/>
    <x v="1"/>
  </r>
  <r>
    <s v="Produit 1.2 "/>
    <m/>
    <m/>
    <m/>
    <m/>
    <m/>
    <m/>
    <m/>
    <m/>
    <m/>
    <m/>
    <m/>
    <x v="0"/>
    <x v="0"/>
  </r>
  <r>
    <s v="Formation de Formateurs en psychosocial 23 personnes-(3 superviseurs et 20 psychologues /12 jours"/>
    <m/>
    <m/>
    <m/>
    <m/>
    <m/>
    <m/>
    <m/>
    <m/>
    <m/>
    <m/>
    <m/>
    <x v="0"/>
    <x v="0"/>
  </r>
  <r>
    <s v="A 1.2.1 Collation, repas et eau"/>
    <n v="23"/>
    <s v="Unit"/>
    <n v="15"/>
    <n v="12"/>
    <s v="USD"/>
    <n v="4140"/>
    <m/>
    <m/>
    <n v="4140"/>
    <m/>
    <m/>
    <x v="9"/>
    <x v="6"/>
  </r>
  <r>
    <s v="A 1.2.1 Impression documents"/>
    <n v="23"/>
    <s v="Unit"/>
    <n v="4"/>
    <n v="1"/>
    <s v="USD"/>
    <n v="92"/>
    <m/>
    <m/>
    <n v="92"/>
    <m/>
    <m/>
    <x v="9"/>
    <x v="6"/>
  </r>
  <r>
    <s v="A 1.2.1 Materiels (crayon, papier, flipchart, marker)"/>
    <n v="1"/>
    <s v="Unit"/>
    <n v="50"/>
    <n v="1"/>
    <s v="USD"/>
    <n v="50"/>
    <m/>
    <m/>
    <n v="50"/>
    <m/>
    <m/>
    <x v="9"/>
    <x v="6"/>
  </r>
  <r>
    <s v="A 1.2.1 Animateur"/>
    <n v="1"/>
    <s v="Unit"/>
    <n v="350"/>
    <n v="12"/>
    <s v="USD"/>
    <n v="4200"/>
    <m/>
    <m/>
    <n v="4200"/>
    <m/>
    <m/>
    <x v="9"/>
    <x v="1"/>
  </r>
  <r>
    <s v="A 1.2.1 Developpement materiel"/>
    <n v="1"/>
    <s v="Lumpsum"/>
    <n v="1600"/>
    <n v="1"/>
    <s v="USD"/>
    <n v="1600"/>
    <m/>
    <m/>
    <n v="1600"/>
    <m/>
    <m/>
    <x v="9"/>
    <x v="6"/>
  </r>
  <r>
    <s v="A 1.2.1 Location espace"/>
    <n v="1"/>
    <s v="Unit"/>
    <n v="200"/>
    <n v="12"/>
    <s v="USD"/>
    <n v="2400"/>
    <m/>
    <m/>
    <n v="2400"/>
    <m/>
    <m/>
    <x v="9"/>
    <x v="6"/>
  </r>
  <r>
    <s v="Formation en psychosocial 80 participants/4 groupes de vingts /5 jours"/>
    <m/>
    <m/>
    <m/>
    <m/>
    <m/>
    <m/>
    <m/>
    <m/>
    <m/>
    <m/>
    <m/>
    <x v="0"/>
    <x v="0"/>
  </r>
  <r>
    <s v="A 1.2.2 Collation, repas et eau"/>
    <n v="80"/>
    <s v="Unit"/>
    <n v="15"/>
    <n v="5"/>
    <s v="USD"/>
    <n v="6000"/>
    <m/>
    <m/>
    <n v="6000"/>
    <m/>
    <m/>
    <x v="10"/>
    <x v="6"/>
  </r>
  <r>
    <s v="A 1.2.2 Impression documents"/>
    <n v="80"/>
    <s v="Unit"/>
    <n v="4"/>
    <n v="1"/>
    <s v="USD"/>
    <n v="320"/>
    <m/>
    <m/>
    <n v="320"/>
    <m/>
    <m/>
    <x v="10"/>
    <x v="6"/>
  </r>
  <r>
    <s v="A 1.2.2 Materiels (crayon, papier, flipchart, marker)"/>
    <n v="1"/>
    <s v="Unit"/>
    <n v="100"/>
    <n v="1"/>
    <s v="USD"/>
    <n v="100"/>
    <m/>
    <m/>
    <n v="100"/>
    <m/>
    <m/>
    <x v="10"/>
    <x v="6"/>
  </r>
  <r>
    <s v="A 1.2.2 Animateur"/>
    <n v="1"/>
    <s v="Unit"/>
    <n v="350"/>
    <n v="20"/>
    <s v="USD"/>
    <n v="7000"/>
    <m/>
    <m/>
    <n v="7000"/>
    <m/>
    <m/>
    <x v="10"/>
    <x v="1"/>
  </r>
  <r>
    <s v="A 1.2.2 Supervision"/>
    <n v="2"/>
    <s v="Unit"/>
    <n v="200"/>
    <n v="1"/>
    <s v="USD"/>
    <n v="400"/>
    <m/>
    <m/>
    <n v="400"/>
    <m/>
    <m/>
    <x v="10"/>
    <x v="1"/>
  </r>
  <r>
    <s v="A 1.2.2 Location espace"/>
    <n v="1"/>
    <s v="Unit"/>
    <n v="40"/>
    <n v="20"/>
    <s v="USD"/>
    <n v="800"/>
    <m/>
    <m/>
    <n v="800"/>
    <m/>
    <m/>
    <x v="10"/>
    <x v="6"/>
  </r>
  <r>
    <s v="A 1.2.3 Activités socio-relationnelles"/>
    <n v="1"/>
    <s v="Lump Sum"/>
    <n v="25000"/>
    <n v="1"/>
    <s v="USD"/>
    <n v="25000"/>
    <n v="25000"/>
    <m/>
    <m/>
    <m/>
    <m/>
    <x v="11"/>
    <x v="7"/>
  </r>
  <r>
    <s v="A 1.2.4 Mise à jour de la feuille de route de protection"/>
    <n v="1"/>
    <s v="Lump Sum"/>
    <n v="1000"/>
    <n v="1"/>
    <s v="USD"/>
    <n v="1000"/>
    <n v="1000"/>
    <m/>
    <m/>
    <m/>
    <m/>
    <x v="12"/>
    <x v="6"/>
  </r>
  <r>
    <s v="A. 1.2.5 Technical support "/>
    <n v="1"/>
    <s v="Lump Sum"/>
    <n v="20000"/>
    <n v="1"/>
    <s v="USD"/>
    <n v="20000"/>
    <n v="20000"/>
    <m/>
    <m/>
    <m/>
    <m/>
    <x v="13"/>
    <x v="2"/>
  </r>
  <r>
    <s v="A. 1.2.5 Referencement"/>
    <n v="1"/>
    <s v="Lump Sum"/>
    <n v="4000"/>
    <n v="1"/>
    <s v="USD"/>
    <n v="4000"/>
    <n v="4000"/>
    <m/>
    <m/>
    <m/>
    <m/>
    <x v="13"/>
    <x v="6"/>
  </r>
  <r>
    <s v="A 1.2.6 Analyse de structures et traditions locales"/>
    <n v="1"/>
    <s v="Lump Sum"/>
    <n v="2000"/>
    <n v="1"/>
    <s v="USD"/>
    <n v="2828.6555909039871"/>
    <n v="2828.6555909039871"/>
    <m/>
    <m/>
    <m/>
    <m/>
    <x v="14"/>
    <x v="2"/>
  </r>
  <r>
    <s v="Résultat 2"/>
    <m/>
    <m/>
    <m/>
    <m/>
    <m/>
    <n v="317290.35379876633"/>
    <n v="62315.358269129159"/>
    <n v="54975"/>
    <n v="0"/>
    <n v="200000"/>
    <n v="0"/>
    <x v="0"/>
    <x v="0"/>
  </r>
  <r>
    <s v="Produit 2.1 "/>
    <m/>
    <m/>
    <m/>
    <m/>
    <m/>
    <m/>
    <m/>
    <m/>
    <m/>
    <m/>
    <m/>
    <x v="0"/>
    <x v="0"/>
  </r>
  <r>
    <s v="A 2.1.1 Mise à jour de l'analyse de conflit"/>
    <n v="1"/>
    <s v="Lump Sum"/>
    <n v="10000"/>
    <n v="1"/>
    <s v="USD"/>
    <n v="10000"/>
    <n v="10000"/>
    <m/>
    <m/>
    <m/>
    <m/>
    <x v="15"/>
    <x v="6"/>
  </r>
  <r>
    <s v="Facilitation des Séances de médiation communautaire / 6 sceance de 10 personnes"/>
    <m/>
    <m/>
    <m/>
    <m/>
    <m/>
    <m/>
    <m/>
    <m/>
    <m/>
    <m/>
    <m/>
    <x v="0"/>
    <x v="0"/>
  </r>
  <r>
    <s v="A 2.1.2 Collation et eau"/>
    <n v="120"/>
    <s v="Unit"/>
    <n v="2.5"/>
    <n v="4"/>
    <s v="USD"/>
    <n v="1200"/>
    <m/>
    <n v="1200"/>
    <m/>
    <m/>
    <m/>
    <x v="16"/>
    <x v="6"/>
  </r>
  <r>
    <s v="A 2.1.2 Impression documents"/>
    <n v="120"/>
    <s v="Unit"/>
    <n v="4"/>
    <n v="1"/>
    <s v="USD"/>
    <n v="480"/>
    <m/>
    <n v="480"/>
    <m/>
    <m/>
    <m/>
    <x v="16"/>
    <x v="6"/>
  </r>
  <r>
    <s v="A 2.1.2 Materiels (crayon, papier, flipchart, marker)"/>
    <n v="1"/>
    <s v="Lump Sum"/>
    <n v="60"/>
    <n v="1"/>
    <s v="USD"/>
    <n v="60"/>
    <m/>
    <n v="60"/>
    <m/>
    <m/>
    <m/>
    <x v="16"/>
    <x v="6"/>
  </r>
  <r>
    <s v="A 2.1.2 Mediateur"/>
    <n v="12"/>
    <s v="Lump Sum"/>
    <n v="40"/>
    <n v="16"/>
    <s v="USD"/>
    <n v="7680"/>
    <m/>
    <n v="7680"/>
    <m/>
    <m/>
    <m/>
    <x v="16"/>
    <x v="1"/>
  </r>
  <r>
    <s v="A 2.1.2 Location salle"/>
    <n v="12"/>
    <s v="Lump Sum"/>
    <n v="40"/>
    <n v="4"/>
    <s v="USD"/>
    <n v="1920"/>
    <m/>
    <n v="1920"/>
    <m/>
    <m/>
    <m/>
    <x v="16"/>
    <x v="6"/>
  </r>
  <r>
    <s v="A 2.1.2 Conflict/humanitarian advisor"/>
    <n v="1"/>
    <s v="person"/>
    <n v="416.5"/>
    <n v="10"/>
    <s v="USD"/>
    <n v="967.13552963719167"/>
    <n v="967.14"/>
    <m/>
    <m/>
    <m/>
    <m/>
    <x v="16"/>
    <x v="1"/>
  </r>
  <r>
    <s v="Produit 2.2"/>
    <m/>
    <m/>
    <m/>
    <m/>
    <m/>
    <m/>
    <m/>
    <m/>
    <m/>
    <m/>
    <m/>
    <x v="0"/>
    <x v="0"/>
  </r>
  <r>
    <s v="Formation de Médiatrices pour la Paix / 4 groupe de 20 personnes / 12 jours"/>
    <m/>
    <m/>
    <m/>
    <m/>
    <m/>
    <m/>
    <m/>
    <m/>
    <m/>
    <m/>
    <m/>
    <x v="0"/>
    <x v="0"/>
  </r>
  <r>
    <s v="A 2.2.1 Collation et eau et repas"/>
    <n v="100"/>
    <s v="Unit"/>
    <n v="15"/>
    <n v="12"/>
    <s v="USD"/>
    <n v="18000"/>
    <m/>
    <n v="18000"/>
    <m/>
    <m/>
    <m/>
    <x v="17"/>
    <x v="6"/>
  </r>
  <r>
    <s v="A 2.2.1 Impression documents"/>
    <n v="100"/>
    <s v="Unit"/>
    <n v="4"/>
    <n v="1"/>
    <s v="USD"/>
    <n v="400"/>
    <m/>
    <n v="400"/>
    <m/>
    <m/>
    <m/>
    <x v="17"/>
    <x v="6"/>
  </r>
  <r>
    <s v="A 2.2.1 Materiels (crayon, papier, flipchart, marker)"/>
    <n v="1"/>
    <s v="Lump Sum"/>
    <n v="50"/>
    <n v="1"/>
    <s v="USD"/>
    <n v="50"/>
    <m/>
    <n v="50"/>
    <m/>
    <m/>
    <m/>
    <x v="17"/>
    <x v="6"/>
  </r>
  <r>
    <s v="A 2.2.1 Animateur"/>
    <n v="4"/>
    <s v="Lump Sum"/>
    <n v="300"/>
    <n v="12"/>
    <s v="USD"/>
    <n v="14400"/>
    <m/>
    <n v="14400"/>
    <m/>
    <m/>
    <m/>
    <x v="17"/>
    <x v="1"/>
  </r>
  <r>
    <s v="A 2.2.1 Location salle"/>
    <n v="4"/>
    <s v="Lump Sum"/>
    <n v="40"/>
    <n v="12"/>
    <s v="USD"/>
    <n v="1920"/>
    <m/>
    <n v="1920"/>
    <m/>
    <m/>
    <m/>
    <x v="17"/>
    <x v="6"/>
  </r>
  <r>
    <s v="Produit 2.3 "/>
    <m/>
    <m/>
    <m/>
    <m/>
    <m/>
    <m/>
    <m/>
    <m/>
    <m/>
    <m/>
    <m/>
    <x v="0"/>
    <x v="0"/>
  </r>
  <r>
    <s v="Accompagnement médiatrices de la paix"/>
    <m/>
    <m/>
    <m/>
    <m/>
    <m/>
    <m/>
    <m/>
    <m/>
    <m/>
    <m/>
    <m/>
    <x v="0"/>
    <x v="0"/>
  </r>
  <r>
    <s v="A 2.3.1  Suivi et supervision"/>
    <n v="1"/>
    <s v="Unit"/>
    <n v="7000"/>
    <n v="1"/>
    <s v="USD"/>
    <n v="8865"/>
    <m/>
    <n v="8865"/>
    <m/>
    <m/>
    <m/>
    <x v="18"/>
    <x v="1"/>
  </r>
  <r>
    <s v="A 2.3.2 Sélection de OCB"/>
    <n v="1"/>
    <s v="Lump Sum"/>
    <n v="2000"/>
    <n v="1"/>
    <s v="USD"/>
    <n v="448.21826912915913"/>
    <n v="448.21826912915913"/>
    <m/>
    <m/>
    <m/>
    <m/>
    <x v="19"/>
    <x v="6"/>
  </r>
  <r>
    <s v="A 2.3.2 Facilitateurs(trices) (15)"/>
    <n v="3.75"/>
    <s v="Months"/>
    <n v="300"/>
    <n v="18"/>
    <s v="USD"/>
    <n v="7000"/>
    <n v="7000"/>
    <m/>
    <m/>
    <m/>
    <m/>
    <x v="19"/>
    <x v="1"/>
  </r>
  <r>
    <s v="A 2.3.2 Renforcement OCB / GJ"/>
    <n v="1"/>
    <s v="Lump Sum"/>
    <n v="10000"/>
    <n v="1"/>
    <s v="USD"/>
    <n v="14500"/>
    <n v="14500"/>
    <m/>
    <m/>
    <m/>
    <m/>
    <x v="19"/>
    <x v="6"/>
  </r>
  <r>
    <s v="A 2.3.3 Co-Financement - Documentation du conflit"/>
    <n v="10"/>
    <s v="Lump Sum"/>
    <n v="10000"/>
    <n v="1"/>
    <s v="USD"/>
    <n v="100000"/>
    <m/>
    <m/>
    <m/>
    <n v="100000"/>
    <m/>
    <x v="20"/>
    <x v="7"/>
  </r>
  <r>
    <s v="A 2.3.4 Co-Financement - Initiatives de médiation"/>
    <n v="10"/>
    <s v="Lump Sum"/>
    <n v="10000"/>
    <n v="1"/>
    <s v="USD"/>
    <n v="100000"/>
    <m/>
    <m/>
    <m/>
    <n v="100000"/>
    <m/>
    <x v="21"/>
    <x v="7"/>
  </r>
  <r>
    <s v="A 2.3.5 ToT Masculinité Positive"/>
    <n v="1"/>
    <s v="Lump Sum"/>
    <n v="5000"/>
    <n v="1"/>
    <s v="USD"/>
    <n v="5000"/>
    <n v="5000"/>
    <m/>
    <m/>
    <m/>
    <m/>
    <x v="22"/>
    <x v="6"/>
  </r>
  <r>
    <s v="A 2.3.5 ToT Masculinité Positive"/>
    <n v="1"/>
    <s v="Lump Sum"/>
    <n v="3000"/>
    <n v="1"/>
    <s v="USD"/>
    <n v="3000"/>
    <n v="3000"/>
    <m/>
    <m/>
    <m/>
    <m/>
    <x v="22"/>
    <x v="2"/>
  </r>
  <r>
    <s v="A 2.3.6 Sessions de travail masculinité positive"/>
    <n v="17"/>
    <s v="Lump Sum"/>
    <n v="100"/>
    <n v="5"/>
    <s v="USD"/>
    <n v="10000"/>
    <n v="10000"/>
    <m/>
    <m/>
    <m/>
    <m/>
    <x v="23"/>
    <x v="6"/>
  </r>
  <r>
    <s v="Produit 2. 4"/>
    <m/>
    <m/>
    <m/>
    <m/>
    <m/>
    <m/>
    <m/>
    <m/>
    <m/>
    <m/>
    <m/>
    <x v="0"/>
    <x v="0"/>
  </r>
  <r>
    <s v="A 2.4.1 VSLA - AEC"/>
    <n v="12"/>
    <s v="Lump Sum"/>
    <n v="200"/>
    <n v="1"/>
    <s v="USD"/>
    <n v="2400"/>
    <n v="2400"/>
    <m/>
    <m/>
    <m/>
    <m/>
    <x v="24"/>
    <x v="6"/>
  </r>
  <r>
    <s v="A 2.4.1 VSLA - AEC collation-eau"/>
    <n v="300"/>
    <s v="Lump Sum"/>
    <n v="5"/>
    <n v="5"/>
    <s v="USD"/>
    <n v="9000"/>
    <n v="9000"/>
    <m/>
    <m/>
    <m/>
    <m/>
    <x v="24"/>
    <x v="6"/>
  </r>
  <r>
    <s v="Résultat 3"/>
    <m/>
    <m/>
    <m/>
    <m/>
    <m/>
    <n v="171935.6"/>
    <n v="108350.75"/>
    <n v="0"/>
    <n v="6000"/>
    <n v="0"/>
    <n v="53850"/>
    <x v="0"/>
    <x v="0"/>
  </r>
  <r>
    <s v="Produit 3.1 "/>
    <m/>
    <m/>
    <m/>
    <m/>
    <m/>
    <m/>
    <m/>
    <m/>
    <m/>
    <m/>
    <m/>
    <x v="0"/>
    <x v="0"/>
  </r>
  <r>
    <s v="Publications (articles, videos,…) / Plaidoyer / Activites culturelles"/>
    <m/>
    <m/>
    <m/>
    <m/>
    <m/>
    <m/>
    <m/>
    <m/>
    <m/>
    <m/>
    <m/>
    <x v="0"/>
    <x v="0"/>
  </r>
  <r>
    <s v="A 3.1.1 Publication"/>
    <n v="1"/>
    <s v="Unit"/>
    <n v="11000"/>
    <n v="1"/>
    <s v="USD"/>
    <n v="11000"/>
    <n v="2500"/>
    <m/>
    <n v="6000"/>
    <m/>
    <n v="2500"/>
    <x v="25"/>
    <x v="6"/>
  </r>
  <r>
    <s v="A 3.1.2 NEGES MAWON - Soutien à la réalisation du film documentaire &quot;LES ETOILES SUR VOS TOMBES&quot;"/>
    <n v="1"/>
    <s v="Lump Sum"/>
    <n v="20000"/>
    <n v="1"/>
    <s v="USD"/>
    <n v="20000"/>
    <m/>
    <m/>
    <m/>
    <m/>
    <n v="20000"/>
    <x v="26"/>
    <x v="2"/>
  </r>
  <r>
    <s v="A 3.1.3 NEGES MAWON - Responsable d'animation ou de formation (Culture / Création)"/>
    <n v="1"/>
    <s v="Lump Sum"/>
    <n v="5000"/>
    <n v="1"/>
    <s v="USD"/>
    <n v="5000"/>
    <m/>
    <m/>
    <m/>
    <m/>
    <n v="5000"/>
    <x v="27"/>
    <x v="1"/>
  </r>
  <r>
    <s v="A 3.1.3 A NEGES MAWON - Photographe"/>
    <n v="1"/>
    <s v="Lump Sum"/>
    <n v="4000"/>
    <n v="1"/>
    <s v="USD"/>
    <n v="4000"/>
    <m/>
    <m/>
    <m/>
    <m/>
    <n v="4000"/>
    <x v="28"/>
    <x v="1"/>
  </r>
  <r>
    <s v="A 3.1.4 Formation MCFDF / MJSAC"/>
    <n v="1"/>
    <s v="Lump Sum"/>
    <n v="30139"/>
    <n v="1"/>
    <s v="USD"/>
    <n v="30139"/>
    <n v="30139"/>
    <m/>
    <m/>
    <m/>
    <n v="5000"/>
    <x v="29"/>
    <x v="6"/>
  </r>
  <r>
    <s v="A 3.1.5 Consultation Technique Redevabilité Sociale"/>
    <n v="1"/>
    <s v="Lump Sum"/>
    <n v="10000"/>
    <n v="1"/>
    <s v="USD"/>
    <n v="10000"/>
    <n v="10000"/>
    <m/>
    <m/>
    <m/>
    <m/>
    <x v="29"/>
    <x v="2"/>
  </r>
  <r>
    <s v="A 3.1.5 Sessions de travail redevabilité sociale / citoyenneté de paix"/>
    <n v="45"/>
    <s v="person"/>
    <n v="15"/>
    <n v="8"/>
    <s v="USD"/>
    <n v="9799.52"/>
    <n v="9799.52"/>
    <m/>
    <m/>
    <m/>
    <m/>
    <x v="29"/>
    <x v="6"/>
  </r>
  <r>
    <s v="A 3.1.5 Location Espace Redevabilite Sociale"/>
    <n v="3"/>
    <s v="Lump Sum"/>
    <n v="150"/>
    <n v="7"/>
    <s v="USD"/>
    <n v="650"/>
    <n v="650"/>
    <m/>
    <m/>
    <m/>
    <m/>
    <x v="29"/>
    <x v="6"/>
  </r>
  <r>
    <s v="A 3.1.5 Initiatives de Redevabilité Social"/>
    <n v="1"/>
    <s v="Lump Sum"/>
    <n v="30139"/>
    <n v="1"/>
    <s v="USD"/>
    <n v="30139"/>
    <n v="30139"/>
    <m/>
    <m/>
    <m/>
    <m/>
    <x v="29"/>
    <x v="7"/>
  </r>
  <r>
    <s v="A 3.1.6 Consultations aux femmes sur les priorités pour la consolidation de la paix"/>
    <n v="7"/>
    <s v="Lump Sum"/>
    <n v="771.42857142857144"/>
    <n v="6"/>
    <s v="USD"/>
    <n v="5400"/>
    <n v="5400"/>
    <m/>
    <m/>
    <m/>
    <m/>
    <x v="30"/>
    <x v="6"/>
  </r>
  <r>
    <s v="3.1.7 Dialogues avec le secteur politique"/>
    <n v="3"/>
    <s v="Lump Sum"/>
    <n v="300"/>
    <n v="3"/>
    <s v="USD"/>
    <n v="2700"/>
    <n v="1350"/>
    <m/>
    <m/>
    <m/>
    <n v="1350"/>
    <x v="31"/>
    <x v="6"/>
  </r>
  <r>
    <s v="3.1.8 Forum de Femmes, Consolidation de La Paix et Sante Mentale"/>
    <n v="6"/>
    <s v="Lump Sum"/>
    <n v="2000"/>
    <n v="1"/>
    <s v="USD"/>
    <n v="16573.23"/>
    <n v="8573.23"/>
    <m/>
    <m/>
    <m/>
    <n v="8000"/>
    <x v="32"/>
    <x v="6"/>
  </r>
  <r>
    <s v="3.1.8 Forum de Femmes, Consolidation de La Paix et Sante Mentale"/>
    <n v="6"/>
    <s v="Lump Sum"/>
    <n v="1250"/>
    <n v="1"/>
    <s v="USD"/>
    <n v="7500"/>
    <m/>
    <m/>
    <m/>
    <m/>
    <n v="8000"/>
    <x v="32"/>
    <x v="7"/>
  </r>
  <r>
    <s v="Produit 3.2 "/>
    <m/>
    <m/>
    <m/>
    <m/>
    <m/>
    <m/>
    <m/>
    <m/>
    <m/>
    <m/>
    <m/>
    <x v="0"/>
    <x v="0"/>
  </r>
  <r>
    <s v="A 3.2.1 Comités Consultatifs"/>
    <n v="40"/>
    <s v="Lump Sum"/>
    <n v="120"/>
    <n v="1"/>
    <s v="USD"/>
    <n v="13034.85"/>
    <n v="4800"/>
    <m/>
    <m/>
    <m/>
    <m/>
    <x v="33"/>
    <x v="6"/>
  </r>
  <r>
    <s v="A 3.2.1 Renforcement CCJ / CCF"/>
    <n v="1"/>
    <s v="Lump Sum"/>
    <n v="5000"/>
    <n v="1"/>
    <s v="USD"/>
    <n v="6000"/>
    <n v="5000"/>
    <m/>
    <m/>
    <m/>
    <m/>
    <x v="33"/>
    <x v="6"/>
  </r>
  <r>
    <s v="OTHER PROGRAM COSTS"/>
    <m/>
    <m/>
    <m/>
    <m/>
    <m/>
    <n v="57613.092599999996"/>
    <n v="56413.092599999996"/>
    <n v="0"/>
    <n v="900"/>
    <n v="0"/>
    <n v="0"/>
    <x v="0"/>
    <x v="0"/>
  </r>
  <r>
    <s v="MONITORING AND EVALUATION"/>
    <m/>
    <m/>
    <m/>
    <m/>
    <m/>
    <n v="40000"/>
    <n v="40000"/>
    <n v="0"/>
    <n v="0"/>
    <n v="0"/>
    <n v="0"/>
    <x v="0"/>
    <x v="0"/>
  </r>
  <r>
    <s v="Baseline - enqueteurs"/>
    <n v="1"/>
    <s v="Lump Sum"/>
    <n v="10000"/>
    <n v="1"/>
    <s v="USD"/>
    <n v="13000"/>
    <n v="13000"/>
    <m/>
    <m/>
    <m/>
    <m/>
    <x v="3"/>
    <x v="2"/>
  </r>
  <r>
    <s v="Baseline - loc salle collation"/>
    <n v="1"/>
    <s v="Lump Sum"/>
    <n v="5000"/>
    <n v="1"/>
    <s v="USD"/>
    <n v="2000"/>
    <n v="2000"/>
    <m/>
    <m/>
    <m/>
    <m/>
    <x v="3"/>
    <x v="6"/>
  </r>
  <r>
    <s v="A 3.2.1 Capitalisation "/>
    <n v="2"/>
    <s v="Lump Sum"/>
    <n v="3500"/>
    <n v="1"/>
    <s v="USD"/>
    <n v="7000"/>
    <n v="7000"/>
    <m/>
    <m/>
    <m/>
    <m/>
    <x v="3"/>
    <x v="2"/>
  </r>
  <r>
    <s v="Endline - enqueteurs"/>
    <n v="1"/>
    <s v="Lump Sum"/>
    <n v="10000"/>
    <n v="1"/>
    <s v="USD"/>
    <n v="14000"/>
    <n v="14000"/>
    <m/>
    <m/>
    <m/>
    <m/>
    <x v="3"/>
    <x v="2"/>
  </r>
  <r>
    <s v="Endline - loc salle capitalisation"/>
    <n v="1"/>
    <s v="Lump Sum"/>
    <n v="5000"/>
    <n v="1"/>
    <s v="USD"/>
    <n v="1000"/>
    <n v="1000"/>
    <m/>
    <m/>
    <m/>
    <m/>
    <x v="3"/>
    <x v="6"/>
  </r>
  <r>
    <s v="DDG licences"/>
    <n v="1"/>
    <s v="Lumpsum"/>
    <n v="2500"/>
    <n v="1"/>
    <s v="EUR"/>
    <n v="3000"/>
    <n v="3000"/>
    <m/>
    <m/>
    <m/>
    <m/>
    <x v="3"/>
    <x v="8"/>
  </r>
  <r>
    <s v="AUDIT"/>
    <m/>
    <m/>
    <m/>
    <m/>
    <m/>
    <n v="8167"/>
    <n v="8167"/>
    <n v="0"/>
    <n v="0"/>
    <n v="0"/>
    <n v="0"/>
    <x v="0"/>
    <x v="0"/>
  </r>
  <r>
    <s v="Audit"/>
    <n v="1"/>
    <s v="Unit"/>
    <n v="8167"/>
    <n v="1"/>
    <s v="USD"/>
    <n v="8167"/>
    <n v="8167"/>
    <m/>
    <m/>
    <m/>
    <m/>
    <x v="4"/>
    <x v="2"/>
  </r>
  <r>
    <s v="Direct Support Program Costs"/>
    <m/>
    <m/>
    <m/>
    <m/>
    <m/>
    <n v="9446.0925999999999"/>
    <n v="8246.0925999999999"/>
    <n v="0"/>
    <n v="900"/>
    <n v="0"/>
    <n v="0"/>
    <x v="0"/>
    <x v="0"/>
  </r>
  <r>
    <s v="Rental car programme"/>
    <n v="1"/>
    <s v="Month"/>
    <n v="3367.2858999999999"/>
    <n v="14"/>
    <s v="USD"/>
    <n v="2.599999999802094E-3"/>
    <n v="2.599999999802094E-3"/>
    <m/>
    <m/>
    <m/>
    <m/>
    <x v="2"/>
    <x v="5"/>
  </r>
  <r>
    <s v="Communication"/>
    <n v="1"/>
    <s v="Unit"/>
    <n v="50"/>
    <n v="18"/>
    <s v="USD"/>
    <n v="900"/>
    <m/>
    <m/>
    <n v="900"/>
    <m/>
    <m/>
    <x v="2"/>
    <x v="8"/>
  </r>
  <r>
    <s v="Réunion Kick-Off"/>
    <n v="30"/>
    <s v="person"/>
    <n v="50"/>
    <n v="1"/>
    <s v="USD"/>
    <n v="1571.09"/>
    <n v="1571.09"/>
    <m/>
    <m/>
    <m/>
    <m/>
    <x v="2"/>
    <x v="8"/>
  </r>
  <r>
    <s v="Visibilité"/>
    <n v="1"/>
    <s v="Lump Sum"/>
    <n v="6000"/>
    <n v="1"/>
    <s v="USD"/>
    <n v="6000"/>
    <n v="6000"/>
    <m/>
    <m/>
    <m/>
    <m/>
    <x v="2"/>
    <x v="8"/>
  </r>
  <r>
    <s v="Communication costs "/>
    <n v="15"/>
    <s v="Lumpsum"/>
    <n v="2.5"/>
    <n v="18"/>
    <s v="USD"/>
    <n v="975"/>
    <n v="675"/>
    <m/>
    <m/>
    <m/>
    <m/>
    <x v="2"/>
    <x v="8"/>
  </r>
  <r>
    <s v="OFFICE(S) EXPENSES "/>
    <m/>
    <m/>
    <m/>
    <m/>
    <m/>
    <n v="77879.839999999997"/>
    <n v="61959.68"/>
    <n v="0"/>
    <n v="5520"/>
    <n v="0"/>
    <n v="10400.16"/>
    <x v="0"/>
    <x v="0"/>
  </r>
  <r>
    <s v="ADMINISTRATION"/>
    <m/>
    <m/>
    <m/>
    <m/>
    <m/>
    <n v="57500.130000000005"/>
    <n v="48149.97"/>
    <n v="0"/>
    <n v="4350"/>
    <n v="0"/>
    <n v="5000.16"/>
    <x v="0"/>
    <x v="0"/>
  </r>
  <r>
    <s v="Location de bureau"/>
    <n v="0.5"/>
    <s v="Unit"/>
    <n v="4000"/>
    <n v="1.5"/>
    <s v="USD"/>
    <n v="3000"/>
    <m/>
    <m/>
    <n v="3000"/>
    <m/>
    <m/>
    <x v="2"/>
    <x v="8"/>
  </r>
  <r>
    <s v="Maintenance et petits travaux"/>
    <n v="0.5"/>
    <s v="Unit"/>
    <n v="150"/>
    <n v="18"/>
    <s v="USD"/>
    <n v="1350"/>
    <m/>
    <m/>
    <n v="1350"/>
    <m/>
    <m/>
    <x v="2"/>
    <x v="8"/>
  </r>
  <r>
    <s v="Frais administratif divers"/>
    <n v="1"/>
    <s v="Unit"/>
    <n v="277.78666666666663"/>
    <n v="18"/>
    <s v="USD"/>
    <n v="5000.16"/>
    <m/>
    <m/>
    <m/>
    <m/>
    <n v="5000.16"/>
    <x v="2"/>
    <x v="8"/>
  </r>
  <r>
    <s v="Admin staff salary &amp; benefits"/>
    <n v="0.2"/>
    <s v="Month"/>
    <n v="6000"/>
    <n v="18"/>
    <s v="USD"/>
    <n v="28001.84"/>
    <n v="28001.84"/>
    <m/>
    <m/>
    <m/>
    <m/>
    <x v="34"/>
    <x v="1"/>
  </r>
  <r>
    <s v="Legal &amp; Professional Fees"/>
    <n v="0.25"/>
    <s v="Month"/>
    <n v="1400"/>
    <n v="18"/>
    <s v="USD"/>
    <n v="4847.16"/>
    <n v="4847.16"/>
    <m/>
    <m/>
    <m/>
    <m/>
    <x v="34"/>
    <x v="8"/>
  </r>
  <r>
    <s v="Office Expenses &amp; Running costs"/>
    <n v="0.25"/>
    <s v="Month"/>
    <n v="4500"/>
    <n v="18"/>
    <s v="USD"/>
    <n v="15300.970000000001"/>
    <n v="15300.970000000001"/>
    <m/>
    <m/>
    <m/>
    <m/>
    <x v="34"/>
    <x v="8"/>
  </r>
  <r>
    <s v="TRANSPORTATION"/>
    <m/>
    <m/>
    <m/>
    <m/>
    <m/>
    <n v="20379.71"/>
    <n v="13809.71"/>
    <n v="0"/>
    <n v="1170"/>
    <n v="0"/>
    <n v="5400"/>
    <x v="0"/>
    <x v="0"/>
  </r>
  <r>
    <s v=" Carburant "/>
    <n v="0.5"/>
    <s v="Unit"/>
    <n v="130"/>
    <n v="18"/>
    <s v="USD"/>
    <n v="1170"/>
    <m/>
    <m/>
    <n v="1170"/>
    <m/>
    <m/>
    <x v="2"/>
    <x v="5"/>
  </r>
  <r>
    <s v="Location de voiture / frais divers vehicules"/>
    <n v="1"/>
    <m/>
    <n v="300"/>
    <n v="18"/>
    <s v="USD"/>
    <n v="5400"/>
    <m/>
    <m/>
    <m/>
    <m/>
    <n v="5400"/>
    <x v="2"/>
    <x v="5"/>
  </r>
  <r>
    <s v="Transport Running costs (vehicles) "/>
    <n v="0.25"/>
    <s v="Month"/>
    <n v="1000"/>
    <n v="18"/>
    <s v="USD"/>
    <n v="7285.34"/>
    <n v="7285.34"/>
    <m/>
    <m/>
    <m/>
    <m/>
    <x v="34"/>
    <x v="5"/>
  </r>
  <r>
    <s v="Transport Repairs &amp; Maintenance (vehicles) "/>
    <n v="0.25"/>
    <s v="Month"/>
    <n v="600"/>
    <n v="18"/>
    <s v="USD"/>
    <n v="5174.37"/>
    <n v="5174.37"/>
    <m/>
    <m/>
    <m/>
    <m/>
    <x v="34"/>
    <x v="5"/>
  </r>
  <r>
    <s v="Transport Other Cost"/>
    <n v="0.25"/>
    <s v="Month"/>
    <n v="300"/>
    <n v="18"/>
    <s v="USD"/>
    <n v="1350"/>
    <n v="1350"/>
    <m/>
    <m/>
    <m/>
    <m/>
    <x v="34"/>
    <x v="5"/>
  </r>
  <r>
    <s v="TOTAL DIRECTS COSTS"/>
    <m/>
    <m/>
    <m/>
    <m/>
    <m/>
    <n v="1401869.1642327751"/>
    <n v="696514.40866206388"/>
    <n v="55475"/>
    <n v="227862"/>
    <n v="200000"/>
    <n v="213010.16"/>
    <x v="0"/>
    <x v="0"/>
  </r>
  <r>
    <s v="HQ costs"/>
    <m/>
    <m/>
    <m/>
    <m/>
    <m/>
    <n v="98130.841496294262"/>
    <n v="98130.84120000001"/>
    <m/>
    <m/>
    <m/>
    <m/>
    <x v="0"/>
    <x v="0"/>
  </r>
  <r>
    <s v="TOTAL COSTS"/>
    <m/>
    <m/>
    <m/>
    <m/>
    <m/>
    <n v="1500000.0057290695"/>
    <n v="794645.24986206391"/>
    <n v="55475"/>
    <n v="227862"/>
    <n v="200000"/>
    <n v="213010.16"/>
    <x v="0"/>
    <x v="0"/>
  </r>
</pivotCacheRecords>
</file>

<file path=xl/pivotCache/pivotCacheRecords3.xml><?xml version="1.0" encoding="utf-8"?>
<pivotCacheRecords xmlns="http://schemas.openxmlformats.org/spreadsheetml/2006/main" xmlns:r="http://schemas.openxmlformats.org/officeDocument/2006/relationships" count="84">
  <r>
    <n v="84000"/>
    <m/>
    <m/>
    <n v="84000"/>
    <m/>
    <m/>
    <x v="0"/>
    <x v="0"/>
  </r>
  <r>
    <n v="10500"/>
    <n v="10500"/>
    <m/>
    <m/>
    <m/>
    <m/>
    <x v="0"/>
    <x v="1"/>
  </r>
  <r>
    <m/>
    <m/>
    <m/>
    <m/>
    <m/>
    <m/>
    <x v="1"/>
    <x v="2"/>
  </r>
  <r>
    <n v="10000"/>
    <m/>
    <m/>
    <n v="10000"/>
    <m/>
    <m/>
    <x v="2"/>
    <x v="3"/>
  </r>
  <r>
    <n v="8000"/>
    <m/>
    <m/>
    <n v="8000"/>
    <m/>
    <m/>
    <x v="2"/>
    <x v="3"/>
  </r>
  <r>
    <n v="600"/>
    <m/>
    <m/>
    <n v="600"/>
    <m/>
    <m/>
    <x v="2"/>
    <x v="3"/>
  </r>
  <r>
    <n v="15000"/>
    <m/>
    <m/>
    <n v="15000"/>
    <m/>
    <m/>
    <x v="2"/>
    <x v="0"/>
  </r>
  <r>
    <n v="6000"/>
    <m/>
    <m/>
    <n v="6000"/>
    <m/>
    <m/>
    <x v="2"/>
    <x v="0"/>
  </r>
  <r>
    <n v="1000"/>
    <m/>
    <m/>
    <n v="1000"/>
    <m/>
    <m/>
    <x v="2"/>
    <x v="0"/>
  </r>
  <r>
    <n v="4000"/>
    <m/>
    <m/>
    <n v="4000"/>
    <m/>
    <m/>
    <x v="2"/>
    <x v="3"/>
  </r>
  <r>
    <n v="96000"/>
    <m/>
    <m/>
    <m/>
    <m/>
    <n v="96000"/>
    <x v="3"/>
    <x v="0"/>
  </r>
  <r>
    <n v="6400"/>
    <m/>
    <m/>
    <m/>
    <m/>
    <n v="6400"/>
    <x v="3"/>
    <x v="1"/>
  </r>
  <r>
    <n v="6400"/>
    <m/>
    <m/>
    <m/>
    <m/>
    <n v="6400"/>
    <x v="3"/>
    <x v="3"/>
  </r>
  <r>
    <n v="482.59220203085351"/>
    <n v="482.59220203085351"/>
    <m/>
    <m/>
    <m/>
    <m/>
    <x v="3"/>
    <x v="0"/>
  </r>
  <r>
    <m/>
    <m/>
    <m/>
    <m/>
    <m/>
    <m/>
    <x v="1"/>
    <x v="2"/>
  </r>
  <r>
    <m/>
    <m/>
    <m/>
    <m/>
    <m/>
    <m/>
    <x v="1"/>
    <x v="2"/>
  </r>
  <r>
    <n v="4140"/>
    <m/>
    <m/>
    <n v="4140"/>
    <m/>
    <m/>
    <x v="4"/>
    <x v="3"/>
  </r>
  <r>
    <n v="92"/>
    <m/>
    <m/>
    <n v="92"/>
    <m/>
    <m/>
    <x v="4"/>
    <x v="3"/>
  </r>
  <r>
    <n v="50"/>
    <m/>
    <m/>
    <n v="50"/>
    <m/>
    <m/>
    <x v="4"/>
    <x v="3"/>
  </r>
  <r>
    <n v="4200"/>
    <m/>
    <m/>
    <n v="4200"/>
    <m/>
    <m/>
    <x v="4"/>
    <x v="0"/>
  </r>
  <r>
    <n v="1600"/>
    <m/>
    <m/>
    <n v="1600"/>
    <m/>
    <m/>
    <x v="4"/>
    <x v="3"/>
  </r>
  <r>
    <n v="2400"/>
    <m/>
    <m/>
    <n v="2400"/>
    <m/>
    <m/>
    <x v="4"/>
    <x v="3"/>
  </r>
  <r>
    <m/>
    <m/>
    <m/>
    <m/>
    <m/>
    <m/>
    <x v="1"/>
    <x v="2"/>
  </r>
  <r>
    <n v="6000"/>
    <m/>
    <m/>
    <n v="6000"/>
    <m/>
    <m/>
    <x v="5"/>
    <x v="3"/>
  </r>
  <r>
    <n v="320"/>
    <m/>
    <m/>
    <n v="320"/>
    <m/>
    <m/>
    <x v="5"/>
    <x v="3"/>
  </r>
  <r>
    <n v="100"/>
    <m/>
    <m/>
    <n v="100"/>
    <m/>
    <m/>
    <x v="5"/>
    <x v="3"/>
  </r>
  <r>
    <n v="7000"/>
    <m/>
    <m/>
    <n v="7000"/>
    <m/>
    <m/>
    <x v="5"/>
    <x v="0"/>
  </r>
  <r>
    <n v="400"/>
    <m/>
    <m/>
    <n v="400"/>
    <m/>
    <m/>
    <x v="5"/>
    <x v="0"/>
  </r>
  <r>
    <n v="800"/>
    <m/>
    <m/>
    <n v="800"/>
    <m/>
    <m/>
    <x v="5"/>
    <x v="3"/>
  </r>
  <r>
    <n v="25000"/>
    <n v="25000"/>
    <m/>
    <m/>
    <m/>
    <m/>
    <x v="6"/>
    <x v="4"/>
  </r>
  <r>
    <n v="1000"/>
    <n v="1000"/>
    <m/>
    <m/>
    <m/>
    <m/>
    <x v="7"/>
    <x v="3"/>
  </r>
  <r>
    <n v="20000"/>
    <n v="20000"/>
    <m/>
    <m/>
    <m/>
    <m/>
    <x v="8"/>
    <x v="5"/>
  </r>
  <r>
    <n v="4000"/>
    <n v="4000"/>
    <m/>
    <m/>
    <m/>
    <m/>
    <x v="8"/>
    <x v="3"/>
  </r>
  <r>
    <n v="2828.6555909039871"/>
    <n v="2828.6555909039871"/>
    <m/>
    <m/>
    <m/>
    <m/>
    <x v="9"/>
    <x v="5"/>
  </r>
  <r>
    <n v="317290.35379876633"/>
    <n v="62315.358269129159"/>
    <n v="54975"/>
    <n v="0"/>
    <n v="200000"/>
    <n v="0"/>
    <x v="1"/>
    <x v="2"/>
  </r>
  <r>
    <m/>
    <m/>
    <m/>
    <m/>
    <m/>
    <m/>
    <x v="1"/>
    <x v="2"/>
  </r>
  <r>
    <n v="10000"/>
    <n v="10000"/>
    <m/>
    <m/>
    <m/>
    <m/>
    <x v="10"/>
    <x v="3"/>
  </r>
  <r>
    <m/>
    <m/>
    <m/>
    <m/>
    <m/>
    <m/>
    <x v="1"/>
    <x v="2"/>
  </r>
  <r>
    <n v="1200"/>
    <m/>
    <n v="1200"/>
    <m/>
    <m/>
    <m/>
    <x v="11"/>
    <x v="3"/>
  </r>
  <r>
    <n v="480"/>
    <m/>
    <n v="480"/>
    <m/>
    <m/>
    <m/>
    <x v="11"/>
    <x v="3"/>
  </r>
  <r>
    <n v="60"/>
    <m/>
    <n v="60"/>
    <m/>
    <m/>
    <m/>
    <x v="11"/>
    <x v="3"/>
  </r>
  <r>
    <n v="7680"/>
    <m/>
    <n v="7680"/>
    <m/>
    <m/>
    <m/>
    <x v="11"/>
    <x v="0"/>
  </r>
  <r>
    <n v="1920"/>
    <m/>
    <n v="1920"/>
    <m/>
    <m/>
    <m/>
    <x v="11"/>
    <x v="3"/>
  </r>
  <r>
    <n v="967.13552963719167"/>
    <n v="967.14"/>
    <m/>
    <m/>
    <m/>
    <m/>
    <x v="11"/>
    <x v="0"/>
  </r>
  <r>
    <m/>
    <m/>
    <m/>
    <m/>
    <m/>
    <m/>
    <x v="1"/>
    <x v="2"/>
  </r>
  <r>
    <m/>
    <m/>
    <m/>
    <m/>
    <m/>
    <m/>
    <x v="1"/>
    <x v="2"/>
  </r>
  <r>
    <n v="18000"/>
    <m/>
    <n v="18000"/>
    <m/>
    <m/>
    <m/>
    <x v="12"/>
    <x v="3"/>
  </r>
  <r>
    <n v="400"/>
    <m/>
    <n v="400"/>
    <m/>
    <m/>
    <m/>
    <x v="12"/>
    <x v="3"/>
  </r>
  <r>
    <n v="50"/>
    <m/>
    <n v="50"/>
    <m/>
    <m/>
    <m/>
    <x v="12"/>
    <x v="3"/>
  </r>
  <r>
    <n v="14400"/>
    <m/>
    <n v="14400"/>
    <m/>
    <m/>
    <m/>
    <x v="12"/>
    <x v="0"/>
  </r>
  <r>
    <n v="1920"/>
    <m/>
    <n v="1920"/>
    <m/>
    <m/>
    <m/>
    <x v="12"/>
    <x v="3"/>
  </r>
  <r>
    <m/>
    <m/>
    <m/>
    <m/>
    <m/>
    <m/>
    <x v="1"/>
    <x v="2"/>
  </r>
  <r>
    <m/>
    <m/>
    <m/>
    <m/>
    <m/>
    <m/>
    <x v="1"/>
    <x v="2"/>
  </r>
  <r>
    <n v="8865"/>
    <m/>
    <n v="8865"/>
    <m/>
    <m/>
    <m/>
    <x v="13"/>
    <x v="0"/>
  </r>
  <r>
    <n v="448.21826912915913"/>
    <n v="448.21826912915913"/>
    <m/>
    <m/>
    <m/>
    <m/>
    <x v="14"/>
    <x v="3"/>
  </r>
  <r>
    <n v="7000"/>
    <n v="7000"/>
    <m/>
    <m/>
    <m/>
    <m/>
    <x v="14"/>
    <x v="0"/>
  </r>
  <r>
    <n v="14500"/>
    <n v="14500"/>
    <m/>
    <m/>
    <m/>
    <m/>
    <x v="14"/>
    <x v="3"/>
  </r>
  <r>
    <n v="100000"/>
    <m/>
    <m/>
    <m/>
    <n v="100000"/>
    <m/>
    <x v="15"/>
    <x v="4"/>
  </r>
  <r>
    <n v="100000"/>
    <m/>
    <m/>
    <m/>
    <n v="100000"/>
    <m/>
    <x v="16"/>
    <x v="4"/>
  </r>
  <r>
    <n v="5000"/>
    <n v="5000"/>
    <m/>
    <m/>
    <m/>
    <m/>
    <x v="17"/>
    <x v="3"/>
  </r>
  <r>
    <n v="3000"/>
    <n v="3000"/>
    <m/>
    <m/>
    <m/>
    <m/>
    <x v="17"/>
    <x v="5"/>
  </r>
  <r>
    <n v="10000"/>
    <n v="10000"/>
    <m/>
    <m/>
    <m/>
    <m/>
    <x v="18"/>
    <x v="3"/>
  </r>
  <r>
    <m/>
    <m/>
    <m/>
    <m/>
    <m/>
    <m/>
    <x v="1"/>
    <x v="2"/>
  </r>
  <r>
    <n v="2400"/>
    <n v="2400"/>
    <m/>
    <m/>
    <m/>
    <m/>
    <x v="19"/>
    <x v="3"/>
  </r>
  <r>
    <n v="9000"/>
    <n v="9000"/>
    <m/>
    <m/>
    <m/>
    <m/>
    <x v="19"/>
    <x v="3"/>
  </r>
  <r>
    <n v="171935.6"/>
    <n v="108350.75"/>
    <n v="0"/>
    <n v="6000"/>
    <n v="0"/>
    <n v="53850"/>
    <x v="1"/>
    <x v="2"/>
  </r>
  <r>
    <m/>
    <m/>
    <m/>
    <m/>
    <m/>
    <m/>
    <x v="1"/>
    <x v="2"/>
  </r>
  <r>
    <m/>
    <m/>
    <m/>
    <m/>
    <m/>
    <m/>
    <x v="1"/>
    <x v="2"/>
  </r>
  <r>
    <n v="11000"/>
    <n v="2500"/>
    <m/>
    <n v="6000"/>
    <m/>
    <n v="2500"/>
    <x v="20"/>
    <x v="3"/>
  </r>
  <r>
    <n v="20000"/>
    <m/>
    <m/>
    <m/>
    <m/>
    <n v="20000"/>
    <x v="21"/>
    <x v="5"/>
  </r>
  <r>
    <n v="5000"/>
    <m/>
    <m/>
    <m/>
    <m/>
    <n v="5000"/>
    <x v="22"/>
    <x v="0"/>
  </r>
  <r>
    <n v="4000"/>
    <m/>
    <m/>
    <m/>
    <m/>
    <n v="4000"/>
    <x v="23"/>
    <x v="0"/>
  </r>
  <r>
    <n v="30139"/>
    <n v="30139"/>
    <m/>
    <m/>
    <m/>
    <n v="5000"/>
    <x v="24"/>
    <x v="3"/>
  </r>
  <r>
    <n v="10000"/>
    <n v="10000"/>
    <m/>
    <m/>
    <m/>
    <m/>
    <x v="24"/>
    <x v="5"/>
  </r>
  <r>
    <n v="9799.52"/>
    <n v="9799.52"/>
    <m/>
    <m/>
    <m/>
    <m/>
    <x v="24"/>
    <x v="3"/>
  </r>
  <r>
    <n v="650"/>
    <n v="650"/>
    <m/>
    <m/>
    <m/>
    <m/>
    <x v="24"/>
    <x v="3"/>
  </r>
  <r>
    <n v="30139"/>
    <n v="30139"/>
    <m/>
    <m/>
    <m/>
    <m/>
    <x v="24"/>
    <x v="4"/>
  </r>
  <r>
    <n v="5400"/>
    <n v="5400"/>
    <m/>
    <m/>
    <m/>
    <m/>
    <x v="25"/>
    <x v="3"/>
  </r>
  <r>
    <n v="2700"/>
    <n v="1350"/>
    <m/>
    <m/>
    <m/>
    <n v="1350"/>
    <x v="26"/>
    <x v="3"/>
  </r>
  <r>
    <n v="16573.23"/>
    <n v="8573.23"/>
    <m/>
    <m/>
    <m/>
    <n v="8000"/>
    <x v="27"/>
    <x v="3"/>
  </r>
  <r>
    <n v="7500"/>
    <m/>
    <m/>
    <m/>
    <m/>
    <n v="8000"/>
    <x v="27"/>
    <x v="4"/>
  </r>
  <r>
    <m/>
    <m/>
    <m/>
    <m/>
    <m/>
    <m/>
    <x v="1"/>
    <x v="2"/>
  </r>
  <r>
    <n v="13034.85"/>
    <n v="4800"/>
    <m/>
    <m/>
    <m/>
    <m/>
    <x v="28"/>
    <x v="3"/>
  </r>
  <r>
    <n v="6000"/>
    <n v="5000"/>
    <m/>
    <m/>
    <m/>
    <m/>
    <x v="28"/>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PivotTable5" cacheId="1"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location ref="C3:D9" firstHeaderRow="1" firstDataRow="2" firstDataCol="1"/>
  <pivotFields count="14">
    <pivotField showAll="0"/>
    <pivotField showAll="0"/>
    <pivotField showAll="0"/>
    <pivotField showAll="0"/>
    <pivotField showAll="0"/>
    <pivotField showAll="0"/>
    <pivotField dataField="1" showAll="0"/>
    <pivotField showAll="0"/>
    <pivotField showAll="0"/>
    <pivotField showAll="0"/>
    <pivotField showAll="0"/>
    <pivotField showAll="0"/>
    <pivotField axis="axisCol" showAll="0">
      <items count="36">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
        <item h="1" x="4"/>
        <item h="1" x="1"/>
        <item h="1" x="34"/>
        <item x="2"/>
        <item h="1" x="0"/>
        <item h="1" x="5"/>
        <item t="default"/>
      </items>
    </pivotField>
    <pivotField axis="axisRow" showAll="0">
      <items count="11">
        <item x="1"/>
        <item x="6"/>
        <item x="3"/>
        <item x="2"/>
        <item x="5"/>
        <item x="7"/>
        <item x="8"/>
        <item x="0"/>
        <item m="1" x="9"/>
        <item x="4"/>
        <item t="default"/>
      </items>
    </pivotField>
  </pivotFields>
  <rowFields count="1">
    <field x="13"/>
  </rowFields>
  <rowItems count="5">
    <i>
      <x/>
    </i>
    <i>
      <x v="2"/>
    </i>
    <i>
      <x v="4"/>
    </i>
    <i>
      <x v="6"/>
    </i>
    <i t="grand">
      <x/>
    </i>
  </rowItems>
  <colFields count="1">
    <field x="12"/>
  </colFields>
  <colItems count="1">
    <i>
      <x v="32"/>
    </i>
  </colItems>
  <dataFields count="1">
    <dataField name="Sum of Total Budget USD" fld="6" baseField="13" baseItem="0" numFmtId="43"/>
  </dataFields>
  <formats count="1">
    <format dxfId="4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C23:I53" firstHeaderRow="1" firstDataRow="2" firstDataCol="1"/>
  <pivotFields count="8">
    <pivotField dataField="1" showAll="0"/>
    <pivotField showAll="0"/>
    <pivotField showAll="0"/>
    <pivotField showAll="0"/>
    <pivotField showAll="0"/>
    <pivotField showAll="0"/>
    <pivotField axis="axisRow" showAll="0">
      <items count="30">
        <item x="0"/>
        <item x="2"/>
        <item x="3"/>
        <item x="4"/>
        <item x="5"/>
        <item x="6"/>
        <item x="7"/>
        <item x="8"/>
        <item x="9"/>
        <item x="10"/>
        <item x="11"/>
        <item x="12"/>
        <item x="13"/>
        <item x="14"/>
        <item x="15"/>
        <item x="16"/>
        <item x="17"/>
        <item x="18"/>
        <item x="19"/>
        <item x="20"/>
        <item x="21"/>
        <item x="22"/>
        <item x="23"/>
        <item x="24"/>
        <item x="25"/>
        <item x="26"/>
        <item x="27"/>
        <item x="28"/>
        <item x="1"/>
        <item t="default"/>
      </items>
    </pivotField>
    <pivotField axis="axisCol" showAll="0">
      <items count="7">
        <item x="0"/>
        <item x="3"/>
        <item x="5"/>
        <item x="1"/>
        <item x="4"/>
        <item h="1" x="2"/>
        <item t="default"/>
      </items>
    </pivotField>
  </pivotFields>
  <rowFields count="1">
    <field x="6"/>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7"/>
  </colFields>
  <colItems count="6">
    <i>
      <x/>
    </i>
    <i>
      <x v="1"/>
    </i>
    <i>
      <x v="2"/>
    </i>
    <i>
      <x v="3"/>
    </i>
    <i>
      <x v="4"/>
    </i>
    <i t="grand">
      <x/>
    </i>
  </colItems>
  <dataFields count="1">
    <dataField name="Sum of Montant" fld="0" baseField="6" baseItem="0" numFmtId="43"/>
  </dataFields>
  <formats count="1">
    <format dxfId="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3:C32" firstHeaderRow="1" firstDataRow="1" firstDataCol="1"/>
  <pivotFields count="13">
    <pivotField showAll="0"/>
    <pivotField showAll="0"/>
    <pivotField showAll="0"/>
    <pivotField showAll="0"/>
    <pivotField showAll="0"/>
    <pivotField showAll="0"/>
    <pivotField dataField="1" showAll="0"/>
    <pivotField showAll="0"/>
    <pivotField showAll="0"/>
    <pivotField showAll="0"/>
    <pivotField showAll="0"/>
    <pivotField showAll="0"/>
    <pivotField axis="axisRow" showAll="0" defaultSubtotal="0">
      <items count="35">
        <item x="6"/>
        <item x="7"/>
        <item x="8"/>
        <item x="9"/>
        <item x="10"/>
        <item x="11"/>
        <item x="12"/>
        <item x="13"/>
        <item x="14"/>
        <item x="15"/>
        <item x="16"/>
        <item x="17"/>
        <item x="18"/>
        <item x="19"/>
        <item x="20"/>
        <item x="21"/>
        <item x="22"/>
        <item x="23"/>
        <item x="24"/>
        <item x="25"/>
        <item x="26"/>
        <item x="27"/>
        <item x="28"/>
        <item x="29"/>
        <item x="30"/>
        <item x="31"/>
        <item x="32"/>
        <item x="33"/>
        <item h="1" x="3"/>
        <item h="1" x="4"/>
        <item h="1" x="1"/>
        <item h="1" x="34"/>
        <item h="1" x="2"/>
        <item h="1" x="0"/>
        <item h="1" x="5"/>
      </items>
    </pivotField>
  </pivotFields>
  <rowFields count="1">
    <field x="12"/>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Sum of Total Budget USD" fld="6" baseField="1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3:K37" firstHeaderRow="1" firstDataRow="1" firstDataCol="1"/>
  <pivotFields count="13">
    <pivotField showAll="0"/>
    <pivotField showAll="0"/>
    <pivotField showAll="0"/>
    <pivotField showAll="0"/>
    <pivotField showAll="0"/>
    <pivotField showAll="0"/>
    <pivotField dataField="1" showAll="0"/>
    <pivotField showAll="0"/>
    <pivotField showAll="0"/>
    <pivotField showAll="0"/>
    <pivotField showAll="0"/>
    <pivotField showAll="0"/>
    <pivotField axis="axisRow" showAll="0" defaultSubtotal="0">
      <items count="35">
        <item x="6"/>
        <item x="7"/>
        <item x="8"/>
        <item x="9"/>
        <item x="10"/>
        <item x="11"/>
        <item x="12"/>
        <item x="13"/>
        <item x="14"/>
        <item x="15"/>
        <item x="16"/>
        <item x="17"/>
        <item x="18"/>
        <item x="19"/>
        <item x="20"/>
        <item x="21"/>
        <item x="22"/>
        <item x="23"/>
        <item x="24"/>
        <item x="25"/>
        <item x="26"/>
        <item x="27"/>
        <item x="28"/>
        <item x="29"/>
        <item x="30"/>
        <item x="31"/>
        <item x="32"/>
        <item x="33"/>
        <item x="3"/>
        <item x="4"/>
        <item x="1"/>
        <item x="34"/>
        <item x="2"/>
        <item h="1" x="0"/>
        <item h="1" x="5"/>
      </items>
    </pivotField>
  </pivotFields>
  <rowFields count="1">
    <field x="12"/>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Items count="1">
    <i/>
  </colItems>
  <dataFields count="1">
    <dataField name="Sum of Total Budget USD" fld="6" baseField="1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3"/>
  <sheetViews>
    <sheetView topLeftCell="A94" zoomScale="60" zoomScaleNormal="60" workbookViewId="0">
      <selection activeCell="L129" sqref="L129"/>
    </sheetView>
  </sheetViews>
  <sheetFormatPr defaultColWidth="9.109375" defaultRowHeight="14.4" outlineLevelCol="1" x14ac:dyDescent="0.3"/>
  <cols>
    <col min="1" max="1" width="9.109375" style="180"/>
    <col min="2" max="2" width="5.5546875" style="180" customWidth="1" outlineLevel="1"/>
    <col min="3" max="3" width="13.5546875" style="180" customWidth="1" outlineLevel="1"/>
    <col min="4" max="4" width="9.6640625" style="180" customWidth="1" outlineLevel="1"/>
    <col min="5" max="5" width="44.5546875" style="181" customWidth="1"/>
    <col min="6" max="6" width="12.33203125" style="180" customWidth="1" outlineLevel="1"/>
    <col min="7" max="7" width="13.5546875" style="182" customWidth="1" outlineLevel="1"/>
    <col min="8" max="8" width="13.88671875" style="183" customWidth="1" outlineLevel="1"/>
    <col min="9" max="9" width="11" style="180" customWidth="1" outlineLevel="1"/>
    <col min="10" max="10" width="11.44140625" style="182" customWidth="1"/>
    <col min="11" max="12" width="16.109375" style="199" customWidth="1"/>
    <col min="13" max="17" width="14.88671875" style="199" customWidth="1"/>
    <col min="18" max="18" width="21.109375" style="180" customWidth="1"/>
    <col min="19" max="19" width="35" style="182" customWidth="1"/>
    <col min="20" max="16384" width="9.109375" style="182"/>
  </cols>
  <sheetData>
    <row r="1" spans="1:19" x14ac:dyDescent="0.3">
      <c r="K1" s="182" t="s">
        <v>594</v>
      </c>
      <c r="L1" s="182"/>
      <c r="M1" s="180"/>
      <c r="N1" s="180"/>
      <c r="O1" s="180"/>
      <c r="P1" s="180"/>
      <c r="Q1" s="180"/>
    </row>
    <row r="2" spans="1:19" x14ac:dyDescent="0.3">
      <c r="E2" s="184" t="s">
        <v>595</v>
      </c>
      <c r="F2" s="180" t="s">
        <v>596</v>
      </c>
      <c r="G2" s="182">
        <v>128009</v>
      </c>
      <c r="H2" s="185">
        <f>G2/M177</f>
        <v>0.16108949247758048</v>
      </c>
      <c r="J2" s="186" t="s">
        <v>597</v>
      </c>
      <c r="K2" s="228">
        <f>SUM(K9:K13,K15,K23:K33,K43:K48,K166)</f>
        <v>321542.32000000007</v>
      </c>
      <c r="L2" s="228"/>
      <c r="M2" s="189">
        <f>K2/$K$177</f>
        <v>0.21436154584793859</v>
      </c>
      <c r="N2" s="185" t="s">
        <v>598</v>
      </c>
      <c r="O2" s="187">
        <v>100</v>
      </c>
      <c r="P2" s="185"/>
      <c r="Q2" s="185"/>
    </row>
    <row r="3" spans="1:19" x14ac:dyDescent="0.3">
      <c r="E3" s="184" t="s">
        <v>599</v>
      </c>
      <c r="G3" s="188"/>
      <c r="K3" s="180"/>
      <c r="L3" s="180"/>
      <c r="M3" s="180"/>
      <c r="N3" s="180"/>
      <c r="O3" s="180"/>
      <c r="P3" s="180"/>
      <c r="Q3" s="180"/>
    </row>
    <row r="4" spans="1:19" x14ac:dyDescent="0.3">
      <c r="E4" s="184" t="s">
        <v>600</v>
      </c>
      <c r="H4" s="185"/>
      <c r="J4" s="182" t="s">
        <v>601</v>
      </c>
      <c r="K4" s="228">
        <f>SUM(K40:K42,K56,K149,K147:K152)</f>
        <v>80653.800041073671</v>
      </c>
      <c r="L4" s="228"/>
      <c r="M4" s="189">
        <f>K4/$K$177</f>
        <v>5.3769199822017458E-2</v>
      </c>
      <c r="N4" s="180"/>
      <c r="O4" s="180"/>
      <c r="P4" s="180"/>
      <c r="Q4" s="180"/>
    </row>
    <row r="5" spans="1:19" x14ac:dyDescent="0.3">
      <c r="K5" s="180"/>
      <c r="L5" s="180"/>
      <c r="M5" s="180"/>
      <c r="N5" s="180"/>
      <c r="O5" s="180"/>
      <c r="P5" s="180"/>
      <c r="Q5" s="180"/>
    </row>
    <row r="6" spans="1:19" s="190" customFormat="1" ht="28.8" x14ac:dyDescent="0.3">
      <c r="C6" s="314" t="s">
        <v>602</v>
      </c>
      <c r="D6" s="314" t="s">
        <v>907</v>
      </c>
      <c r="E6" s="315" t="s">
        <v>603</v>
      </c>
      <c r="F6" s="314" t="s">
        <v>604</v>
      </c>
      <c r="G6" s="314" t="s">
        <v>605</v>
      </c>
      <c r="H6" s="316" t="s">
        <v>606</v>
      </c>
      <c r="I6" s="314" t="s">
        <v>607</v>
      </c>
      <c r="J6" s="314" t="s">
        <v>608</v>
      </c>
      <c r="K6" s="314" t="s">
        <v>609</v>
      </c>
      <c r="L6" s="314" t="s">
        <v>938</v>
      </c>
      <c r="M6" s="314" t="s">
        <v>610</v>
      </c>
      <c r="N6" s="314" t="s">
        <v>611</v>
      </c>
      <c r="O6" s="314" t="s">
        <v>612</v>
      </c>
      <c r="P6" s="314" t="s">
        <v>613</v>
      </c>
      <c r="Q6" s="314" t="s">
        <v>614</v>
      </c>
      <c r="R6" s="314" t="s">
        <v>848</v>
      </c>
      <c r="S6" s="314" t="s">
        <v>849</v>
      </c>
    </row>
    <row r="7" spans="1:19" x14ac:dyDescent="0.3">
      <c r="C7" s="317"/>
      <c r="D7" s="317"/>
      <c r="E7" s="318" t="s">
        <v>615</v>
      </c>
      <c r="F7" s="317"/>
      <c r="G7" s="319"/>
      <c r="H7" s="320"/>
      <c r="I7" s="317"/>
      <c r="J7" s="319"/>
      <c r="K7" s="321">
        <f>SUBTOTAL(9,K8:K48)</f>
        <v>423764.28</v>
      </c>
      <c r="L7" s="321">
        <f>SUBTOTAL(9,L8:L48)</f>
        <v>383830.15179306193</v>
      </c>
      <c r="M7" s="321">
        <f>SUBTOTAL(9,M8:M48)</f>
        <v>324764.27999999997</v>
      </c>
      <c r="N7" s="321">
        <f t="shared" ref="N7:Q7" si="0">SUBTOTAL(9,N8:N48)</f>
        <v>0</v>
      </c>
      <c r="O7" s="321">
        <f t="shared" si="0"/>
        <v>59040</v>
      </c>
      <c r="P7" s="321">
        <f t="shared" si="0"/>
        <v>0</v>
      </c>
      <c r="Q7" s="321">
        <f t="shared" si="0"/>
        <v>39960</v>
      </c>
      <c r="R7" s="322"/>
      <c r="S7" s="323"/>
    </row>
    <row r="8" spans="1:19" s="192" customFormat="1" x14ac:dyDescent="0.3">
      <c r="A8" s="191"/>
      <c r="B8" s="191"/>
      <c r="C8" s="324"/>
      <c r="D8" s="324"/>
      <c r="E8" s="325" t="s">
        <v>616</v>
      </c>
      <c r="F8" s="326"/>
      <c r="G8" s="326"/>
      <c r="H8" s="327"/>
      <c r="I8" s="326"/>
      <c r="J8" s="326"/>
      <c r="K8" s="328">
        <f>SUBTOTAL(9,K9:K13)</f>
        <v>62095.040000000001</v>
      </c>
      <c r="L8" s="328">
        <f>SUBTOTAL(9,L9:L13)</f>
        <v>60263.771002361362</v>
      </c>
      <c r="M8" s="328">
        <f t="shared" ref="M8:Q8" si="1">SUBTOTAL(9,M9:M13)</f>
        <v>62095.040000000001</v>
      </c>
      <c r="N8" s="328">
        <f t="shared" si="1"/>
        <v>0</v>
      </c>
      <c r="O8" s="328">
        <f t="shared" si="1"/>
        <v>0</v>
      </c>
      <c r="P8" s="328">
        <f t="shared" si="1"/>
        <v>0</v>
      </c>
      <c r="Q8" s="328">
        <f t="shared" si="1"/>
        <v>0</v>
      </c>
      <c r="R8" s="324"/>
      <c r="S8" s="329"/>
    </row>
    <row r="9" spans="1:19" s="192" customFormat="1" ht="15.75" customHeight="1" x14ac:dyDescent="0.3">
      <c r="A9" s="191"/>
      <c r="B9" s="191"/>
      <c r="C9" s="330" t="s">
        <v>617</v>
      </c>
      <c r="D9" s="330"/>
      <c r="E9" s="331" t="s">
        <v>618</v>
      </c>
      <c r="F9" s="332">
        <v>0.1</v>
      </c>
      <c r="G9" s="333" t="s">
        <v>619</v>
      </c>
      <c r="H9" s="334">
        <v>9000</v>
      </c>
      <c r="I9" s="330">
        <v>18</v>
      </c>
      <c r="J9" s="331" t="s">
        <v>620</v>
      </c>
      <c r="K9" s="335">
        <v>17351.5</v>
      </c>
      <c r="L9" s="335">
        <v>17351.498375091753</v>
      </c>
      <c r="M9" s="335">
        <v>17351.5</v>
      </c>
      <c r="N9" s="335"/>
      <c r="O9" s="335"/>
      <c r="P9" s="335"/>
      <c r="Q9" s="335"/>
      <c r="R9" s="336" t="s">
        <v>516</v>
      </c>
      <c r="S9" s="329" t="s">
        <v>540</v>
      </c>
    </row>
    <row r="10" spans="1:19" s="192" customFormat="1" ht="15.75" customHeight="1" x14ac:dyDescent="0.3">
      <c r="A10" s="191"/>
      <c r="B10" s="191"/>
      <c r="C10" s="330" t="s">
        <v>617</v>
      </c>
      <c r="D10" s="330"/>
      <c r="E10" s="331" t="s">
        <v>621</v>
      </c>
      <c r="F10" s="332">
        <v>0.1</v>
      </c>
      <c r="G10" s="333" t="s">
        <v>619</v>
      </c>
      <c r="H10" s="334">
        <v>8000</v>
      </c>
      <c r="I10" s="330">
        <v>18</v>
      </c>
      <c r="J10" s="331" t="s">
        <v>620</v>
      </c>
      <c r="K10" s="335">
        <v>15943.54</v>
      </c>
      <c r="L10" s="335">
        <v>15943.537393103223</v>
      </c>
      <c r="M10" s="335">
        <v>15943.54</v>
      </c>
      <c r="N10" s="335"/>
      <c r="O10" s="335"/>
      <c r="P10" s="335"/>
      <c r="Q10" s="335"/>
      <c r="R10" s="336" t="s">
        <v>516</v>
      </c>
      <c r="S10" s="329" t="s">
        <v>540</v>
      </c>
    </row>
    <row r="11" spans="1:19" s="192" customFormat="1" ht="15.75" customHeight="1" x14ac:dyDescent="0.3">
      <c r="A11" s="191"/>
      <c r="B11" s="191"/>
      <c r="C11" s="330" t="s">
        <v>617</v>
      </c>
      <c r="D11" s="330"/>
      <c r="E11" s="331" t="s">
        <v>622</v>
      </c>
      <c r="F11" s="332">
        <v>0.1</v>
      </c>
      <c r="G11" s="333" t="s">
        <v>619</v>
      </c>
      <c r="H11" s="334">
        <v>8000</v>
      </c>
      <c r="I11" s="330">
        <v>18</v>
      </c>
      <c r="J11" s="331" t="s">
        <v>620</v>
      </c>
      <c r="K11" s="335">
        <v>14400</v>
      </c>
      <c r="L11" s="335">
        <v>13405.337707642462</v>
      </c>
      <c r="M11" s="335">
        <v>14400</v>
      </c>
      <c r="N11" s="335"/>
      <c r="O11" s="335"/>
      <c r="P11" s="335"/>
      <c r="Q11" s="335"/>
      <c r="R11" s="336" t="s">
        <v>516</v>
      </c>
      <c r="S11" s="329" t="s">
        <v>540</v>
      </c>
    </row>
    <row r="12" spans="1:19" s="192" customFormat="1" ht="15.75" customHeight="1" x14ac:dyDescent="0.3">
      <c r="A12" s="191"/>
      <c r="B12" s="191"/>
      <c r="C12" s="330" t="s">
        <v>617</v>
      </c>
      <c r="D12" s="330"/>
      <c r="E12" s="331" t="s">
        <v>623</v>
      </c>
      <c r="F12" s="332">
        <v>0.1</v>
      </c>
      <c r="G12" s="333" t="s">
        <v>619</v>
      </c>
      <c r="H12" s="334">
        <v>8000</v>
      </c>
      <c r="I12" s="330">
        <v>18</v>
      </c>
      <c r="J12" s="331" t="s">
        <v>620</v>
      </c>
      <c r="K12" s="335">
        <v>14400</v>
      </c>
      <c r="L12" s="335">
        <v>13563.397526523928</v>
      </c>
      <c r="M12" s="335">
        <v>14400</v>
      </c>
      <c r="N12" s="335"/>
      <c r="O12" s="335"/>
      <c r="P12" s="335"/>
      <c r="Q12" s="335"/>
      <c r="R12" s="336" t="s">
        <v>516</v>
      </c>
      <c r="S12" s="329" t="s">
        <v>540</v>
      </c>
    </row>
    <row r="13" spans="1:19" s="192" customFormat="1" ht="15.75" customHeight="1" x14ac:dyDescent="0.3">
      <c r="A13" s="191"/>
      <c r="B13" s="191"/>
      <c r="C13" s="330"/>
      <c r="D13" s="330"/>
      <c r="E13" s="331" t="s">
        <v>624</v>
      </c>
      <c r="F13" s="332">
        <v>0.1</v>
      </c>
      <c r="G13" s="333" t="s">
        <v>619</v>
      </c>
      <c r="H13" s="334">
        <v>7000</v>
      </c>
      <c r="I13" s="330">
        <v>6</v>
      </c>
      <c r="J13" s="331" t="s">
        <v>620</v>
      </c>
      <c r="K13" s="335">
        <v>0</v>
      </c>
      <c r="L13" s="335"/>
      <c r="M13" s="335">
        <v>0</v>
      </c>
      <c r="N13" s="335"/>
      <c r="O13" s="335"/>
      <c r="P13" s="335"/>
      <c r="Q13" s="335"/>
      <c r="R13" s="336" t="s">
        <v>516</v>
      </c>
      <c r="S13" s="329" t="s">
        <v>540</v>
      </c>
    </row>
    <row r="14" spans="1:19" x14ac:dyDescent="0.3">
      <c r="C14" s="337"/>
      <c r="D14" s="337"/>
      <c r="E14" s="338" t="s">
        <v>625</v>
      </c>
      <c r="F14" s="337"/>
      <c r="G14" s="339"/>
      <c r="H14" s="340"/>
      <c r="I14" s="337"/>
      <c r="J14" s="339"/>
      <c r="K14" s="328">
        <f>SUBTOTAL(9,K15)</f>
        <v>98380.47</v>
      </c>
      <c r="L14" s="328">
        <f>SUBTOTAL(9,L15)</f>
        <v>95088.177087694872</v>
      </c>
      <c r="M14" s="341">
        <f t="shared" ref="M14:Q14" si="2">SUBTOTAL(9,M15)</f>
        <v>98380.47</v>
      </c>
      <c r="N14" s="341">
        <f t="shared" si="2"/>
        <v>0</v>
      </c>
      <c r="O14" s="341">
        <f t="shared" si="2"/>
        <v>0</v>
      </c>
      <c r="P14" s="341">
        <f t="shared" si="2"/>
        <v>0</v>
      </c>
      <c r="Q14" s="341">
        <f t="shared" si="2"/>
        <v>0</v>
      </c>
      <c r="R14" s="322"/>
      <c r="S14" s="323"/>
    </row>
    <row r="15" spans="1:19" x14ac:dyDescent="0.3">
      <c r="C15" s="322" t="s">
        <v>626</v>
      </c>
      <c r="D15" s="322"/>
      <c r="E15" s="342" t="s">
        <v>627</v>
      </c>
      <c r="F15" s="332">
        <v>0.5</v>
      </c>
      <c r="G15" s="323" t="s">
        <v>619</v>
      </c>
      <c r="H15" s="334">
        <v>6000</v>
      </c>
      <c r="I15" s="322">
        <v>18</v>
      </c>
      <c r="J15" s="331" t="s">
        <v>620</v>
      </c>
      <c r="K15" s="335">
        <v>98380.47</v>
      </c>
      <c r="L15" s="335">
        <v>95088.177087694872</v>
      </c>
      <c r="M15" s="335">
        <f>K15</f>
        <v>98380.47</v>
      </c>
      <c r="N15" s="335"/>
      <c r="O15" s="335"/>
      <c r="P15" s="335"/>
      <c r="Q15" s="335"/>
      <c r="R15" s="336" t="s">
        <v>516</v>
      </c>
      <c r="S15" s="329" t="s">
        <v>540</v>
      </c>
    </row>
    <row r="16" spans="1:19" x14ac:dyDescent="0.3">
      <c r="A16" s="193"/>
      <c r="B16" s="194"/>
      <c r="C16" s="343"/>
      <c r="D16" s="343"/>
      <c r="E16" s="325" t="s">
        <v>628</v>
      </c>
      <c r="F16" s="344"/>
      <c r="G16" s="345"/>
      <c r="H16" s="346"/>
      <c r="I16" s="343"/>
      <c r="J16" s="343"/>
      <c r="K16" s="328">
        <f>SUBTOTAL(9,K17:K33)</f>
        <v>72402.16</v>
      </c>
      <c r="L16" s="328">
        <f>SUBTOTAL(9,L17:L33)</f>
        <v>63472.849953343444</v>
      </c>
      <c r="M16" s="328">
        <f t="shared" ref="M16:Q16" si="3">SUBTOTAL(9,M17:M33)</f>
        <v>45402.159999999989</v>
      </c>
      <c r="N16" s="328">
        <f t="shared" si="3"/>
        <v>0</v>
      </c>
      <c r="O16" s="328">
        <f t="shared" si="3"/>
        <v>14040</v>
      </c>
      <c r="P16" s="328">
        <f t="shared" si="3"/>
        <v>0</v>
      </c>
      <c r="Q16" s="328">
        <f t="shared" si="3"/>
        <v>12960</v>
      </c>
      <c r="R16" s="322"/>
      <c r="S16" s="323"/>
    </row>
    <row r="17" spans="1:19" s="192" customFormat="1" x14ac:dyDescent="0.3">
      <c r="A17" s="191"/>
      <c r="B17" s="180"/>
      <c r="C17" s="347">
        <v>1500</v>
      </c>
      <c r="D17" s="330">
        <v>8005</v>
      </c>
      <c r="E17" s="348" t="s">
        <v>629</v>
      </c>
      <c r="F17" s="349">
        <v>0.3</v>
      </c>
      <c r="G17" s="350" t="s">
        <v>619</v>
      </c>
      <c r="H17" s="351">
        <v>1000</v>
      </c>
      <c r="I17" s="352">
        <v>18</v>
      </c>
      <c r="J17" s="353" t="s">
        <v>620</v>
      </c>
      <c r="K17" s="354">
        <v>5400</v>
      </c>
      <c r="L17" s="354">
        <v>5058.8764449276814</v>
      </c>
      <c r="M17" s="354"/>
      <c r="N17" s="354"/>
      <c r="O17" s="354">
        <v>5400</v>
      </c>
      <c r="P17" s="354"/>
      <c r="Q17" s="354"/>
      <c r="R17" s="322" t="s">
        <v>847</v>
      </c>
      <c r="S17" s="329" t="s">
        <v>540</v>
      </c>
    </row>
    <row r="18" spans="1:19" s="192" customFormat="1" x14ac:dyDescent="0.3">
      <c r="A18" s="191"/>
      <c r="B18" s="180"/>
      <c r="C18" s="347">
        <v>1501</v>
      </c>
      <c r="D18" s="330">
        <v>8005</v>
      </c>
      <c r="E18" s="348" t="s">
        <v>630</v>
      </c>
      <c r="F18" s="349">
        <v>0.3</v>
      </c>
      <c r="G18" s="350" t="s">
        <v>619</v>
      </c>
      <c r="H18" s="351">
        <v>800</v>
      </c>
      <c r="I18" s="352">
        <v>18</v>
      </c>
      <c r="J18" s="353" t="s">
        <v>620</v>
      </c>
      <c r="K18" s="354">
        <v>4320</v>
      </c>
      <c r="L18" s="354">
        <v>4048.9968952256445</v>
      </c>
      <c r="M18" s="354"/>
      <c r="N18" s="354"/>
      <c r="O18" s="354">
        <v>4320</v>
      </c>
      <c r="P18" s="354"/>
      <c r="Q18" s="354"/>
      <c r="R18" s="322" t="s">
        <v>847</v>
      </c>
      <c r="S18" s="329" t="s">
        <v>540</v>
      </c>
    </row>
    <row r="19" spans="1:19" s="192" customFormat="1" x14ac:dyDescent="0.3">
      <c r="A19" s="191"/>
      <c r="B19" s="180"/>
      <c r="C19" s="347">
        <v>1502</v>
      </c>
      <c r="D19" s="330">
        <v>8005</v>
      </c>
      <c r="E19" s="348" t="s">
        <v>631</v>
      </c>
      <c r="F19" s="349">
        <v>0.2</v>
      </c>
      <c r="G19" s="350" t="s">
        <v>619</v>
      </c>
      <c r="H19" s="351">
        <v>600</v>
      </c>
      <c r="I19" s="352">
        <v>18</v>
      </c>
      <c r="J19" s="353" t="s">
        <v>620</v>
      </c>
      <c r="K19" s="354">
        <v>2160</v>
      </c>
      <c r="L19" s="354">
        <v>2024.4985847448781</v>
      </c>
      <c r="M19" s="354"/>
      <c r="N19" s="354"/>
      <c r="O19" s="354">
        <v>2160</v>
      </c>
      <c r="P19" s="354"/>
      <c r="Q19" s="354"/>
      <c r="R19" s="322" t="s">
        <v>847</v>
      </c>
      <c r="S19" s="329" t="s">
        <v>540</v>
      </c>
    </row>
    <row r="20" spans="1:19" s="192" customFormat="1" x14ac:dyDescent="0.3">
      <c r="A20" s="191"/>
      <c r="B20" s="180"/>
      <c r="C20" s="347">
        <v>1503</v>
      </c>
      <c r="D20" s="330">
        <v>8005</v>
      </c>
      <c r="E20" s="348" t="s">
        <v>632</v>
      </c>
      <c r="F20" s="349">
        <v>0.3</v>
      </c>
      <c r="G20" s="350" t="s">
        <v>619</v>
      </c>
      <c r="H20" s="351">
        <v>400</v>
      </c>
      <c r="I20" s="352">
        <v>18</v>
      </c>
      <c r="J20" s="353" t="s">
        <v>620</v>
      </c>
      <c r="K20" s="354">
        <v>2160</v>
      </c>
      <c r="L20" s="354">
        <v>2048.3209358903414</v>
      </c>
      <c r="M20" s="354"/>
      <c r="N20" s="354"/>
      <c r="O20" s="354">
        <v>2160</v>
      </c>
      <c r="P20" s="354"/>
      <c r="Q20" s="354"/>
      <c r="R20" s="322" t="s">
        <v>847</v>
      </c>
      <c r="S20" s="329" t="s">
        <v>540</v>
      </c>
    </row>
    <row r="21" spans="1:19" s="192" customFormat="1" x14ac:dyDescent="0.3">
      <c r="A21" s="191"/>
      <c r="B21" s="180"/>
      <c r="C21" s="330">
        <v>1504</v>
      </c>
      <c r="D21" s="330">
        <v>8006</v>
      </c>
      <c r="E21" s="355" t="s">
        <v>633</v>
      </c>
      <c r="F21" s="356">
        <v>0.8</v>
      </c>
      <c r="G21" s="357" t="s">
        <v>619</v>
      </c>
      <c r="H21" s="358">
        <v>500</v>
      </c>
      <c r="I21" s="359">
        <v>18</v>
      </c>
      <c r="J21" s="360" t="s">
        <v>620</v>
      </c>
      <c r="K21" s="361">
        <v>7200</v>
      </c>
      <c r="L21" s="361">
        <v>6513.3568336179105</v>
      </c>
      <c r="M21" s="361"/>
      <c r="N21" s="361"/>
      <c r="O21" s="361"/>
      <c r="P21" s="361"/>
      <c r="Q21" s="361">
        <v>7200</v>
      </c>
      <c r="R21" s="322" t="s">
        <v>847</v>
      </c>
      <c r="S21" s="329" t="s">
        <v>540</v>
      </c>
    </row>
    <row r="22" spans="1:19" s="192" customFormat="1" x14ac:dyDescent="0.3">
      <c r="A22" s="191"/>
      <c r="B22" s="180"/>
      <c r="C22" s="330">
        <v>1505</v>
      </c>
      <c r="D22" s="330">
        <v>8006</v>
      </c>
      <c r="E22" s="355" t="s">
        <v>634</v>
      </c>
      <c r="F22" s="356">
        <v>0.8</v>
      </c>
      <c r="G22" s="357" t="s">
        <v>619</v>
      </c>
      <c r="H22" s="358">
        <v>400</v>
      </c>
      <c r="I22" s="359">
        <v>18</v>
      </c>
      <c r="J22" s="360" t="s">
        <v>620</v>
      </c>
      <c r="K22" s="361">
        <v>5760</v>
      </c>
      <c r="L22" s="361">
        <v>5526.9406806504467</v>
      </c>
      <c r="M22" s="361"/>
      <c r="N22" s="361"/>
      <c r="O22" s="361"/>
      <c r="P22" s="361"/>
      <c r="Q22" s="361">
        <v>5760</v>
      </c>
      <c r="R22" s="322" t="s">
        <v>847</v>
      </c>
      <c r="S22" s="329" t="s">
        <v>540</v>
      </c>
    </row>
    <row r="23" spans="1:19" s="192" customFormat="1" x14ac:dyDescent="0.3">
      <c r="A23" s="191"/>
      <c r="B23" s="180"/>
      <c r="C23" s="330" t="s">
        <v>635</v>
      </c>
      <c r="D23" s="330"/>
      <c r="E23" s="362" t="s">
        <v>636</v>
      </c>
      <c r="F23" s="363">
        <v>0.2</v>
      </c>
      <c r="G23" s="333" t="s">
        <v>619</v>
      </c>
      <c r="H23" s="364">
        <v>1200</v>
      </c>
      <c r="I23" s="322">
        <v>18</v>
      </c>
      <c r="J23" s="323" t="s">
        <v>620</v>
      </c>
      <c r="K23" s="335">
        <v>5389.73</v>
      </c>
      <c r="L23" s="335">
        <v>3584.3716993776225</v>
      </c>
      <c r="M23" s="335">
        <f>K23</f>
        <v>5389.73</v>
      </c>
      <c r="N23" s="335"/>
      <c r="O23" s="335"/>
      <c r="P23" s="335"/>
      <c r="Q23" s="335"/>
      <c r="R23" s="336" t="s">
        <v>516</v>
      </c>
      <c r="S23" s="329" t="s">
        <v>540</v>
      </c>
    </row>
    <row r="24" spans="1:19" s="192" customFormat="1" x14ac:dyDescent="0.3">
      <c r="A24" s="191"/>
      <c r="B24" s="180"/>
      <c r="C24" s="330" t="s">
        <v>635</v>
      </c>
      <c r="D24" s="330"/>
      <c r="E24" s="362" t="s">
        <v>637</v>
      </c>
      <c r="F24" s="363">
        <v>0.05</v>
      </c>
      <c r="G24" s="333" t="s">
        <v>619</v>
      </c>
      <c r="H24" s="364">
        <v>2300</v>
      </c>
      <c r="I24" s="322">
        <v>18</v>
      </c>
      <c r="J24" s="323" t="s">
        <v>620</v>
      </c>
      <c r="K24" s="335">
        <v>4235.7700000000004</v>
      </c>
      <c r="L24" s="335">
        <v>4235.7654517056035</v>
      </c>
      <c r="M24" s="335">
        <f t="shared" ref="M24:M33" si="4">K24</f>
        <v>4235.7700000000004</v>
      </c>
      <c r="N24" s="335"/>
      <c r="O24" s="335"/>
      <c r="P24" s="335"/>
      <c r="Q24" s="335"/>
      <c r="R24" s="336" t="s">
        <v>516</v>
      </c>
      <c r="S24" s="329" t="s">
        <v>540</v>
      </c>
    </row>
    <row r="25" spans="1:19" s="192" customFormat="1" x14ac:dyDescent="0.3">
      <c r="A25" s="191"/>
      <c r="B25" s="180"/>
      <c r="C25" s="330" t="s">
        <v>638</v>
      </c>
      <c r="D25" s="330"/>
      <c r="E25" s="362" t="s">
        <v>639</v>
      </c>
      <c r="F25" s="363">
        <v>0.05</v>
      </c>
      <c r="G25" s="333" t="s">
        <v>619</v>
      </c>
      <c r="H25" s="364">
        <v>1200</v>
      </c>
      <c r="I25" s="322">
        <v>18</v>
      </c>
      <c r="J25" s="323" t="s">
        <v>620</v>
      </c>
      <c r="K25" s="335">
        <v>2271.59</v>
      </c>
      <c r="L25" s="335">
        <v>2271.5855972153809</v>
      </c>
      <c r="M25" s="335">
        <f t="shared" si="4"/>
        <v>2271.59</v>
      </c>
      <c r="N25" s="335"/>
      <c r="O25" s="335"/>
      <c r="P25" s="335"/>
      <c r="Q25" s="335"/>
      <c r="R25" s="336" t="s">
        <v>516</v>
      </c>
      <c r="S25" s="329" t="s">
        <v>540</v>
      </c>
    </row>
    <row r="26" spans="1:19" s="192" customFormat="1" x14ac:dyDescent="0.3">
      <c r="A26" s="191"/>
      <c r="B26" s="180"/>
      <c r="C26" s="330" t="s">
        <v>638</v>
      </c>
      <c r="D26" s="330"/>
      <c r="E26" s="362" t="s">
        <v>640</v>
      </c>
      <c r="F26" s="363">
        <v>0.05</v>
      </c>
      <c r="G26" s="333" t="s">
        <v>619</v>
      </c>
      <c r="H26" s="364">
        <v>1200</v>
      </c>
      <c r="I26" s="322">
        <v>18</v>
      </c>
      <c r="J26" s="323" t="s">
        <v>620</v>
      </c>
      <c r="K26" s="335">
        <v>4250.05</v>
      </c>
      <c r="L26" s="335">
        <v>4250.0467300203582</v>
      </c>
      <c r="M26" s="335">
        <f t="shared" si="4"/>
        <v>4250.05</v>
      </c>
      <c r="N26" s="335"/>
      <c r="O26" s="335"/>
      <c r="P26" s="335"/>
      <c r="Q26" s="335"/>
      <c r="R26" s="336" t="s">
        <v>516</v>
      </c>
      <c r="S26" s="329" t="s">
        <v>540</v>
      </c>
    </row>
    <row r="27" spans="1:19" s="192" customFormat="1" x14ac:dyDescent="0.3">
      <c r="A27" s="191"/>
      <c r="B27" s="180"/>
      <c r="C27" s="330" t="s">
        <v>641</v>
      </c>
      <c r="D27" s="330"/>
      <c r="E27" s="362" t="s">
        <v>642</v>
      </c>
      <c r="F27" s="363">
        <v>0.05</v>
      </c>
      <c r="G27" s="333" t="s">
        <v>619</v>
      </c>
      <c r="H27" s="364">
        <v>1500</v>
      </c>
      <c r="I27" s="322">
        <v>18</v>
      </c>
      <c r="J27" s="323" t="s">
        <v>620</v>
      </c>
      <c r="K27" s="335">
        <v>2957.92</v>
      </c>
      <c r="L27" s="335">
        <v>2957.9173749803831</v>
      </c>
      <c r="M27" s="335">
        <f t="shared" si="4"/>
        <v>2957.92</v>
      </c>
      <c r="N27" s="335"/>
      <c r="O27" s="335"/>
      <c r="P27" s="335"/>
      <c r="Q27" s="335"/>
      <c r="R27" s="336" t="s">
        <v>516</v>
      </c>
      <c r="S27" s="329" t="s">
        <v>540</v>
      </c>
    </row>
    <row r="28" spans="1:19" s="192" customFormat="1" x14ac:dyDescent="0.3">
      <c r="A28" s="191"/>
      <c r="B28" s="180"/>
      <c r="C28" s="330" t="s">
        <v>638</v>
      </c>
      <c r="D28" s="330"/>
      <c r="E28" s="362" t="s">
        <v>643</v>
      </c>
      <c r="F28" s="363">
        <v>0.05</v>
      </c>
      <c r="G28" s="333" t="s">
        <v>619</v>
      </c>
      <c r="H28" s="364">
        <v>2800</v>
      </c>
      <c r="I28" s="322">
        <v>18</v>
      </c>
      <c r="J28" s="323" t="s">
        <v>620</v>
      </c>
      <c r="K28" s="335">
        <v>4385.71</v>
      </c>
      <c r="L28" s="335">
        <v>4385.7145735966033</v>
      </c>
      <c r="M28" s="335">
        <f t="shared" si="4"/>
        <v>4385.71</v>
      </c>
      <c r="N28" s="335"/>
      <c r="O28" s="335"/>
      <c r="P28" s="335"/>
      <c r="Q28" s="335"/>
      <c r="R28" s="336" t="s">
        <v>516</v>
      </c>
      <c r="S28" s="329" t="s">
        <v>540</v>
      </c>
    </row>
    <row r="29" spans="1:19" s="192" customFormat="1" x14ac:dyDescent="0.3">
      <c r="A29" s="191"/>
      <c r="B29" s="180"/>
      <c r="C29" s="330" t="s">
        <v>638</v>
      </c>
      <c r="D29" s="330"/>
      <c r="E29" s="362" t="s">
        <v>644</v>
      </c>
      <c r="F29" s="363">
        <v>0.05</v>
      </c>
      <c r="G29" s="333" t="s">
        <v>619</v>
      </c>
      <c r="H29" s="364">
        <v>2000</v>
      </c>
      <c r="I29" s="322">
        <v>18</v>
      </c>
      <c r="J29" s="323" t="s">
        <v>620</v>
      </c>
      <c r="K29" s="335">
        <v>7579.45</v>
      </c>
      <c r="L29" s="335">
        <v>4894.4212571452226</v>
      </c>
      <c r="M29" s="335">
        <f t="shared" si="4"/>
        <v>7579.45</v>
      </c>
      <c r="N29" s="335"/>
      <c r="O29" s="335"/>
      <c r="P29" s="335"/>
      <c r="Q29" s="335"/>
      <c r="R29" s="336" t="s">
        <v>516</v>
      </c>
      <c r="S29" s="329" t="s">
        <v>540</v>
      </c>
    </row>
    <row r="30" spans="1:19" s="192" customFormat="1" x14ac:dyDescent="0.3">
      <c r="A30" s="191"/>
      <c r="B30" s="180"/>
      <c r="C30" s="330" t="s">
        <v>638</v>
      </c>
      <c r="D30" s="330"/>
      <c r="E30" s="362" t="s">
        <v>645</v>
      </c>
      <c r="F30" s="363">
        <v>0.2</v>
      </c>
      <c r="G30" s="333" t="s">
        <v>619</v>
      </c>
      <c r="H30" s="364">
        <v>1200</v>
      </c>
      <c r="I30" s="322">
        <v>18</v>
      </c>
      <c r="J30" s="323" t="s">
        <v>620</v>
      </c>
      <c r="K30" s="335">
        <v>6136.36</v>
      </c>
      <c r="L30" s="335">
        <v>3256.3607391700516</v>
      </c>
      <c r="M30" s="335">
        <f t="shared" si="4"/>
        <v>6136.36</v>
      </c>
      <c r="N30" s="335"/>
      <c r="O30" s="335"/>
      <c r="P30" s="335"/>
      <c r="Q30" s="335"/>
      <c r="R30" s="336" t="s">
        <v>516</v>
      </c>
      <c r="S30" s="329" t="s">
        <v>540</v>
      </c>
    </row>
    <row r="31" spans="1:19" s="192" customFormat="1" x14ac:dyDescent="0.3">
      <c r="A31" s="191"/>
      <c r="B31" s="180"/>
      <c r="C31" s="330" t="s">
        <v>638</v>
      </c>
      <c r="D31" s="330"/>
      <c r="E31" s="362" t="s">
        <v>646</v>
      </c>
      <c r="F31" s="363">
        <v>0.05</v>
      </c>
      <c r="G31" s="333" t="s">
        <v>619</v>
      </c>
      <c r="H31" s="364">
        <v>1000</v>
      </c>
      <c r="I31" s="322">
        <v>18</v>
      </c>
      <c r="J31" s="323" t="s">
        <v>620</v>
      </c>
      <c r="K31" s="335">
        <v>1998.42</v>
      </c>
      <c r="L31" s="335">
        <v>2218.5098638710892</v>
      </c>
      <c r="M31" s="335">
        <f t="shared" si="4"/>
        <v>1998.42</v>
      </c>
      <c r="N31" s="335"/>
      <c r="O31" s="335"/>
      <c r="P31" s="335"/>
      <c r="Q31" s="335"/>
      <c r="R31" s="336" t="s">
        <v>516</v>
      </c>
      <c r="S31" s="329" t="s">
        <v>540</v>
      </c>
    </row>
    <row r="32" spans="1:19" s="192" customFormat="1" x14ac:dyDescent="0.3">
      <c r="A32" s="191"/>
      <c r="B32" s="180"/>
      <c r="C32" s="330" t="s">
        <v>638</v>
      </c>
      <c r="D32" s="330"/>
      <c r="E32" s="362" t="s">
        <v>647</v>
      </c>
      <c r="F32" s="363">
        <v>0.05</v>
      </c>
      <c r="G32" s="333" t="s">
        <v>619</v>
      </c>
      <c r="H32" s="364">
        <v>2300</v>
      </c>
      <c r="I32" s="322">
        <v>18</v>
      </c>
      <c r="J32" s="323" t="s">
        <v>620</v>
      </c>
      <c r="K32" s="335">
        <v>4659.0599999999995</v>
      </c>
      <c r="L32" s="335">
        <v>4659.0627480391613</v>
      </c>
      <c r="M32" s="335">
        <f t="shared" si="4"/>
        <v>4659.0599999999995</v>
      </c>
      <c r="N32" s="335"/>
      <c r="O32" s="335"/>
      <c r="P32" s="335"/>
      <c r="Q32" s="335"/>
      <c r="R32" s="336" t="s">
        <v>516</v>
      </c>
      <c r="S32" s="329" t="s">
        <v>540</v>
      </c>
    </row>
    <row r="33" spans="1:19" s="192" customFormat="1" x14ac:dyDescent="0.3">
      <c r="A33" s="191"/>
      <c r="B33" s="180"/>
      <c r="C33" s="330" t="s">
        <v>638</v>
      </c>
      <c r="D33" s="330"/>
      <c r="E33" s="362" t="s">
        <v>648</v>
      </c>
      <c r="F33" s="363">
        <v>0.05</v>
      </c>
      <c r="G33" s="333" t="s">
        <v>619</v>
      </c>
      <c r="H33" s="364">
        <v>1200</v>
      </c>
      <c r="I33" s="322">
        <v>18</v>
      </c>
      <c r="J33" s="323" t="s">
        <v>620</v>
      </c>
      <c r="K33" s="335">
        <v>1538.1</v>
      </c>
      <c r="L33" s="335">
        <v>1538.1035431650591</v>
      </c>
      <c r="M33" s="335">
        <f t="shared" si="4"/>
        <v>1538.1</v>
      </c>
      <c r="N33" s="335"/>
      <c r="O33" s="335"/>
      <c r="P33" s="335"/>
      <c r="Q33" s="335"/>
      <c r="R33" s="336" t="s">
        <v>516</v>
      </c>
      <c r="S33" s="329" t="s">
        <v>540</v>
      </c>
    </row>
    <row r="34" spans="1:19" x14ac:dyDescent="0.3">
      <c r="C34" s="337"/>
      <c r="D34" s="337"/>
      <c r="E34" s="338" t="s">
        <v>649</v>
      </c>
      <c r="F34" s="337"/>
      <c r="G34" s="339"/>
      <c r="H34" s="340"/>
      <c r="I34" s="337"/>
      <c r="J34" s="339"/>
      <c r="K34" s="328">
        <f>SUBTOTAL(9,K35:K48)</f>
        <v>190886.61000000002</v>
      </c>
      <c r="L34" s="328">
        <f>SUBTOTAL(9,L35:L48)</f>
        <v>165005.35374966235</v>
      </c>
      <c r="M34" s="341">
        <f t="shared" ref="M34:Q34" si="5">SUBTOTAL(9,M35:M48)</f>
        <v>118886.61</v>
      </c>
      <c r="N34" s="341">
        <f t="shared" si="5"/>
        <v>0</v>
      </c>
      <c r="O34" s="341">
        <f t="shared" si="5"/>
        <v>45000</v>
      </c>
      <c r="P34" s="341">
        <f t="shared" si="5"/>
        <v>0</v>
      </c>
      <c r="Q34" s="341">
        <f t="shared" si="5"/>
        <v>27000</v>
      </c>
      <c r="R34" s="322"/>
      <c r="S34" s="323"/>
    </row>
    <row r="35" spans="1:19" x14ac:dyDescent="0.3">
      <c r="C35" s="330">
        <v>1506</v>
      </c>
      <c r="D35" s="330">
        <v>8005</v>
      </c>
      <c r="E35" s="365" t="s">
        <v>650</v>
      </c>
      <c r="F35" s="366">
        <v>1</v>
      </c>
      <c r="G35" s="350" t="s">
        <v>619</v>
      </c>
      <c r="H35" s="351">
        <v>1400</v>
      </c>
      <c r="I35" s="352">
        <v>18</v>
      </c>
      <c r="J35" s="353" t="s">
        <v>620</v>
      </c>
      <c r="K35" s="354">
        <v>25200</v>
      </c>
      <c r="L35" s="354">
        <v>24330.762194926065</v>
      </c>
      <c r="M35" s="354"/>
      <c r="N35" s="354"/>
      <c r="O35" s="354">
        <v>25200</v>
      </c>
      <c r="P35" s="354"/>
      <c r="Q35" s="354"/>
      <c r="R35" s="322" t="s">
        <v>847</v>
      </c>
      <c r="S35" s="329" t="s">
        <v>540</v>
      </c>
    </row>
    <row r="36" spans="1:19" x14ac:dyDescent="0.3">
      <c r="C36" s="330">
        <v>1507</v>
      </c>
      <c r="D36" s="330">
        <v>8005</v>
      </c>
      <c r="E36" s="365" t="s">
        <v>651</v>
      </c>
      <c r="F36" s="366">
        <v>1</v>
      </c>
      <c r="G36" s="350" t="s">
        <v>619</v>
      </c>
      <c r="H36" s="351">
        <v>700</v>
      </c>
      <c r="I36" s="352">
        <v>18</v>
      </c>
      <c r="J36" s="353" t="s">
        <v>620</v>
      </c>
      <c r="K36" s="354">
        <v>12600</v>
      </c>
      <c r="L36" s="354">
        <v>11778.116761704809</v>
      </c>
      <c r="M36" s="354"/>
      <c r="N36" s="354"/>
      <c r="O36" s="354">
        <v>12600</v>
      </c>
      <c r="P36" s="354"/>
      <c r="Q36" s="354"/>
      <c r="R36" s="322" t="s">
        <v>847</v>
      </c>
      <c r="S36" s="329" t="s">
        <v>540</v>
      </c>
    </row>
    <row r="37" spans="1:19" x14ac:dyDescent="0.3">
      <c r="C37" s="330">
        <v>1508</v>
      </c>
      <c r="D37" s="330">
        <v>8005</v>
      </c>
      <c r="E37" s="365" t="s">
        <v>652</v>
      </c>
      <c r="F37" s="366">
        <v>1</v>
      </c>
      <c r="G37" s="350" t="s">
        <v>619</v>
      </c>
      <c r="H37" s="351">
        <v>400</v>
      </c>
      <c r="I37" s="352">
        <v>18</v>
      </c>
      <c r="J37" s="353" t="s">
        <v>620</v>
      </c>
      <c r="K37" s="354">
        <v>7200</v>
      </c>
      <c r="L37" s="354">
        <v>8091.2149405027967</v>
      </c>
      <c r="M37" s="354"/>
      <c r="N37" s="354"/>
      <c r="O37" s="354">
        <v>7200</v>
      </c>
      <c r="P37" s="354"/>
      <c r="Q37" s="354"/>
      <c r="R37" s="322" t="s">
        <v>847</v>
      </c>
      <c r="S37" s="329" t="s">
        <v>540</v>
      </c>
    </row>
    <row r="38" spans="1:19" x14ac:dyDescent="0.3">
      <c r="C38" s="330">
        <v>1509</v>
      </c>
      <c r="D38" s="330">
        <v>8006</v>
      </c>
      <c r="E38" s="367" t="s">
        <v>653</v>
      </c>
      <c r="F38" s="368">
        <v>1</v>
      </c>
      <c r="G38" s="369" t="s">
        <v>619</v>
      </c>
      <c r="H38" s="370">
        <v>1000</v>
      </c>
      <c r="I38" s="371">
        <v>18</v>
      </c>
      <c r="J38" s="369" t="s">
        <v>620</v>
      </c>
      <c r="K38" s="372">
        <v>18000</v>
      </c>
      <c r="L38" s="372">
        <v>17495.556706560179</v>
      </c>
      <c r="M38" s="372"/>
      <c r="N38" s="372"/>
      <c r="O38" s="372"/>
      <c r="P38" s="372"/>
      <c r="Q38" s="372">
        <v>18000</v>
      </c>
      <c r="R38" s="322" t="s">
        <v>847</v>
      </c>
      <c r="S38" s="329" t="s">
        <v>540</v>
      </c>
    </row>
    <row r="39" spans="1:19" s="192" customFormat="1" x14ac:dyDescent="0.3">
      <c r="A39" s="191"/>
      <c r="B39" s="180"/>
      <c r="C39" s="330">
        <v>1510</v>
      </c>
      <c r="D39" s="330">
        <v>8006</v>
      </c>
      <c r="E39" s="373" t="s">
        <v>654</v>
      </c>
      <c r="F39" s="374">
        <v>1</v>
      </c>
      <c r="G39" s="375" t="s">
        <v>619</v>
      </c>
      <c r="H39" s="370">
        <v>500</v>
      </c>
      <c r="I39" s="371">
        <v>18</v>
      </c>
      <c r="J39" s="369" t="s">
        <v>620</v>
      </c>
      <c r="K39" s="372">
        <v>9000</v>
      </c>
      <c r="L39" s="372">
        <v>8016.0225964081055</v>
      </c>
      <c r="M39" s="372"/>
      <c r="N39" s="372"/>
      <c r="O39" s="372"/>
      <c r="P39" s="372"/>
      <c r="Q39" s="372">
        <v>9000</v>
      </c>
      <c r="R39" s="322" t="s">
        <v>847</v>
      </c>
      <c r="S39" s="329" t="s">
        <v>540</v>
      </c>
    </row>
    <row r="40" spans="1:19" s="192" customFormat="1" x14ac:dyDescent="0.3">
      <c r="A40" s="191"/>
      <c r="B40" s="180"/>
      <c r="C40" s="330" t="s">
        <v>635</v>
      </c>
      <c r="D40" s="330"/>
      <c r="E40" s="376" t="s">
        <v>655</v>
      </c>
      <c r="F40" s="377">
        <v>0.35</v>
      </c>
      <c r="G40" s="378" t="s">
        <v>619</v>
      </c>
      <c r="H40" s="379">
        <v>2300</v>
      </c>
      <c r="I40" s="380">
        <v>18</v>
      </c>
      <c r="J40" s="381" t="s">
        <v>620</v>
      </c>
      <c r="K40" s="382">
        <v>13494.55</v>
      </c>
      <c r="L40" s="382">
        <v>10204.769630848559</v>
      </c>
      <c r="M40" s="382">
        <v>13494.55</v>
      </c>
      <c r="N40" s="382"/>
      <c r="O40" s="382"/>
      <c r="P40" s="382"/>
      <c r="Q40" s="382"/>
      <c r="R40" s="329" t="s">
        <v>518</v>
      </c>
      <c r="S40" s="329" t="s">
        <v>540</v>
      </c>
    </row>
    <row r="41" spans="1:19" s="192" customFormat="1" x14ac:dyDescent="0.3">
      <c r="A41" s="191"/>
      <c r="B41" s="180"/>
      <c r="C41" s="330" t="s">
        <v>635</v>
      </c>
      <c r="D41" s="330"/>
      <c r="E41" s="376" t="s">
        <v>656</v>
      </c>
      <c r="F41" s="377">
        <v>0.35</v>
      </c>
      <c r="G41" s="378" t="s">
        <v>619</v>
      </c>
      <c r="H41" s="379">
        <v>1500</v>
      </c>
      <c r="I41" s="380">
        <v>18</v>
      </c>
      <c r="J41" s="381" t="s">
        <v>620</v>
      </c>
      <c r="K41" s="382">
        <v>14117.64</v>
      </c>
      <c r="L41" s="382">
        <v>10459.00590034471</v>
      </c>
      <c r="M41" s="382">
        <v>14117.64</v>
      </c>
      <c r="N41" s="382"/>
      <c r="O41" s="382"/>
      <c r="P41" s="382"/>
      <c r="Q41" s="382"/>
      <c r="R41" s="329" t="s">
        <v>518</v>
      </c>
      <c r="S41" s="329" t="s">
        <v>540</v>
      </c>
    </row>
    <row r="42" spans="1:19" s="192" customFormat="1" x14ac:dyDescent="0.3">
      <c r="A42" s="191"/>
      <c r="B42" s="180"/>
      <c r="C42" s="330" t="s">
        <v>635</v>
      </c>
      <c r="D42" s="330"/>
      <c r="E42" s="376" t="s">
        <v>657</v>
      </c>
      <c r="F42" s="377">
        <v>0.35</v>
      </c>
      <c r="G42" s="378" t="s">
        <v>619</v>
      </c>
      <c r="H42" s="379">
        <v>1500</v>
      </c>
      <c r="I42" s="380">
        <v>18</v>
      </c>
      <c r="J42" s="381" t="s">
        <v>620</v>
      </c>
      <c r="K42" s="382">
        <v>3611.6100000000006</v>
      </c>
      <c r="L42" s="382">
        <v>3708.9432948465837</v>
      </c>
      <c r="M42" s="382">
        <v>3611.6100000000006</v>
      </c>
      <c r="N42" s="382"/>
      <c r="O42" s="382"/>
      <c r="P42" s="382"/>
      <c r="Q42" s="382"/>
      <c r="R42" s="329" t="s">
        <v>518</v>
      </c>
      <c r="S42" s="329" t="s">
        <v>540</v>
      </c>
    </row>
    <row r="43" spans="1:19" x14ac:dyDescent="0.3">
      <c r="C43" s="330" t="s">
        <v>635</v>
      </c>
      <c r="D43" s="330"/>
      <c r="E43" s="342" t="s">
        <v>658</v>
      </c>
      <c r="F43" s="363">
        <v>1</v>
      </c>
      <c r="G43" s="323" t="s">
        <v>619</v>
      </c>
      <c r="H43" s="364">
        <v>1500</v>
      </c>
      <c r="I43" s="322">
        <v>18</v>
      </c>
      <c r="J43" s="323" t="s">
        <v>620</v>
      </c>
      <c r="K43" s="335">
        <v>26565.66</v>
      </c>
      <c r="L43" s="335">
        <v>21147.249101310947</v>
      </c>
      <c r="M43" s="335">
        <v>26565.66</v>
      </c>
      <c r="N43" s="335"/>
      <c r="O43" s="335"/>
      <c r="P43" s="335"/>
      <c r="Q43" s="335"/>
      <c r="R43" s="336" t="s">
        <v>516</v>
      </c>
      <c r="S43" s="329" t="s">
        <v>540</v>
      </c>
    </row>
    <row r="44" spans="1:19" x14ac:dyDescent="0.3">
      <c r="C44" s="330" t="s">
        <v>635</v>
      </c>
      <c r="D44" s="330"/>
      <c r="E44" s="342" t="s">
        <v>659</v>
      </c>
      <c r="F44" s="332">
        <v>2</v>
      </c>
      <c r="G44" s="323" t="s">
        <v>619</v>
      </c>
      <c r="H44" s="364">
        <v>1000</v>
      </c>
      <c r="I44" s="322">
        <v>18</v>
      </c>
      <c r="J44" s="323" t="s">
        <v>620</v>
      </c>
      <c r="K44" s="335">
        <v>33893.89</v>
      </c>
      <c r="L44" s="335">
        <v>29700.61969290279</v>
      </c>
      <c r="M44" s="335">
        <v>33893.89</v>
      </c>
      <c r="N44" s="335"/>
      <c r="O44" s="335"/>
      <c r="P44" s="335"/>
      <c r="Q44" s="335"/>
      <c r="R44" s="336" t="s">
        <v>516</v>
      </c>
      <c r="S44" s="329" t="s">
        <v>540</v>
      </c>
    </row>
    <row r="45" spans="1:19" x14ac:dyDescent="0.3">
      <c r="C45" s="330" t="s">
        <v>635</v>
      </c>
      <c r="D45" s="330"/>
      <c r="E45" s="342" t="s">
        <v>660</v>
      </c>
      <c r="F45" s="332">
        <v>2</v>
      </c>
      <c r="G45" s="323" t="s">
        <v>619</v>
      </c>
      <c r="H45" s="364">
        <v>600</v>
      </c>
      <c r="I45" s="322">
        <v>17</v>
      </c>
      <c r="J45" s="323" t="s">
        <v>620</v>
      </c>
      <c r="K45" s="335">
        <v>250</v>
      </c>
      <c r="L45" s="335">
        <v>250</v>
      </c>
      <c r="M45" s="335">
        <v>250</v>
      </c>
      <c r="N45" s="335"/>
      <c r="O45" s="335"/>
      <c r="P45" s="335"/>
      <c r="Q45" s="335"/>
      <c r="R45" s="336" t="s">
        <v>516</v>
      </c>
      <c r="S45" s="329" t="s">
        <v>540</v>
      </c>
    </row>
    <row r="46" spans="1:19" x14ac:dyDescent="0.3">
      <c r="C46" s="330" t="s">
        <v>635</v>
      </c>
      <c r="D46" s="330"/>
      <c r="E46" s="342" t="s">
        <v>661</v>
      </c>
      <c r="F46" s="332">
        <v>2</v>
      </c>
      <c r="G46" s="323" t="s">
        <v>619</v>
      </c>
      <c r="H46" s="364">
        <v>600</v>
      </c>
      <c r="I46" s="322">
        <v>17</v>
      </c>
      <c r="J46" s="323" t="s">
        <v>620</v>
      </c>
      <c r="K46" s="335">
        <v>250</v>
      </c>
      <c r="L46" s="335">
        <v>250</v>
      </c>
      <c r="M46" s="335">
        <v>250</v>
      </c>
      <c r="N46" s="335"/>
      <c r="O46" s="335"/>
      <c r="P46" s="335"/>
      <c r="Q46" s="335"/>
      <c r="R46" s="336" t="s">
        <v>516</v>
      </c>
      <c r="S46" s="329" t="s">
        <v>540</v>
      </c>
    </row>
    <row r="47" spans="1:19" x14ac:dyDescent="0.3">
      <c r="C47" s="330" t="s">
        <v>635</v>
      </c>
      <c r="D47" s="330"/>
      <c r="E47" s="342" t="s">
        <v>662</v>
      </c>
      <c r="F47" s="332">
        <v>1</v>
      </c>
      <c r="G47" s="323" t="s">
        <v>619</v>
      </c>
      <c r="H47" s="364">
        <v>600</v>
      </c>
      <c r="I47" s="322">
        <v>9</v>
      </c>
      <c r="J47" s="323" t="s">
        <v>620</v>
      </c>
      <c r="K47" s="335">
        <v>8074.45</v>
      </c>
      <c r="L47" s="335">
        <v>4446.1159465739229</v>
      </c>
      <c r="M47" s="335">
        <v>8074.45</v>
      </c>
      <c r="N47" s="335"/>
      <c r="O47" s="335"/>
      <c r="P47" s="335"/>
      <c r="Q47" s="335"/>
      <c r="R47" s="336" t="s">
        <v>516</v>
      </c>
      <c r="S47" s="329" t="s">
        <v>540</v>
      </c>
    </row>
    <row r="48" spans="1:19" s="192" customFormat="1" x14ac:dyDescent="0.3">
      <c r="A48" s="191"/>
      <c r="B48" s="180"/>
      <c r="C48" s="330" t="s">
        <v>641</v>
      </c>
      <c r="D48" s="330"/>
      <c r="E48" s="362" t="s">
        <v>632</v>
      </c>
      <c r="F48" s="383">
        <v>1</v>
      </c>
      <c r="G48" s="333" t="s">
        <v>619</v>
      </c>
      <c r="H48" s="364">
        <v>600</v>
      </c>
      <c r="I48" s="322">
        <v>15</v>
      </c>
      <c r="J48" s="323" t="s">
        <v>620</v>
      </c>
      <c r="K48" s="335">
        <v>18628.809999999998</v>
      </c>
      <c r="L48" s="335">
        <v>15126.976982732891</v>
      </c>
      <c r="M48" s="335">
        <v>18628.809999999998</v>
      </c>
      <c r="N48" s="335"/>
      <c r="O48" s="335"/>
      <c r="P48" s="335"/>
      <c r="Q48" s="335"/>
      <c r="R48" s="336" t="s">
        <v>516</v>
      </c>
      <c r="S48" s="329" t="s">
        <v>540</v>
      </c>
    </row>
    <row r="49" spans="1:19" x14ac:dyDescent="0.3">
      <c r="C49" s="317"/>
      <c r="D49" s="317"/>
      <c r="E49" s="318" t="s">
        <v>663</v>
      </c>
      <c r="F49" s="317"/>
      <c r="G49" s="319"/>
      <c r="H49" s="320"/>
      <c r="I49" s="317"/>
      <c r="J49" s="319"/>
      <c r="K49" s="321">
        <f>SUBTOTAL(9,K50:K50)</f>
        <v>19000</v>
      </c>
      <c r="L49" s="321">
        <f>SUBTOTAL(9,L50:L50)</f>
        <v>0</v>
      </c>
      <c r="M49" s="321">
        <f>SUBTOTAL(9,M50:M50)</f>
        <v>12000</v>
      </c>
      <c r="N49" s="321">
        <f t="shared" ref="N49:Q49" si="6">SUBTOTAL(9,N50:N50)</f>
        <v>0</v>
      </c>
      <c r="O49" s="321">
        <f t="shared" si="6"/>
        <v>0</v>
      </c>
      <c r="P49" s="321">
        <f t="shared" si="6"/>
        <v>0</v>
      </c>
      <c r="Q49" s="321">
        <f t="shared" si="6"/>
        <v>0</v>
      </c>
      <c r="R49" s="322"/>
      <c r="S49" s="323"/>
    </row>
    <row r="50" spans="1:19" x14ac:dyDescent="0.3">
      <c r="C50" s="322">
        <v>1856</v>
      </c>
      <c r="D50" s="322"/>
      <c r="E50" s="384" t="s">
        <v>664</v>
      </c>
      <c r="F50" s="380">
        <v>1</v>
      </c>
      <c r="G50" s="381" t="s">
        <v>665</v>
      </c>
      <c r="H50" s="379">
        <v>12000</v>
      </c>
      <c r="I50" s="380">
        <v>1</v>
      </c>
      <c r="J50" s="381" t="s">
        <v>620</v>
      </c>
      <c r="K50" s="382">
        <v>19000</v>
      </c>
      <c r="L50" s="382">
        <v>0</v>
      </c>
      <c r="M50" s="382">
        <v>12000</v>
      </c>
      <c r="N50" s="382"/>
      <c r="O50" s="382"/>
      <c r="P50" s="382"/>
      <c r="Q50" s="382"/>
      <c r="R50" s="329" t="s">
        <v>519</v>
      </c>
      <c r="S50" s="323" t="s">
        <v>543</v>
      </c>
    </row>
    <row r="51" spans="1:19" x14ac:dyDescent="0.3">
      <c r="C51" s="317"/>
      <c r="D51" s="317"/>
      <c r="E51" s="318" t="s">
        <v>667</v>
      </c>
      <c r="F51" s="317"/>
      <c r="G51" s="319"/>
      <c r="H51" s="320"/>
      <c r="I51" s="317"/>
      <c r="J51" s="319"/>
      <c r="K51" s="321">
        <f>SUBTOTAL(9,K52:K56)</f>
        <v>6072.7500410736657</v>
      </c>
      <c r="L51" s="321">
        <f>SUBTOTAL(9,L52:L56)</f>
        <v>6046.4862214803024</v>
      </c>
      <c r="M51" s="321">
        <f t="shared" ref="M51:Q51" si="7">SUBTOTAL(9,M52:M56)</f>
        <v>6900</v>
      </c>
      <c r="N51" s="321">
        <f t="shared" si="7"/>
        <v>500</v>
      </c>
      <c r="O51" s="321">
        <f t="shared" si="7"/>
        <v>700</v>
      </c>
      <c r="P51" s="321">
        <f t="shared" si="7"/>
        <v>0</v>
      </c>
      <c r="Q51" s="321">
        <f t="shared" si="7"/>
        <v>0</v>
      </c>
      <c r="R51" s="322"/>
      <c r="S51" s="323"/>
    </row>
    <row r="52" spans="1:19" x14ac:dyDescent="0.3">
      <c r="C52" s="330">
        <v>1650</v>
      </c>
      <c r="D52" s="330"/>
      <c r="E52" s="365" t="s">
        <v>668</v>
      </c>
      <c r="F52" s="385">
        <v>1</v>
      </c>
      <c r="G52" s="386" t="s">
        <v>669</v>
      </c>
      <c r="H52" s="387">
        <v>500</v>
      </c>
      <c r="I52" s="388">
        <v>1</v>
      </c>
      <c r="J52" s="386" t="s">
        <v>620</v>
      </c>
      <c r="K52" s="354">
        <v>500</v>
      </c>
      <c r="L52" s="354">
        <v>511.25336204694787</v>
      </c>
      <c r="M52" s="354"/>
      <c r="N52" s="354"/>
      <c r="O52" s="354">
        <v>500</v>
      </c>
      <c r="P52" s="354"/>
      <c r="Q52" s="354"/>
      <c r="R52" s="322" t="s">
        <v>847</v>
      </c>
      <c r="S52" s="323" t="s">
        <v>542</v>
      </c>
    </row>
    <row r="53" spans="1:19" x14ac:dyDescent="0.3">
      <c r="C53" s="330">
        <v>1651</v>
      </c>
      <c r="D53" s="330"/>
      <c r="E53" s="365" t="s">
        <v>670</v>
      </c>
      <c r="F53" s="385">
        <v>1</v>
      </c>
      <c r="G53" s="386" t="s">
        <v>666</v>
      </c>
      <c r="H53" s="387">
        <v>200</v>
      </c>
      <c r="I53" s="388">
        <v>1</v>
      </c>
      <c r="J53" s="386" t="s">
        <v>620</v>
      </c>
      <c r="K53" s="354">
        <v>200</v>
      </c>
      <c r="L53" s="354">
        <v>151.22953131069539</v>
      </c>
      <c r="M53" s="354"/>
      <c r="N53" s="354"/>
      <c r="O53" s="354">
        <v>200</v>
      </c>
      <c r="P53" s="354"/>
      <c r="Q53" s="354"/>
      <c r="R53" s="322" t="s">
        <v>847</v>
      </c>
      <c r="S53" s="323" t="s">
        <v>542</v>
      </c>
    </row>
    <row r="54" spans="1:19" x14ac:dyDescent="0.3">
      <c r="C54" s="330">
        <v>1652</v>
      </c>
      <c r="D54" s="330"/>
      <c r="E54" s="389" t="s">
        <v>671</v>
      </c>
      <c r="F54" s="390">
        <v>1</v>
      </c>
      <c r="G54" s="391" t="s">
        <v>666</v>
      </c>
      <c r="H54" s="392">
        <v>500</v>
      </c>
      <c r="I54" s="393">
        <v>1</v>
      </c>
      <c r="J54" s="391" t="s">
        <v>620</v>
      </c>
      <c r="K54" s="361">
        <v>500</v>
      </c>
      <c r="L54" s="361">
        <v>511.25336204694787</v>
      </c>
      <c r="M54" s="361"/>
      <c r="N54" s="361">
        <v>500</v>
      </c>
      <c r="O54" s="361"/>
      <c r="P54" s="361"/>
      <c r="Q54" s="361"/>
      <c r="R54" s="322" t="s">
        <v>847</v>
      </c>
      <c r="S54" s="323" t="s">
        <v>542</v>
      </c>
    </row>
    <row r="55" spans="1:19" x14ac:dyDescent="0.3">
      <c r="C55" s="322">
        <v>1491</v>
      </c>
      <c r="D55" s="322"/>
      <c r="E55" s="394" t="s">
        <v>671</v>
      </c>
      <c r="F55" s="322">
        <v>2</v>
      </c>
      <c r="G55" s="323" t="s">
        <v>666</v>
      </c>
      <c r="H55" s="395">
        <v>1200</v>
      </c>
      <c r="I55" s="322">
        <v>1</v>
      </c>
      <c r="J55" s="323" t="s">
        <v>620</v>
      </c>
      <c r="K55" s="335">
        <v>2442.75</v>
      </c>
      <c r="L55" s="335">
        <v>2442.7499250020455</v>
      </c>
      <c r="M55" s="335">
        <v>2400</v>
      </c>
      <c r="N55" s="335"/>
      <c r="O55" s="335"/>
      <c r="P55" s="335"/>
      <c r="Q55" s="335"/>
      <c r="R55" s="322" t="s">
        <v>847</v>
      </c>
      <c r="S55" s="323" t="s">
        <v>542</v>
      </c>
    </row>
    <row r="56" spans="1:19" x14ac:dyDescent="0.3">
      <c r="C56" s="380">
        <v>1492</v>
      </c>
      <c r="D56" s="380"/>
      <c r="E56" s="376" t="s">
        <v>672</v>
      </c>
      <c r="F56" s="380">
        <v>12</v>
      </c>
      <c r="G56" s="378" t="s">
        <v>669</v>
      </c>
      <c r="H56" s="379">
        <v>375</v>
      </c>
      <c r="I56" s="380">
        <v>1</v>
      </c>
      <c r="J56" s="381" t="s">
        <v>620</v>
      </c>
      <c r="K56" s="382">
        <v>2430.0000410736657</v>
      </c>
      <c r="L56" s="382">
        <v>2430.0000410736657</v>
      </c>
      <c r="M56" s="382">
        <v>4500</v>
      </c>
      <c r="N56" s="382"/>
      <c r="O56" s="382"/>
      <c r="P56" s="382"/>
      <c r="Q56" s="382"/>
      <c r="R56" s="329" t="s">
        <v>518</v>
      </c>
      <c r="S56" s="323" t="s">
        <v>542</v>
      </c>
    </row>
    <row r="57" spans="1:19" x14ac:dyDescent="0.3">
      <c r="C57" s="317"/>
      <c r="D57" s="317"/>
      <c r="E57" s="318" t="s">
        <v>673</v>
      </c>
      <c r="F57" s="317"/>
      <c r="G57" s="319"/>
      <c r="H57" s="320"/>
      <c r="I57" s="317"/>
      <c r="J57" s="319"/>
      <c r="K57" s="321">
        <f t="shared" ref="K57:Q57" si="8">SUBTOTAL(9,K58:K144)</f>
        <v>817539.20159170113</v>
      </c>
      <c r="L57" s="321">
        <f>SUBTOTAL(9,L58:L144)</f>
        <v>410803.50897432928</v>
      </c>
      <c r="M57" s="321">
        <f t="shared" si="8"/>
        <v>234477.35606206401</v>
      </c>
      <c r="N57" s="321">
        <f t="shared" si="8"/>
        <v>54975</v>
      </c>
      <c r="O57" s="321">
        <f t="shared" si="8"/>
        <v>161702</v>
      </c>
      <c r="P57" s="321">
        <f t="shared" si="8"/>
        <v>200000</v>
      </c>
      <c r="Q57" s="321">
        <f t="shared" si="8"/>
        <v>162650</v>
      </c>
      <c r="R57" s="322"/>
      <c r="S57" s="323"/>
    </row>
    <row r="58" spans="1:19" s="192" customFormat="1" x14ac:dyDescent="0.3">
      <c r="A58" s="180"/>
      <c r="B58" s="180"/>
      <c r="C58" s="396"/>
      <c r="D58" s="396"/>
      <c r="E58" s="397" t="s">
        <v>674</v>
      </c>
      <c r="F58" s="396"/>
      <c r="G58" s="398"/>
      <c r="H58" s="399"/>
      <c r="I58" s="396"/>
      <c r="J58" s="398"/>
      <c r="K58" s="400">
        <f t="shared" ref="K58:Q58" si="9">SUBTOTAL(9,K59:K94)</f>
        <v>328313.24779293482</v>
      </c>
      <c r="L58" s="400">
        <f>SUBTOTAL(9,L59:L94)</f>
        <v>284092.0947721618</v>
      </c>
      <c r="M58" s="400">
        <f t="shared" si="9"/>
        <v>63811.247792934839</v>
      </c>
      <c r="N58" s="400">
        <f t="shared" si="9"/>
        <v>0</v>
      </c>
      <c r="O58" s="400">
        <f t="shared" si="9"/>
        <v>155702</v>
      </c>
      <c r="P58" s="400">
        <f t="shared" si="9"/>
        <v>0</v>
      </c>
      <c r="Q58" s="400">
        <f t="shared" si="9"/>
        <v>108800</v>
      </c>
      <c r="R58" s="324"/>
      <c r="S58" s="329"/>
    </row>
    <row r="59" spans="1:19" s="192" customFormat="1" x14ac:dyDescent="0.3">
      <c r="A59" s="180"/>
      <c r="B59" s="180"/>
      <c r="C59" s="322"/>
      <c r="D59" s="322"/>
      <c r="E59" s="401" t="s">
        <v>538</v>
      </c>
      <c r="F59" s="322"/>
      <c r="G59" s="323"/>
      <c r="H59" s="395"/>
      <c r="I59" s="322"/>
      <c r="J59" s="323"/>
      <c r="K59" s="402"/>
      <c r="L59" s="402"/>
      <c r="M59" s="402"/>
      <c r="N59" s="402"/>
      <c r="O59" s="402"/>
      <c r="P59" s="402"/>
      <c r="Q59" s="402"/>
      <c r="R59" s="324"/>
      <c r="S59" s="329"/>
    </row>
    <row r="60" spans="1:19" s="192" customFormat="1" ht="16.2" x14ac:dyDescent="0.3">
      <c r="A60" s="191"/>
      <c r="B60" s="191"/>
      <c r="C60" s="403"/>
      <c r="D60" s="403"/>
      <c r="E60" s="404" t="s">
        <v>675</v>
      </c>
      <c r="F60" s="405"/>
      <c r="G60" s="333"/>
      <c r="H60" s="406"/>
      <c r="I60" s="407"/>
      <c r="J60" s="408"/>
      <c r="K60" s="335" t="s">
        <v>893</v>
      </c>
      <c r="L60" s="335"/>
      <c r="M60" s="335" t="s">
        <v>894</v>
      </c>
      <c r="N60" s="335" t="s">
        <v>896</v>
      </c>
      <c r="O60" s="335" t="s">
        <v>897</v>
      </c>
      <c r="P60" s="335" t="s">
        <v>895</v>
      </c>
      <c r="Q60" s="335" t="s">
        <v>898</v>
      </c>
      <c r="R60" s="324" t="s">
        <v>891</v>
      </c>
      <c r="S60" s="329" t="s">
        <v>892</v>
      </c>
    </row>
    <row r="61" spans="1:19" s="192" customFormat="1" x14ac:dyDescent="0.3">
      <c r="A61" s="191"/>
      <c r="B61" s="191"/>
      <c r="C61" s="324">
        <v>1550</v>
      </c>
      <c r="D61" s="324">
        <v>8005</v>
      </c>
      <c r="E61" s="365" t="s">
        <v>676</v>
      </c>
      <c r="F61" s="409">
        <v>350</v>
      </c>
      <c r="G61" s="350" t="s">
        <v>669</v>
      </c>
      <c r="H61" s="410">
        <v>40</v>
      </c>
      <c r="I61" s="411">
        <v>6</v>
      </c>
      <c r="J61" s="353" t="s">
        <v>620</v>
      </c>
      <c r="K61" s="354">
        <v>84000</v>
      </c>
      <c r="L61" s="354">
        <v>82445.960563411863</v>
      </c>
      <c r="M61" s="354"/>
      <c r="N61" s="354"/>
      <c r="O61" s="354">
        <v>84000</v>
      </c>
      <c r="P61" s="354"/>
      <c r="Q61" s="354"/>
      <c r="R61" s="324" t="s">
        <v>790</v>
      </c>
      <c r="S61" s="329" t="s">
        <v>540</v>
      </c>
    </row>
    <row r="62" spans="1:19" s="192" customFormat="1" x14ac:dyDescent="0.3">
      <c r="A62" s="191"/>
      <c r="B62" s="191"/>
      <c r="C62" s="412" t="s">
        <v>766</v>
      </c>
      <c r="D62" s="412"/>
      <c r="E62" s="413" t="s">
        <v>678</v>
      </c>
      <c r="F62" s="414">
        <v>350</v>
      </c>
      <c r="G62" s="333" t="s">
        <v>679</v>
      </c>
      <c r="H62" s="406">
        <v>5</v>
      </c>
      <c r="I62" s="407">
        <v>6</v>
      </c>
      <c r="J62" s="323" t="s">
        <v>620</v>
      </c>
      <c r="K62" s="335">
        <v>10500</v>
      </c>
      <c r="L62" s="335">
        <v>0</v>
      </c>
      <c r="M62" s="335">
        <v>10500</v>
      </c>
      <c r="N62" s="335"/>
      <c r="O62" s="335"/>
      <c r="P62" s="335"/>
      <c r="Q62" s="335"/>
      <c r="R62" s="324" t="s">
        <v>790</v>
      </c>
      <c r="S62" s="329" t="s">
        <v>544</v>
      </c>
    </row>
    <row r="63" spans="1:19" s="192" customFormat="1" ht="16.2" x14ac:dyDescent="0.3">
      <c r="A63" s="191"/>
      <c r="B63" s="191"/>
      <c r="C63" s="403"/>
      <c r="D63" s="403"/>
      <c r="E63" s="415" t="s">
        <v>680</v>
      </c>
      <c r="F63" s="366"/>
      <c r="G63" s="350"/>
      <c r="H63" s="410"/>
      <c r="I63" s="411"/>
      <c r="J63" s="416"/>
      <c r="K63" s="354"/>
      <c r="L63" s="354"/>
      <c r="M63" s="354"/>
      <c r="N63" s="354"/>
      <c r="O63" s="354"/>
      <c r="P63" s="354"/>
      <c r="Q63" s="354"/>
      <c r="R63" s="324"/>
      <c r="S63" s="329"/>
    </row>
    <row r="64" spans="1:19" s="192" customFormat="1" x14ac:dyDescent="0.3">
      <c r="A64" s="191"/>
      <c r="B64" s="191"/>
      <c r="C64" s="324">
        <v>1551</v>
      </c>
      <c r="D64" s="324">
        <v>8005</v>
      </c>
      <c r="E64" s="365" t="s">
        <v>681</v>
      </c>
      <c r="F64" s="409">
        <v>2000</v>
      </c>
      <c r="G64" s="350" t="s">
        <v>669</v>
      </c>
      <c r="H64" s="410">
        <v>2.5</v>
      </c>
      <c r="I64" s="411">
        <v>2</v>
      </c>
      <c r="J64" s="353" t="s">
        <v>620</v>
      </c>
      <c r="K64" s="354">
        <v>10000</v>
      </c>
      <c r="L64" s="354">
        <v>16223.141327652022</v>
      </c>
      <c r="M64" s="354"/>
      <c r="N64" s="354"/>
      <c r="O64" s="354">
        <v>10000</v>
      </c>
      <c r="P64" s="354"/>
      <c r="Q64" s="354"/>
      <c r="R64" s="324" t="s">
        <v>791</v>
      </c>
      <c r="S64" s="329" t="s">
        <v>541</v>
      </c>
    </row>
    <row r="65" spans="1:19" s="192" customFormat="1" x14ac:dyDescent="0.3">
      <c r="A65" s="191"/>
      <c r="B65" s="191"/>
      <c r="C65" s="324">
        <v>1552</v>
      </c>
      <c r="D65" s="324">
        <v>8005</v>
      </c>
      <c r="E65" s="365" t="s">
        <v>682</v>
      </c>
      <c r="F65" s="409">
        <v>2000</v>
      </c>
      <c r="G65" s="350" t="s">
        <v>669</v>
      </c>
      <c r="H65" s="410">
        <v>4</v>
      </c>
      <c r="I65" s="411">
        <v>1</v>
      </c>
      <c r="J65" s="353" t="s">
        <v>620</v>
      </c>
      <c r="K65" s="354">
        <v>8000</v>
      </c>
      <c r="L65" s="354">
        <v>3982.0791890248347</v>
      </c>
      <c r="M65" s="354"/>
      <c r="N65" s="354"/>
      <c r="O65" s="354">
        <v>8000</v>
      </c>
      <c r="P65" s="354"/>
      <c r="Q65" s="354"/>
      <c r="R65" s="324" t="s">
        <v>791</v>
      </c>
      <c r="S65" s="329" t="s">
        <v>541</v>
      </c>
    </row>
    <row r="66" spans="1:19" s="192" customFormat="1" x14ac:dyDescent="0.3">
      <c r="A66" s="191"/>
      <c r="B66" s="191"/>
      <c r="C66" s="324">
        <v>1553</v>
      </c>
      <c r="D66" s="324">
        <v>8005</v>
      </c>
      <c r="E66" s="365" t="s">
        <v>683</v>
      </c>
      <c r="F66" s="409">
        <v>1</v>
      </c>
      <c r="G66" s="350" t="s">
        <v>669</v>
      </c>
      <c r="H66" s="410">
        <v>600</v>
      </c>
      <c r="I66" s="411">
        <v>1</v>
      </c>
      <c r="J66" s="353" t="s">
        <v>620</v>
      </c>
      <c r="K66" s="354">
        <v>600</v>
      </c>
      <c r="L66" s="354">
        <v>999.34639426793649</v>
      </c>
      <c r="M66" s="354"/>
      <c r="N66" s="354"/>
      <c r="O66" s="354">
        <v>600</v>
      </c>
      <c r="P66" s="354"/>
      <c r="Q66" s="354"/>
      <c r="R66" s="324" t="s">
        <v>791</v>
      </c>
      <c r="S66" s="329" t="s">
        <v>541</v>
      </c>
    </row>
    <row r="67" spans="1:19" s="192" customFormat="1" x14ac:dyDescent="0.3">
      <c r="A67" s="191"/>
      <c r="B67" s="191"/>
      <c r="C67" s="324">
        <v>1554</v>
      </c>
      <c r="D67" s="324">
        <v>8005</v>
      </c>
      <c r="E67" s="365" t="s">
        <v>684</v>
      </c>
      <c r="F67" s="409">
        <v>1</v>
      </c>
      <c r="G67" s="350" t="s">
        <v>669</v>
      </c>
      <c r="H67" s="410">
        <v>300</v>
      </c>
      <c r="I67" s="411">
        <v>50</v>
      </c>
      <c r="J67" s="353" t="s">
        <v>620</v>
      </c>
      <c r="K67" s="354">
        <v>15000</v>
      </c>
      <c r="L67" s="354">
        <v>21945.468018842304</v>
      </c>
      <c r="M67" s="354"/>
      <c r="N67" s="354"/>
      <c r="O67" s="354">
        <v>15000</v>
      </c>
      <c r="P67" s="354"/>
      <c r="Q67" s="354"/>
      <c r="R67" s="324" t="s">
        <v>791</v>
      </c>
      <c r="S67" s="329" t="s">
        <v>540</v>
      </c>
    </row>
    <row r="68" spans="1:19" s="192" customFormat="1" x14ac:dyDescent="0.3">
      <c r="A68" s="191"/>
      <c r="B68" s="191"/>
      <c r="C68" s="324">
        <v>1555</v>
      </c>
      <c r="D68" s="324">
        <v>8005</v>
      </c>
      <c r="E68" s="365" t="s">
        <v>685</v>
      </c>
      <c r="F68" s="409">
        <v>1</v>
      </c>
      <c r="G68" s="350" t="s">
        <v>669</v>
      </c>
      <c r="H68" s="410">
        <v>120</v>
      </c>
      <c r="I68" s="411">
        <v>50</v>
      </c>
      <c r="J68" s="353" t="s">
        <v>620</v>
      </c>
      <c r="K68" s="354">
        <v>6000</v>
      </c>
      <c r="L68" s="354">
        <v>6095.7322137660849</v>
      </c>
      <c r="M68" s="354"/>
      <c r="N68" s="354"/>
      <c r="O68" s="354">
        <v>6000</v>
      </c>
      <c r="P68" s="354"/>
      <c r="Q68" s="354"/>
      <c r="R68" s="324" t="s">
        <v>791</v>
      </c>
      <c r="S68" s="329" t="s">
        <v>540</v>
      </c>
    </row>
    <row r="69" spans="1:19" s="192" customFormat="1" x14ac:dyDescent="0.3">
      <c r="A69" s="191"/>
      <c r="B69" s="191"/>
      <c r="C69" s="324">
        <v>1556</v>
      </c>
      <c r="D69" s="324">
        <v>8005</v>
      </c>
      <c r="E69" s="365" t="s">
        <v>686</v>
      </c>
      <c r="F69" s="409">
        <v>5</v>
      </c>
      <c r="G69" s="350" t="s">
        <v>669</v>
      </c>
      <c r="H69" s="410">
        <v>200</v>
      </c>
      <c r="I69" s="411">
        <v>1</v>
      </c>
      <c r="J69" s="353" t="s">
        <v>620</v>
      </c>
      <c r="K69" s="354">
        <v>1000</v>
      </c>
      <c r="L69" s="354">
        <v>1104.8008507305265</v>
      </c>
      <c r="M69" s="354"/>
      <c r="N69" s="354"/>
      <c r="O69" s="354">
        <v>1000</v>
      </c>
      <c r="P69" s="354"/>
      <c r="Q69" s="354"/>
      <c r="R69" s="324" t="s">
        <v>791</v>
      </c>
      <c r="S69" s="329" t="s">
        <v>540</v>
      </c>
    </row>
    <row r="70" spans="1:19" s="192" customFormat="1" x14ac:dyDescent="0.3">
      <c r="A70" s="191"/>
      <c r="B70" s="191"/>
      <c r="C70" s="324">
        <v>1557</v>
      </c>
      <c r="D70" s="324">
        <v>8005</v>
      </c>
      <c r="E70" s="365" t="s">
        <v>687</v>
      </c>
      <c r="F70" s="409">
        <v>50</v>
      </c>
      <c r="G70" s="350" t="s">
        <v>669</v>
      </c>
      <c r="H70" s="410">
        <v>40</v>
      </c>
      <c r="I70" s="411">
        <v>2</v>
      </c>
      <c r="J70" s="353" t="s">
        <v>620</v>
      </c>
      <c r="K70" s="354">
        <v>4000</v>
      </c>
      <c r="L70" s="354">
        <v>1009.0134489208206</v>
      </c>
      <c r="M70" s="354"/>
      <c r="N70" s="354"/>
      <c r="O70" s="354">
        <v>4000</v>
      </c>
      <c r="P70" s="354"/>
      <c r="Q70" s="354"/>
      <c r="R70" s="324" t="s">
        <v>791</v>
      </c>
      <c r="S70" s="329" t="s">
        <v>541</v>
      </c>
    </row>
    <row r="71" spans="1:19" x14ac:dyDescent="0.3">
      <c r="C71" s="324">
        <v>1558</v>
      </c>
      <c r="D71" s="330">
        <v>8006</v>
      </c>
      <c r="E71" s="367" t="s">
        <v>688</v>
      </c>
      <c r="F71" s="417">
        <v>20</v>
      </c>
      <c r="G71" s="418" t="s">
        <v>689</v>
      </c>
      <c r="H71" s="370">
        <v>300</v>
      </c>
      <c r="I71" s="419">
        <v>16</v>
      </c>
      <c r="J71" s="418" t="s">
        <v>620</v>
      </c>
      <c r="K71" s="372">
        <v>96000</v>
      </c>
      <c r="L71" s="372">
        <v>93067.101707372669</v>
      </c>
      <c r="M71" s="372"/>
      <c r="N71" s="372"/>
      <c r="O71" s="372"/>
      <c r="P71" s="372"/>
      <c r="Q71" s="372">
        <v>96000</v>
      </c>
      <c r="R71" s="322" t="s">
        <v>792</v>
      </c>
      <c r="S71" s="329" t="s">
        <v>540</v>
      </c>
    </row>
    <row r="72" spans="1:19" x14ac:dyDescent="0.3">
      <c r="C72" s="324">
        <v>1559</v>
      </c>
      <c r="D72" s="330">
        <v>8006</v>
      </c>
      <c r="E72" s="367" t="s">
        <v>690</v>
      </c>
      <c r="F72" s="417">
        <v>1</v>
      </c>
      <c r="G72" s="418" t="s">
        <v>691</v>
      </c>
      <c r="H72" s="370">
        <v>400</v>
      </c>
      <c r="I72" s="419">
        <v>16</v>
      </c>
      <c r="J72" s="418" t="s">
        <v>620</v>
      </c>
      <c r="K72" s="372">
        <v>6400</v>
      </c>
      <c r="L72" s="372">
        <v>6078.4869285191689</v>
      </c>
      <c r="M72" s="372"/>
      <c r="N72" s="372"/>
      <c r="O72" s="372"/>
      <c r="P72" s="372"/>
      <c r="Q72" s="372">
        <v>6400</v>
      </c>
      <c r="R72" s="322" t="s">
        <v>792</v>
      </c>
      <c r="S72" s="329" t="s">
        <v>544</v>
      </c>
    </row>
    <row r="73" spans="1:19" x14ac:dyDescent="0.3">
      <c r="C73" s="324">
        <v>1560</v>
      </c>
      <c r="D73" s="330">
        <v>8006</v>
      </c>
      <c r="E73" s="367" t="s">
        <v>692</v>
      </c>
      <c r="F73" s="417">
        <v>1</v>
      </c>
      <c r="G73" s="418" t="s">
        <v>691</v>
      </c>
      <c r="H73" s="370">
        <v>400</v>
      </c>
      <c r="I73" s="419">
        <v>16</v>
      </c>
      <c r="J73" s="418" t="s">
        <v>620</v>
      </c>
      <c r="K73" s="372">
        <v>6400</v>
      </c>
      <c r="L73" s="372">
        <v>6078.4869285191689</v>
      </c>
      <c r="M73" s="372"/>
      <c r="N73" s="372"/>
      <c r="O73" s="372"/>
      <c r="P73" s="372"/>
      <c r="Q73" s="372">
        <v>6400</v>
      </c>
      <c r="R73" s="322" t="s">
        <v>792</v>
      </c>
      <c r="S73" s="329" t="s">
        <v>541</v>
      </c>
    </row>
    <row r="74" spans="1:19" s="192" customFormat="1" ht="15.75" customHeight="1" x14ac:dyDescent="0.3">
      <c r="A74" s="191"/>
      <c r="B74" s="191"/>
      <c r="C74" s="420" t="s">
        <v>769</v>
      </c>
      <c r="D74" s="330"/>
      <c r="E74" s="331" t="s">
        <v>693</v>
      </c>
      <c r="F74" s="421">
        <v>1</v>
      </c>
      <c r="G74" s="333" t="s">
        <v>694</v>
      </c>
      <c r="H74" s="334">
        <v>416.5</v>
      </c>
      <c r="I74" s="330">
        <v>10</v>
      </c>
      <c r="J74" s="331" t="s">
        <v>620</v>
      </c>
      <c r="K74" s="335">
        <v>482.59220203085351</v>
      </c>
      <c r="L74" s="335">
        <v>482.59220203085403</v>
      </c>
      <c r="M74" s="335">
        <v>482.59220203085351</v>
      </c>
      <c r="N74" s="335"/>
      <c r="O74" s="335"/>
      <c r="P74" s="335"/>
      <c r="Q74" s="335"/>
      <c r="R74" s="322" t="s">
        <v>792</v>
      </c>
      <c r="S74" s="329" t="s">
        <v>540</v>
      </c>
    </row>
    <row r="75" spans="1:19" s="192" customFormat="1" x14ac:dyDescent="0.3">
      <c r="A75" s="191"/>
      <c r="B75" s="191"/>
      <c r="C75" s="403"/>
      <c r="D75" s="403"/>
      <c r="E75" s="422" t="s">
        <v>695</v>
      </c>
      <c r="F75" s="324"/>
      <c r="G75" s="329"/>
      <c r="H75" s="423"/>
      <c r="I75" s="324"/>
      <c r="J75" s="329"/>
      <c r="K75" s="335"/>
      <c r="L75" s="335"/>
      <c r="M75" s="335"/>
      <c r="N75" s="335"/>
      <c r="O75" s="335"/>
      <c r="P75" s="335"/>
      <c r="Q75" s="335"/>
      <c r="R75" s="324"/>
      <c r="S75" s="329"/>
    </row>
    <row r="76" spans="1:19" s="192" customFormat="1" ht="16.2" x14ac:dyDescent="0.3">
      <c r="A76" s="191"/>
      <c r="B76" s="191"/>
      <c r="C76" s="324"/>
      <c r="D76" s="403"/>
      <c r="E76" s="404" t="s">
        <v>696</v>
      </c>
      <c r="F76" s="414"/>
      <c r="G76" s="333"/>
      <c r="H76" s="406"/>
      <c r="I76" s="407"/>
      <c r="J76" s="323"/>
      <c r="K76" s="335"/>
      <c r="L76" s="335"/>
      <c r="M76" s="335"/>
      <c r="N76" s="335"/>
      <c r="O76" s="335"/>
      <c r="P76" s="335"/>
      <c r="Q76" s="335"/>
      <c r="R76" s="324"/>
      <c r="S76" s="329"/>
    </row>
    <row r="77" spans="1:19" s="192" customFormat="1" x14ac:dyDescent="0.3">
      <c r="A77" s="191"/>
      <c r="B77" s="191"/>
      <c r="C77" s="324">
        <v>1525</v>
      </c>
      <c r="D77" s="324">
        <v>8005</v>
      </c>
      <c r="E77" s="365" t="s">
        <v>697</v>
      </c>
      <c r="F77" s="409">
        <v>23</v>
      </c>
      <c r="G77" s="350" t="s">
        <v>669</v>
      </c>
      <c r="H77" s="410">
        <v>15</v>
      </c>
      <c r="I77" s="411">
        <v>12</v>
      </c>
      <c r="J77" s="353" t="s">
        <v>620</v>
      </c>
      <c r="K77" s="354">
        <v>4140</v>
      </c>
      <c r="L77" s="354">
        <v>5003.3236246024944</v>
      </c>
      <c r="M77" s="354"/>
      <c r="N77" s="354"/>
      <c r="O77" s="354">
        <v>4140</v>
      </c>
      <c r="P77" s="354"/>
      <c r="Q77" s="354"/>
      <c r="R77" s="324" t="s">
        <v>793</v>
      </c>
      <c r="S77" s="329" t="s">
        <v>541</v>
      </c>
    </row>
    <row r="78" spans="1:19" s="192" customFormat="1" x14ac:dyDescent="0.3">
      <c r="A78" s="191"/>
      <c r="B78" s="191"/>
      <c r="C78" s="324">
        <v>1526</v>
      </c>
      <c r="D78" s="324">
        <v>8005</v>
      </c>
      <c r="E78" s="365" t="s">
        <v>698</v>
      </c>
      <c r="F78" s="409">
        <v>23</v>
      </c>
      <c r="G78" s="350" t="s">
        <v>669</v>
      </c>
      <c r="H78" s="410">
        <v>4</v>
      </c>
      <c r="I78" s="411">
        <v>1</v>
      </c>
      <c r="J78" s="353" t="s">
        <v>620</v>
      </c>
      <c r="K78" s="354">
        <v>92</v>
      </c>
      <c r="L78" s="354">
        <v>63.362521349385261</v>
      </c>
      <c r="M78" s="354"/>
      <c r="N78" s="354"/>
      <c r="O78" s="354">
        <v>92</v>
      </c>
      <c r="P78" s="354"/>
      <c r="Q78" s="354"/>
      <c r="R78" s="324" t="s">
        <v>793</v>
      </c>
      <c r="S78" s="329" t="s">
        <v>541</v>
      </c>
    </row>
    <row r="79" spans="1:19" s="192" customFormat="1" x14ac:dyDescent="0.3">
      <c r="A79" s="191"/>
      <c r="B79" s="191"/>
      <c r="C79" s="324">
        <v>1527</v>
      </c>
      <c r="D79" s="324">
        <v>8005</v>
      </c>
      <c r="E79" s="365" t="s">
        <v>699</v>
      </c>
      <c r="F79" s="409">
        <v>1</v>
      </c>
      <c r="G79" s="350" t="s">
        <v>669</v>
      </c>
      <c r="H79" s="410">
        <v>50</v>
      </c>
      <c r="I79" s="411">
        <v>1</v>
      </c>
      <c r="J79" s="353" t="s">
        <v>620</v>
      </c>
      <c r="K79" s="354">
        <v>50</v>
      </c>
      <c r="L79" s="354">
        <v>391.36544412226601</v>
      </c>
      <c r="M79" s="354"/>
      <c r="N79" s="354"/>
      <c r="O79" s="354">
        <v>50</v>
      </c>
      <c r="P79" s="354"/>
      <c r="Q79" s="354"/>
      <c r="R79" s="324" t="s">
        <v>793</v>
      </c>
      <c r="S79" s="329" t="s">
        <v>541</v>
      </c>
    </row>
    <row r="80" spans="1:19" s="192" customFormat="1" x14ac:dyDescent="0.3">
      <c r="A80" s="191"/>
      <c r="B80" s="191"/>
      <c r="C80" s="324">
        <v>1528</v>
      </c>
      <c r="D80" s="324">
        <v>8005</v>
      </c>
      <c r="E80" s="365" t="s">
        <v>700</v>
      </c>
      <c r="F80" s="409">
        <v>1</v>
      </c>
      <c r="G80" s="350" t="s">
        <v>669</v>
      </c>
      <c r="H80" s="410">
        <v>350</v>
      </c>
      <c r="I80" s="411">
        <v>12</v>
      </c>
      <c r="J80" s="353" t="s">
        <v>620</v>
      </c>
      <c r="K80" s="354">
        <v>4200</v>
      </c>
      <c r="L80" s="354">
        <v>3651.0260714360875</v>
      </c>
      <c r="M80" s="354"/>
      <c r="N80" s="354"/>
      <c r="O80" s="354">
        <v>4200</v>
      </c>
      <c r="P80" s="354"/>
      <c r="Q80" s="354"/>
      <c r="R80" s="324" t="s">
        <v>793</v>
      </c>
      <c r="S80" s="329" t="s">
        <v>540</v>
      </c>
    </row>
    <row r="81" spans="1:19" s="192" customFormat="1" x14ac:dyDescent="0.3">
      <c r="A81" s="191"/>
      <c r="B81" s="191"/>
      <c r="C81" s="324">
        <v>1529</v>
      </c>
      <c r="D81" s="324">
        <v>8005</v>
      </c>
      <c r="E81" s="365" t="s">
        <v>701</v>
      </c>
      <c r="F81" s="409">
        <v>1</v>
      </c>
      <c r="G81" s="350" t="s">
        <v>691</v>
      </c>
      <c r="H81" s="410">
        <v>1600</v>
      </c>
      <c r="I81" s="411">
        <v>1</v>
      </c>
      <c r="J81" s="353" t="s">
        <v>620</v>
      </c>
      <c r="K81" s="354">
        <v>1600</v>
      </c>
      <c r="L81" s="354">
        <v>1189.1504076223891</v>
      </c>
      <c r="M81" s="354"/>
      <c r="N81" s="354"/>
      <c r="O81" s="354">
        <v>1600</v>
      </c>
      <c r="P81" s="354"/>
      <c r="Q81" s="354"/>
      <c r="R81" s="324" t="s">
        <v>793</v>
      </c>
      <c r="S81" s="329" t="s">
        <v>541</v>
      </c>
    </row>
    <row r="82" spans="1:19" s="192" customFormat="1" x14ac:dyDescent="0.3">
      <c r="A82" s="191"/>
      <c r="B82" s="191"/>
      <c r="C82" s="324">
        <v>1530</v>
      </c>
      <c r="D82" s="324">
        <v>8005</v>
      </c>
      <c r="E82" s="365" t="s">
        <v>702</v>
      </c>
      <c r="F82" s="409">
        <v>1</v>
      </c>
      <c r="G82" s="350" t="s">
        <v>669</v>
      </c>
      <c r="H82" s="410">
        <v>200</v>
      </c>
      <c r="I82" s="411">
        <v>12</v>
      </c>
      <c r="J82" s="353" t="s">
        <v>620</v>
      </c>
      <c r="K82" s="354">
        <v>2400</v>
      </c>
      <c r="L82" s="354">
        <v>0</v>
      </c>
      <c r="M82" s="354"/>
      <c r="N82" s="354"/>
      <c r="O82" s="354">
        <v>2400</v>
      </c>
      <c r="P82" s="354"/>
      <c r="Q82" s="354"/>
      <c r="R82" s="324" t="s">
        <v>793</v>
      </c>
      <c r="S82" s="329" t="s">
        <v>541</v>
      </c>
    </row>
    <row r="83" spans="1:19" s="192" customFormat="1" ht="16.2" x14ac:dyDescent="0.3">
      <c r="A83" s="191"/>
      <c r="B83" s="191"/>
      <c r="C83" s="324"/>
      <c r="D83" s="403"/>
      <c r="E83" s="404" t="s">
        <v>703</v>
      </c>
      <c r="F83" s="414"/>
      <c r="G83" s="333"/>
      <c r="H83" s="406"/>
      <c r="I83" s="407"/>
      <c r="J83" s="323"/>
      <c r="K83" s="335"/>
      <c r="L83" s="335"/>
      <c r="M83" s="335"/>
      <c r="N83" s="335"/>
      <c r="O83" s="335"/>
      <c r="P83" s="335"/>
      <c r="Q83" s="335"/>
      <c r="R83" s="324"/>
      <c r="S83" s="329"/>
    </row>
    <row r="84" spans="1:19" s="192" customFormat="1" x14ac:dyDescent="0.3">
      <c r="A84" s="191"/>
      <c r="B84" s="191"/>
      <c r="C84" s="324">
        <v>1531</v>
      </c>
      <c r="D84" s="324">
        <v>8005</v>
      </c>
      <c r="E84" s="365" t="s">
        <v>704</v>
      </c>
      <c r="F84" s="409">
        <v>80</v>
      </c>
      <c r="G84" s="350" t="s">
        <v>669</v>
      </c>
      <c r="H84" s="410">
        <v>15</v>
      </c>
      <c r="I84" s="411">
        <v>5</v>
      </c>
      <c r="J84" s="353" t="s">
        <v>620</v>
      </c>
      <c r="K84" s="354">
        <v>6000</v>
      </c>
      <c r="L84" s="354">
        <v>0</v>
      </c>
      <c r="M84" s="354"/>
      <c r="N84" s="354"/>
      <c r="O84" s="354">
        <v>6000</v>
      </c>
      <c r="P84" s="354"/>
      <c r="Q84" s="354"/>
      <c r="R84" s="324" t="s">
        <v>794</v>
      </c>
      <c r="S84" s="329" t="s">
        <v>541</v>
      </c>
    </row>
    <row r="85" spans="1:19" s="192" customFormat="1" x14ac:dyDescent="0.3">
      <c r="A85" s="191"/>
      <c r="B85" s="191"/>
      <c r="C85" s="324">
        <v>1532</v>
      </c>
      <c r="D85" s="324">
        <v>8005</v>
      </c>
      <c r="E85" s="365" t="s">
        <v>705</v>
      </c>
      <c r="F85" s="409">
        <v>80</v>
      </c>
      <c r="G85" s="350" t="s">
        <v>669</v>
      </c>
      <c r="H85" s="410">
        <v>4</v>
      </c>
      <c r="I85" s="411">
        <v>1</v>
      </c>
      <c r="J85" s="353" t="s">
        <v>620</v>
      </c>
      <c r="K85" s="354">
        <v>320</v>
      </c>
      <c r="L85" s="354">
        <v>291.15577705440938</v>
      </c>
      <c r="M85" s="354"/>
      <c r="N85" s="354"/>
      <c r="O85" s="354">
        <v>320</v>
      </c>
      <c r="P85" s="354"/>
      <c r="Q85" s="354"/>
      <c r="R85" s="324" t="s">
        <v>794</v>
      </c>
      <c r="S85" s="329" t="s">
        <v>541</v>
      </c>
    </row>
    <row r="86" spans="1:19" s="192" customFormat="1" x14ac:dyDescent="0.3">
      <c r="A86" s="191"/>
      <c r="B86" s="191"/>
      <c r="C86" s="324">
        <v>1533</v>
      </c>
      <c r="D86" s="324">
        <v>8005</v>
      </c>
      <c r="E86" s="365" t="s">
        <v>706</v>
      </c>
      <c r="F86" s="409">
        <v>1</v>
      </c>
      <c r="G86" s="350" t="s">
        <v>669</v>
      </c>
      <c r="H86" s="410">
        <v>100</v>
      </c>
      <c r="I86" s="411">
        <v>1</v>
      </c>
      <c r="J86" s="353" t="s">
        <v>620</v>
      </c>
      <c r="K86" s="354">
        <v>100</v>
      </c>
      <c r="L86" s="354">
        <v>296.19969707624949</v>
      </c>
      <c r="M86" s="354"/>
      <c r="N86" s="354"/>
      <c r="O86" s="354">
        <v>100</v>
      </c>
      <c r="P86" s="354"/>
      <c r="Q86" s="354"/>
      <c r="R86" s="324" t="s">
        <v>794</v>
      </c>
      <c r="S86" s="329" t="s">
        <v>541</v>
      </c>
    </row>
    <row r="87" spans="1:19" s="192" customFormat="1" x14ac:dyDescent="0.3">
      <c r="A87" s="191"/>
      <c r="B87" s="191"/>
      <c r="C87" s="324">
        <v>1534</v>
      </c>
      <c r="D87" s="324">
        <v>8005</v>
      </c>
      <c r="E87" s="365" t="s">
        <v>707</v>
      </c>
      <c r="F87" s="409">
        <v>1</v>
      </c>
      <c r="G87" s="350" t="s">
        <v>669</v>
      </c>
      <c r="H87" s="410">
        <v>350</v>
      </c>
      <c r="I87" s="411">
        <v>20</v>
      </c>
      <c r="J87" s="353" t="s">
        <v>620</v>
      </c>
      <c r="K87" s="354">
        <v>7000</v>
      </c>
      <c r="L87" s="354">
        <v>7424.5296475937757</v>
      </c>
      <c r="M87" s="354"/>
      <c r="N87" s="354"/>
      <c r="O87" s="354">
        <v>7000</v>
      </c>
      <c r="P87" s="354"/>
      <c r="Q87" s="354"/>
      <c r="R87" s="324" t="s">
        <v>794</v>
      </c>
      <c r="S87" s="329" t="s">
        <v>540</v>
      </c>
    </row>
    <row r="88" spans="1:19" s="192" customFormat="1" x14ac:dyDescent="0.3">
      <c r="A88" s="191"/>
      <c r="B88" s="191"/>
      <c r="C88" s="324">
        <v>1535</v>
      </c>
      <c r="D88" s="324">
        <v>8005</v>
      </c>
      <c r="E88" s="365" t="s">
        <v>708</v>
      </c>
      <c r="F88" s="409">
        <v>2</v>
      </c>
      <c r="G88" s="350" t="s">
        <v>669</v>
      </c>
      <c r="H88" s="410">
        <v>200</v>
      </c>
      <c r="I88" s="411">
        <v>1</v>
      </c>
      <c r="J88" s="353" t="s">
        <v>620</v>
      </c>
      <c r="K88" s="354">
        <v>400</v>
      </c>
      <c r="L88" s="354">
        <v>400.00000000000006</v>
      </c>
      <c r="M88" s="354"/>
      <c r="N88" s="354"/>
      <c r="O88" s="354">
        <v>400</v>
      </c>
      <c r="P88" s="354"/>
      <c r="Q88" s="354"/>
      <c r="R88" s="324" t="s">
        <v>794</v>
      </c>
      <c r="S88" s="329" t="s">
        <v>540</v>
      </c>
    </row>
    <row r="89" spans="1:19" s="192" customFormat="1" x14ac:dyDescent="0.3">
      <c r="A89" s="191"/>
      <c r="B89" s="191"/>
      <c r="C89" s="324">
        <v>1536</v>
      </c>
      <c r="D89" s="324">
        <v>8005</v>
      </c>
      <c r="E89" s="365" t="s">
        <v>709</v>
      </c>
      <c r="F89" s="409">
        <v>1</v>
      </c>
      <c r="G89" s="350" t="s">
        <v>669</v>
      </c>
      <c r="H89" s="410">
        <v>40</v>
      </c>
      <c r="I89" s="411">
        <v>20</v>
      </c>
      <c r="J89" s="353" t="s">
        <v>620</v>
      </c>
      <c r="K89" s="354">
        <v>800</v>
      </c>
      <c r="L89" s="354">
        <v>650</v>
      </c>
      <c r="M89" s="354"/>
      <c r="N89" s="354"/>
      <c r="O89" s="354">
        <v>800</v>
      </c>
      <c r="P89" s="354"/>
      <c r="Q89" s="354"/>
      <c r="R89" s="324" t="s">
        <v>794</v>
      </c>
      <c r="S89" s="329" t="s">
        <v>541</v>
      </c>
    </row>
    <row r="90" spans="1:19" s="192" customFormat="1" x14ac:dyDescent="0.3">
      <c r="A90" s="191"/>
      <c r="B90" s="191"/>
      <c r="C90" s="412" t="s">
        <v>760</v>
      </c>
      <c r="D90" s="424"/>
      <c r="E90" s="336" t="s">
        <v>711</v>
      </c>
      <c r="F90" s="324">
        <v>1</v>
      </c>
      <c r="G90" s="329" t="s">
        <v>679</v>
      </c>
      <c r="H90" s="423">
        <v>25000</v>
      </c>
      <c r="I90" s="324">
        <v>1</v>
      </c>
      <c r="J90" s="329" t="s">
        <v>620</v>
      </c>
      <c r="K90" s="335">
        <v>25000</v>
      </c>
      <c r="L90" s="335">
        <v>4239.6231370829582</v>
      </c>
      <c r="M90" s="335">
        <f>K90</f>
        <v>25000</v>
      </c>
      <c r="N90" s="335"/>
      <c r="O90" s="335"/>
      <c r="P90" s="335"/>
      <c r="Q90" s="335"/>
      <c r="R90" s="324" t="s">
        <v>795</v>
      </c>
      <c r="S90" s="329" t="s">
        <v>545</v>
      </c>
    </row>
    <row r="91" spans="1:19" s="192" customFormat="1" x14ac:dyDescent="0.3">
      <c r="A91" s="191"/>
      <c r="B91" s="191"/>
      <c r="C91" s="412" t="s">
        <v>677</v>
      </c>
      <c r="D91" s="403"/>
      <c r="E91" s="336" t="s">
        <v>712</v>
      </c>
      <c r="F91" s="324">
        <v>1</v>
      </c>
      <c r="G91" s="329" t="s">
        <v>679</v>
      </c>
      <c r="H91" s="423">
        <v>1000</v>
      </c>
      <c r="I91" s="324">
        <v>1</v>
      </c>
      <c r="J91" s="329" t="s">
        <v>620</v>
      </c>
      <c r="K91" s="335">
        <v>1000</v>
      </c>
      <c r="L91" s="335">
        <v>0</v>
      </c>
      <c r="M91" s="335">
        <f t="shared" ref="M91:M93" si="10">K91</f>
        <v>1000</v>
      </c>
      <c r="N91" s="335"/>
      <c r="O91" s="335"/>
      <c r="P91" s="335"/>
      <c r="Q91" s="335"/>
      <c r="R91" s="324" t="s">
        <v>796</v>
      </c>
      <c r="S91" s="329" t="s">
        <v>541</v>
      </c>
    </row>
    <row r="92" spans="1:19" s="192" customFormat="1" x14ac:dyDescent="0.3">
      <c r="A92" s="191"/>
      <c r="B92" s="191"/>
      <c r="C92" s="412" t="s">
        <v>710</v>
      </c>
      <c r="D92" s="403"/>
      <c r="E92" s="336" t="s">
        <v>713</v>
      </c>
      <c r="F92" s="324">
        <v>1</v>
      </c>
      <c r="G92" s="329" t="s">
        <v>679</v>
      </c>
      <c r="H92" s="423">
        <v>20000</v>
      </c>
      <c r="I92" s="324">
        <v>1</v>
      </c>
      <c r="J92" s="329" t="s">
        <v>620</v>
      </c>
      <c r="K92" s="335">
        <v>20000</v>
      </c>
      <c r="L92" s="335">
        <v>16000</v>
      </c>
      <c r="M92" s="335">
        <f t="shared" si="10"/>
        <v>20000</v>
      </c>
      <c r="N92" s="335"/>
      <c r="O92" s="335"/>
      <c r="P92" s="335"/>
      <c r="Q92" s="335"/>
      <c r="R92" s="324" t="s">
        <v>797</v>
      </c>
      <c r="S92" s="329" t="s">
        <v>543</v>
      </c>
    </row>
    <row r="93" spans="1:19" s="192" customFormat="1" ht="15.75" customHeight="1" x14ac:dyDescent="0.3">
      <c r="A93" s="191"/>
      <c r="B93" s="191"/>
      <c r="C93" s="412" t="s">
        <v>726</v>
      </c>
      <c r="D93" s="330"/>
      <c r="E93" s="331" t="s">
        <v>714</v>
      </c>
      <c r="F93" s="421">
        <v>1</v>
      </c>
      <c r="G93" s="333" t="s">
        <v>679</v>
      </c>
      <c r="H93" s="334">
        <v>4000</v>
      </c>
      <c r="I93" s="330">
        <v>1</v>
      </c>
      <c r="J93" s="331" t="s">
        <v>620</v>
      </c>
      <c r="K93" s="335">
        <v>4000</v>
      </c>
      <c r="L93" s="335">
        <v>2651.4930802594522</v>
      </c>
      <c r="M93" s="335">
        <f t="shared" si="10"/>
        <v>4000</v>
      </c>
      <c r="N93" s="335"/>
      <c r="O93" s="335"/>
      <c r="P93" s="335"/>
      <c r="Q93" s="335"/>
      <c r="R93" s="324" t="s">
        <v>797</v>
      </c>
      <c r="S93" s="329" t="s">
        <v>541</v>
      </c>
    </row>
    <row r="94" spans="1:19" s="192" customFormat="1" x14ac:dyDescent="0.3">
      <c r="A94" s="191"/>
      <c r="B94" s="191"/>
      <c r="C94" s="412" t="s">
        <v>908</v>
      </c>
      <c r="D94" s="403"/>
      <c r="E94" s="336" t="s">
        <v>715</v>
      </c>
      <c r="F94" s="324">
        <v>1</v>
      </c>
      <c r="G94" s="329" t="s">
        <v>679</v>
      </c>
      <c r="H94" s="423">
        <v>2000</v>
      </c>
      <c r="I94" s="324">
        <v>1</v>
      </c>
      <c r="J94" s="329" t="s">
        <v>620</v>
      </c>
      <c r="K94" s="335">
        <v>2828.6555909039871</v>
      </c>
      <c r="L94" s="335">
        <v>2328.6555909039871</v>
      </c>
      <c r="M94" s="335">
        <f>K94</f>
        <v>2828.6555909039871</v>
      </c>
      <c r="N94" s="335"/>
      <c r="O94" s="335"/>
      <c r="P94" s="335"/>
      <c r="Q94" s="335"/>
      <c r="R94" s="324" t="s">
        <v>798</v>
      </c>
      <c r="S94" s="329" t="s">
        <v>543</v>
      </c>
    </row>
    <row r="95" spans="1:19" s="192" customFormat="1" x14ac:dyDescent="0.3">
      <c r="A95" s="191"/>
      <c r="B95" s="191"/>
      <c r="C95" s="425"/>
      <c r="D95" s="425"/>
      <c r="E95" s="426" t="s">
        <v>716</v>
      </c>
      <c r="F95" s="425"/>
      <c r="G95" s="427"/>
      <c r="H95" s="428"/>
      <c r="I95" s="425"/>
      <c r="J95" s="427"/>
      <c r="K95" s="400">
        <f>SUBTOTAL(9,K96:K125)</f>
        <v>317290.35379876633</v>
      </c>
      <c r="L95" s="400">
        <f>SUBTOTAL(9,L96:L125)</f>
        <v>91948.252409927198</v>
      </c>
      <c r="M95" s="400">
        <f t="shared" ref="M95:Q95" si="11">SUBTOTAL(9,M96:M125)</f>
        <v>62315.358269129159</v>
      </c>
      <c r="N95" s="400">
        <f t="shared" si="11"/>
        <v>54975</v>
      </c>
      <c r="O95" s="400">
        <f t="shared" si="11"/>
        <v>0</v>
      </c>
      <c r="P95" s="400">
        <f t="shared" si="11"/>
        <v>200000</v>
      </c>
      <c r="Q95" s="400">
        <f t="shared" si="11"/>
        <v>0</v>
      </c>
      <c r="R95" s="324"/>
      <c r="S95" s="329"/>
    </row>
    <row r="96" spans="1:19" s="192" customFormat="1" x14ac:dyDescent="0.3">
      <c r="A96" s="191"/>
      <c r="B96" s="191"/>
      <c r="C96" s="324"/>
      <c r="D96" s="324"/>
      <c r="E96" s="422" t="s">
        <v>717</v>
      </c>
      <c r="F96" s="324"/>
      <c r="G96" s="329"/>
      <c r="H96" s="423"/>
      <c r="I96" s="324"/>
      <c r="J96" s="329"/>
      <c r="K96" s="402"/>
      <c r="L96" s="402"/>
      <c r="M96" s="402"/>
      <c r="N96" s="402"/>
      <c r="O96" s="402"/>
      <c r="P96" s="402"/>
      <c r="Q96" s="402"/>
      <c r="R96" s="324"/>
      <c r="S96" s="329"/>
    </row>
    <row r="97" spans="1:19" s="192" customFormat="1" x14ac:dyDescent="0.3">
      <c r="A97" s="191"/>
      <c r="B97" s="191"/>
      <c r="C97" s="412" t="s">
        <v>909</v>
      </c>
      <c r="D97" s="324"/>
      <c r="E97" s="336" t="s">
        <v>718</v>
      </c>
      <c r="F97" s="324">
        <v>1</v>
      </c>
      <c r="G97" s="329" t="s">
        <v>679</v>
      </c>
      <c r="H97" s="423">
        <v>10000</v>
      </c>
      <c r="I97" s="324">
        <v>1</v>
      </c>
      <c r="J97" s="329" t="s">
        <v>620</v>
      </c>
      <c r="K97" s="335">
        <v>10000</v>
      </c>
      <c r="L97" s="335">
        <v>18496.090596280676</v>
      </c>
      <c r="M97" s="335">
        <v>10000</v>
      </c>
      <c r="N97" s="335"/>
      <c r="O97" s="335"/>
      <c r="P97" s="335"/>
      <c r="Q97" s="335"/>
      <c r="R97" s="324" t="s">
        <v>799</v>
      </c>
      <c r="S97" s="329" t="s">
        <v>541</v>
      </c>
    </row>
    <row r="98" spans="1:19" s="192" customFormat="1" ht="16.2" x14ac:dyDescent="0.3">
      <c r="A98" s="191"/>
      <c r="B98" s="191"/>
      <c r="C98" s="403"/>
      <c r="D98" s="403"/>
      <c r="E98" s="404" t="s">
        <v>719</v>
      </c>
      <c r="F98" s="429"/>
      <c r="G98" s="333"/>
      <c r="H98" s="430"/>
      <c r="I98" s="322"/>
      <c r="J98" s="323"/>
      <c r="K98" s="335"/>
      <c r="L98" s="335"/>
      <c r="M98" s="335"/>
      <c r="N98" s="335"/>
      <c r="O98" s="335"/>
      <c r="P98" s="335"/>
      <c r="Q98" s="335"/>
      <c r="R98" s="324"/>
      <c r="S98" s="329"/>
    </row>
    <row r="99" spans="1:19" s="192" customFormat="1" x14ac:dyDescent="0.3">
      <c r="A99" s="191"/>
      <c r="B99" s="191"/>
      <c r="C99" s="324">
        <v>1537</v>
      </c>
      <c r="D99" s="324">
        <v>8005</v>
      </c>
      <c r="E99" s="389" t="s">
        <v>720</v>
      </c>
      <c r="F99" s="431">
        <v>120</v>
      </c>
      <c r="G99" s="357" t="s">
        <v>669</v>
      </c>
      <c r="H99" s="432">
        <v>2.5</v>
      </c>
      <c r="I99" s="359">
        <v>4</v>
      </c>
      <c r="J99" s="360" t="s">
        <v>620</v>
      </c>
      <c r="K99" s="361">
        <v>1200</v>
      </c>
      <c r="L99" s="361">
        <v>826.23567029359083</v>
      </c>
      <c r="M99" s="361"/>
      <c r="N99" s="361">
        <v>1200</v>
      </c>
      <c r="O99" s="361"/>
      <c r="P99" s="361"/>
      <c r="Q99" s="361"/>
      <c r="R99" s="324" t="s">
        <v>800</v>
      </c>
      <c r="S99" s="329" t="s">
        <v>541</v>
      </c>
    </row>
    <row r="100" spans="1:19" s="192" customFormat="1" x14ac:dyDescent="0.3">
      <c r="A100" s="191"/>
      <c r="B100" s="191"/>
      <c r="C100" s="324">
        <v>1538</v>
      </c>
      <c r="D100" s="324">
        <v>8005</v>
      </c>
      <c r="E100" s="389" t="s">
        <v>721</v>
      </c>
      <c r="F100" s="431">
        <v>120</v>
      </c>
      <c r="G100" s="357" t="s">
        <v>669</v>
      </c>
      <c r="H100" s="432">
        <v>4</v>
      </c>
      <c r="I100" s="359">
        <v>1</v>
      </c>
      <c r="J100" s="360" t="s">
        <v>620</v>
      </c>
      <c r="K100" s="361">
        <v>480</v>
      </c>
      <c r="L100" s="361">
        <v>0</v>
      </c>
      <c r="M100" s="361"/>
      <c r="N100" s="361">
        <v>480</v>
      </c>
      <c r="O100" s="361"/>
      <c r="P100" s="361"/>
      <c r="Q100" s="361"/>
      <c r="R100" s="324" t="s">
        <v>800</v>
      </c>
      <c r="S100" s="329" t="s">
        <v>541</v>
      </c>
    </row>
    <row r="101" spans="1:19" s="192" customFormat="1" x14ac:dyDescent="0.3">
      <c r="A101" s="191"/>
      <c r="B101" s="191"/>
      <c r="C101" s="324">
        <v>1539</v>
      </c>
      <c r="D101" s="324">
        <v>8005</v>
      </c>
      <c r="E101" s="389" t="s">
        <v>722</v>
      </c>
      <c r="F101" s="431">
        <v>1</v>
      </c>
      <c r="G101" s="357" t="s">
        <v>679</v>
      </c>
      <c r="H101" s="432">
        <v>60</v>
      </c>
      <c r="I101" s="359">
        <v>1</v>
      </c>
      <c r="J101" s="360" t="s">
        <v>620</v>
      </c>
      <c r="K101" s="361">
        <v>60</v>
      </c>
      <c r="L101" s="361">
        <v>0</v>
      </c>
      <c r="M101" s="361"/>
      <c r="N101" s="361">
        <v>60</v>
      </c>
      <c r="O101" s="361"/>
      <c r="P101" s="361"/>
      <c r="Q101" s="361"/>
      <c r="R101" s="324" t="s">
        <v>800</v>
      </c>
      <c r="S101" s="329" t="s">
        <v>541</v>
      </c>
    </row>
    <row r="102" spans="1:19" s="192" customFormat="1" x14ac:dyDescent="0.3">
      <c r="A102" s="191"/>
      <c r="B102" s="191"/>
      <c r="C102" s="324">
        <v>1540</v>
      </c>
      <c r="D102" s="324">
        <v>8005</v>
      </c>
      <c r="E102" s="389" t="s">
        <v>723</v>
      </c>
      <c r="F102" s="431">
        <v>12</v>
      </c>
      <c r="G102" s="357" t="s">
        <v>679</v>
      </c>
      <c r="H102" s="432">
        <v>40</v>
      </c>
      <c r="I102" s="359">
        <v>16</v>
      </c>
      <c r="J102" s="360" t="s">
        <v>620</v>
      </c>
      <c r="K102" s="361">
        <v>7680</v>
      </c>
      <c r="L102" s="361">
        <v>6640</v>
      </c>
      <c r="M102" s="361"/>
      <c r="N102" s="361">
        <v>7680</v>
      </c>
      <c r="O102" s="361"/>
      <c r="P102" s="361"/>
      <c r="Q102" s="361"/>
      <c r="R102" s="324" t="s">
        <v>800</v>
      </c>
      <c r="S102" s="329" t="s">
        <v>540</v>
      </c>
    </row>
    <row r="103" spans="1:19" s="192" customFormat="1" x14ac:dyDescent="0.3">
      <c r="A103" s="191"/>
      <c r="B103" s="191"/>
      <c r="C103" s="324">
        <v>1541</v>
      </c>
      <c r="D103" s="324">
        <v>8005</v>
      </c>
      <c r="E103" s="389" t="s">
        <v>724</v>
      </c>
      <c r="F103" s="431">
        <v>12</v>
      </c>
      <c r="G103" s="357" t="s">
        <v>679</v>
      </c>
      <c r="H103" s="432">
        <v>40</v>
      </c>
      <c r="I103" s="359">
        <v>4</v>
      </c>
      <c r="J103" s="360" t="s">
        <v>620</v>
      </c>
      <c r="K103" s="361">
        <v>1920</v>
      </c>
      <c r="L103" s="361">
        <v>0</v>
      </c>
      <c r="M103" s="361"/>
      <c r="N103" s="361">
        <v>1920</v>
      </c>
      <c r="O103" s="361"/>
      <c r="P103" s="361"/>
      <c r="Q103" s="361"/>
      <c r="R103" s="324" t="s">
        <v>800</v>
      </c>
      <c r="S103" s="329" t="s">
        <v>541</v>
      </c>
    </row>
    <row r="104" spans="1:19" s="192" customFormat="1" ht="15.75" customHeight="1" x14ac:dyDescent="0.3">
      <c r="A104" s="191"/>
      <c r="B104" s="191"/>
      <c r="C104" s="412" t="s">
        <v>910</v>
      </c>
      <c r="D104" s="330"/>
      <c r="E104" s="331" t="s">
        <v>725</v>
      </c>
      <c r="F104" s="421">
        <v>1</v>
      </c>
      <c r="G104" s="333" t="s">
        <v>694</v>
      </c>
      <c r="H104" s="334">
        <v>416.5</v>
      </c>
      <c r="I104" s="330">
        <v>10</v>
      </c>
      <c r="J104" s="331" t="s">
        <v>620</v>
      </c>
      <c r="K104" s="335">
        <v>967.13552963719167</v>
      </c>
      <c r="L104" s="335">
        <v>967.13552963719155</v>
      </c>
      <c r="M104" s="335">
        <v>967.14</v>
      </c>
      <c r="N104" s="335"/>
      <c r="O104" s="335"/>
      <c r="P104" s="335"/>
      <c r="Q104" s="335"/>
      <c r="R104" s="324" t="s">
        <v>800</v>
      </c>
      <c r="S104" s="329" t="s">
        <v>540</v>
      </c>
    </row>
    <row r="105" spans="1:19" s="192" customFormat="1" x14ac:dyDescent="0.3">
      <c r="A105" s="191"/>
      <c r="B105" s="191"/>
      <c r="C105" s="412"/>
      <c r="D105" s="403"/>
      <c r="E105" s="433" t="s">
        <v>415</v>
      </c>
      <c r="F105" s="434"/>
      <c r="G105" s="333"/>
      <c r="H105" s="430"/>
      <c r="I105" s="322"/>
      <c r="J105" s="323"/>
      <c r="K105" s="335"/>
      <c r="L105" s="335"/>
      <c r="M105" s="335"/>
      <c r="N105" s="335"/>
      <c r="O105" s="335"/>
      <c r="P105" s="335"/>
      <c r="Q105" s="335"/>
      <c r="R105" s="324"/>
      <c r="S105" s="329"/>
    </row>
    <row r="106" spans="1:19" s="192" customFormat="1" ht="16.2" x14ac:dyDescent="0.3">
      <c r="A106" s="191"/>
      <c r="B106" s="191"/>
      <c r="C106" s="412"/>
      <c r="D106" s="403"/>
      <c r="E106" s="404" t="s">
        <v>727</v>
      </c>
      <c r="F106" s="429"/>
      <c r="G106" s="333"/>
      <c r="H106" s="430"/>
      <c r="I106" s="322"/>
      <c r="J106" s="323"/>
      <c r="K106" s="335"/>
      <c r="L106" s="335"/>
      <c r="M106" s="335"/>
      <c r="N106" s="335"/>
      <c r="O106" s="335"/>
      <c r="P106" s="335"/>
      <c r="Q106" s="335"/>
      <c r="R106" s="324"/>
      <c r="S106" s="329"/>
    </row>
    <row r="107" spans="1:19" s="192" customFormat="1" x14ac:dyDescent="0.3">
      <c r="A107" s="191"/>
      <c r="B107" s="191"/>
      <c r="C107" s="324">
        <v>1542</v>
      </c>
      <c r="D107" s="324">
        <v>8005</v>
      </c>
      <c r="E107" s="389" t="s">
        <v>728</v>
      </c>
      <c r="F107" s="431">
        <v>100</v>
      </c>
      <c r="G107" s="357" t="s">
        <v>669</v>
      </c>
      <c r="H107" s="432">
        <v>15</v>
      </c>
      <c r="I107" s="359">
        <v>12</v>
      </c>
      <c r="J107" s="360" t="s">
        <v>620</v>
      </c>
      <c r="K107" s="361">
        <v>18000</v>
      </c>
      <c r="L107" s="361">
        <v>18033.103876202254</v>
      </c>
      <c r="M107" s="361"/>
      <c r="N107" s="361">
        <v>18000</v>
      </c>
      <c r="O107" s="361"/>
      <c r="P107" s="361"/>
      <c r="Q107" s="361"/>
      <c r="R107" s="324" t="s">
        <v>801</v>
      </c>
      <c r="S107" s="329" t="s">
        <v>541</v>
      </c>
    </row>
    <row r="108" spans="1:19" s="192" customFormat="1" x14ac:dyDescent="0.3">
      <c r="A108" s="191"/>
      <c r="B108" s="191"/>
      <c r="C108" s="324">
        <v>1543</v>
      </c>
      <c r="D108" s="324">
        <v>8005</v>
      </c>
      <c r="E108" s="389" t="s">
        <v>729</v>
      </c>
      <c r="F108" s="431">
        <v>100</v>
      </c>
      <c r="G108" s="357" t="s">
        <v>669</v>
      </c>
      <c r="H108" s="432">
        <v>4</v>
      </c>
      <c r="I108" s="359">
        <v>1</v>
      </c>
      <c r="J108" s="360" t="s">
        <v>620</v>
      </c>
      <c r="K108" s="361">
        <v>400</v>
      </c>
      <c r="L108" s="361">
        <v>327.05330165463062</v>
      </c>
      <c r="M108" s="361"/>
      <c r="N108" s="361">
        <v>400</v>
      </c>
      <c r="O108" s="361"/>
      <c r="P108" s="361"/>
      <c r="Q108" s="361"/>
      <c r="R108" s="324" t="s">
        <v>801</v>
      </c>
      <c r="S108" s="329" t="s">
        <v>541</v>
      </c>
    </row>
    <row r="109" spans="1:19" s="192" customFormat="1" x14ac:dyDescent="0.3">
      <c r="A109" s="191"/>
      <c r="B109" s="191"/>
      <c r="C109" s="324">
        <v>1544</v>
      </c>
      <c r="D109" s="324">
        <v>8005</v>
      </c>
      <c r="E109" s="389" t="s">
        <v>730</v>
      </c>
      <c r="F109" s="431">
        <v>1</v>
      </c>
      <c r="G109" s="357" t="s">
        <v>679</v>
      </c>
      <c r="H109" s="432">
        <v>50</v>
      </c>
      <c r="I109" s="359">
        <v>1</v>
      </c>
      <c r="J109" s="360" t="s">
        <v>620</v>
      </c>
      <c r="K109" s="361">
        <v>50</v>
      </c>
      <c r="L109" s="361">
        <v>284.70602177255313</v>
      </c>
      <c r="M109" s="361"/>
      <c r="N109" s="361">
        <v>50</v>
      </c>
      <c r="O109" s="361"/>
      <c r="P109" s="361"/>
      <c r="Q109" s="361"/>
      <c r="R109" s="324" t="s">
        <v>801</v>
      </c>
      <c r="S109" s="329" t="s">
        <v>541</v>
      </c>
    </row>
    <row r="110" spans="1:19" s="192" customFormat="1" x14ac:dyDescent="0.3">
      <c r="A110" s="191"/>
      <c r="B110" s="191"/>
      <c r="C110" s="324">
        <v>1545</v>
      </c>
      <c r="D110" s="324">
        <v>8005</v>
      </c>
      <c r="E110" s="389" t="s">
        <v>731</v>
      </c>
      <c r="F110" s="431">
        <v>4</v>
      </c>
      <c r="G110" s="357" t="s">
        <v>679</v>
      </c>
      <c r="H110" s="432">
        <v>300</v>
      </c>
      <c r="I110" s="359">
        <v>12</v>
      </c>
      <c r="J110" s="360" t="s">
        <v>620</v>
      </c>
      <c r="K110" s="361">
        <v>14400</v>
      </c>
      <c r="L110" s="361">
        <v>14787.999617116835</v>
      </c>
      <c r="M110" s="361"/>
      <c r="N110" s="361">
        <v>14400</v>
      </c>
      <c r="O110" s="361"/>
      <c r="P110" s="361"/>
      <c r="Q110" s="361"/>
      <c r="R110" s="324" t="s">
        <v>801</v>
      </c>
      <c r="S110" s="329" t="s">
        <v>540</v>
      </c>
    </row>
    <row r="111" spans="1:19" s="192" customFormat="1" x14ac:dyDescent="0.3">
      <c r="A111" s="191"/>
      <c r="B111" s="191"/>
      <c r="C111" s="324">
        <v>1546</v>
      </c>
      <c r="D111" s="324">
        <v>8005</v>
      </c>
      <c r="E111" s="389" t="s">
        <v>732</v>
      </c>
      <c r="F111" s="431">
        <v>4</v>
      </c>
      <c r="G111" s="357" t="s">
        <v>679</v>
      </c>
      <c r="H111" s="432">
        <v>40</v>
      </c>
      <c r="I111" s="359">
        <v>12</v>
      </c>
      <c r="J111" s="360" t="s">
        <v>620</v>
      </c>
      <c r="K111" s="361">
        <v>1920</v>
      </c>
      <c r="L111" s="361">
        <v>4183.5055381233187</v>
      </c>
      <c r="M111" s="361"/>
      <c r="N111" s="361">
        <v>1920</v>
      </c>
      <c r="O111" s="361"/>
      <c r="P111" s="361"/>
      <c r="Q111" s="361"/>
      <c r="R111" s="324" t="s">
        <v>801</v>
      </c>
      <c r="S111" s="329" t="s">
        <v>541</v>
      </c>
    </row>
    <row r="112" spans="1:19" s="192" customFormat="1" x14ac:dyDescent="0.3">
      <c r="A112" s="191"/>
      <c r="B112" s="191"/>
      <c r="C112" s="412"/>
      <c r="D112" s="403"/>
      <c r="E112" s="435" t="s">
        <v>733</v>
      </c>
      <c r="F112" s="436"/>
      <c r="G112" s="437"/>
      <c r="H112" s="438"/>
      <c r="I112" s="439"/>
      <c r="J112" s="440"/>
      <c r="K112" s="441"/>
      <c r="L112" s="441"/>
      <c r="M112" s="441"/>
      <c r="N112" s="441"/>
      <c r="O112" s="441"/>
      <c r="P112" s="441"/>
      <c r="Q112" s="441"/>
      <c r="R112" s="324"/>
      <c r="S112" s="329"/>
    </row>
    <row r="113" spans="1:19" s="192" customFormat="1" ht="16.2" x14ac:dyDescent="0.3">
      <c r="A113" s="191"/>
      <c r="B113" s="191"/>
      <c r="C113" s="412"/>
      <c r="D113" s="403"/>
      <c r="E113" s="442" t="s">
        <v>734</v>
      </c>
      <c r="F113" s="443"/>
      <c r="G113" s="357"/>
      <c r="H113" s="432"/>
      <c r="I113" s="359"/>
      <c r="J113" s="360"/>
      <c r="K113" s="361"/>
      <c r="L113" s="361"/>
      <c r="M113" s="361"/>
      <c r="N113" s="361"/>
      <c r="O113" s="361"/>
      <c r="P113" s="361"/>
      <c r="Q113" s="361"/>
      <c r="R113" s="324"/>
      <c r="S113" s="329"/>
    </row>
    <row r="114" spans="1:19" s="192" customFormat="1" x14ac:dyDescent="0.3">
      <c r="A114" s="191"/>
      <c r="B114" s="191"/>
      <c r="C114" s="324">
        <v>1561</v>
      </c>
      <c r="D114" s="324">
        <v>8005</v>
      </c>
      <c r="E114" s="444" t="s">
        <v>735</v>
      </c>
      <c r="F114" s="393">
        <v>1</v>
      </c>
      <c r="G114" s="391" t="s">
        <v>669</v>
      </c>
      <c r="H114" s="392">
        <v>7000</v>
      </c>
      <c r="I114" s="393">
        <v>1</v>
      </c>
      <c r="J114" s="391" t="s">
        <v>620</v>
      </c>
      <c r="K114" s="361">
        <v>8865</v>
      </c>
      <c r="L114" s="361">
        <v>5780.9132741681015</v>
      </c>
      <c r="M114" s="361"/>
      <c r="N114" s="361">
        <v>8865</v>
      </c>
      <c r="O114" s="361"/>
      <c r="P114" s="361"/>
      <c r="Q114" s="361"/>
      <c r="R114" s="324" t="s">
        <v>802</v>
      </c>
      <c r="S114" s="329" t="s">
        <v>540</v>
      </c>
    </row>
    <row r="115" spans="1:19" s="192" customFormat="1" x14ac:dyDescent="0.3">
      <c r="A115" s="191"/>
      <c r="B115" s="191"/>
      <c r="C115" s="412">
        <f>C114+1</f>
        <v>1562</v>
      </c>
      <c r="D115" s="324"/>
      <c r="E115" s="336" t="s">
        <v>736</v>
      </c>
      <c r="F115" s="324">
        <v>1</v>
      </c>
      <c r="G115" s="329" t="s">
        <v>679</v>
      </c>
      <c r="H115" s="423">
        <v>2000</v>
      </c>
      <c r="I115" s="324">
        <v>1</v>
      </c>
      <c r="J115" s="329" t="s">
        <v>620</v>
      </c>
      <c r="K115" s="335">
        <v>448.21826912915913</v>
      </c>
      <c r="L115" s="335">
        <v>448.21826912915924</v>
      </c>
      <c r="M115" s="335">
        <v>448.21826912915913</v>
      </c>
      <c r="N115" s="335"/>
      <c r="O115" s="335"/>
      <c r="P115" s="335"/>
      <c r="Q115" s="335"/>
      <c r="R115" s="324" t="s">
        <v>803</v>
      </c>
      <c r="S115" s="329" t="s">
        <v>541</v>
      </c>
    </row>
    <row r="116" spans="1:19" x14ac:dyDescent="0.3">
      <c r="C116" s="412">
        <f t="shared" ref="C116:C122" si="12">C115+1</f>
        <v>1563</v>
      </c>
      <c r="D116" s="322"/>
      <c r="E116" s="342" t="s">
        <v>737</v>
      </c>
      <c r="F116" s="332">
        <v>3.75</v>
      </c>
      <c r="G116" s="323" t="s">
        <v>619</v>
      </c>
      <c r="H116" s="364">
        <v>300</v>
      </c>
      <c r="I116" s="322">
        <v>18</v>
      </c>
      <c r="J116" s="323" t="s">
        <v>620</v>
      </c>
      <c r="K116" s="335">
        <v>7000</v>
      </c>
      <c r="L116" s="335">
        <v>0</v>
      </c>
      <c r="M116" s="335">
        <v>7000</v>
      </c>
      <c r="N116" s="335"/>
      <c r="O116" s="335"/>
      <c r="P116" s="335"/>
      <c r="Q116" s="335"/>
      <c r="R116" s="324" t="s">
        <v>803</v>
      </c>
      <c r="S116" s="329" t="s">
        <v>540</v>
      </c>
    </row>
    <row r="117" spans="1:19" s="192" customFormat="1" x14ac:dyDescent="0.3">
      <c r="A117" s="191"/>
      <c r="B117" s="191"/>
      <c r="C117" s="412">
        <f t="shared" si="12"/>
        <v>1564</v>
      </c>
      <c r="D117" s="324"/>
      <c r="E117" s="336" t="s">
        <v>850</v>
      </c>
      <c r="F117" s="324">
        <v>1</v>
      </c>
      <c r="G117" s="329" t="s">
        <v>679</v>
      </c>
      <c r="H117" s="423">
        <v>10000</v>
      </c>
      <c r="I117" s="324">
        <v>1</v>
      </c>
      <c r="J117" s="329" t="s">
        <v>620</v>
      </c>
      <c r="K117" s="335">
        <v>14500</v>
      </c>
      <c r="L117" s="335">
        <v>690.02742565180358</v>
      </c>
      <c r="M117" s="335">
        <v>14500</v>
      </c>
      <c r="N117" s="335"/>
      <c r="O117" s="335"/>
      <c r="P117" s="335"/>
      <c r="Q117" s="335"/>
      <c r="R117" s="324" t="s">
        <v>803</v>
      </c>
      <c r="S117" s="329" t="s">
        <v>541</v>
      </c>
    </row>
    <row r="118" spans="1:19" s="192" customFormat="1" x14ac:dyDescent="0.3">
      <c r="A118" s="191"/>
      <c r="B118" s="191"/>
      <c r="C118" s="412">
        <f t="shared" si="12"/>
        <v>1565</v>
      </c>
      <c r="D118" s="324">
        <v>8007</v>
      </c>
      <c r="E118" s="445" t="s">
        <v>854</v>
      </c>
      <c r="F118" s="446">
        <v>10</v>
      </c>
      <c r="G118" s="447" t="s">
        <v>679</v>
      </c>
      <c r="H118" s="448">
        <v>10000</v>
      </c>
      <c r="I118" s="446">
        <v>1</v>
      </c>
      <c r="J118" s="447" t="s">
        <v>620</v>
      </c>
      <c r="K118" s="449">
        <v>100000</v>
      </c>
      <c r="L118" s="449">
        <v>9971.6003723507201</v>
      </c>
      <c r="M118" s="449"/>
      <c r="N118" s="449"/>
      <c r="O118" s="449"/>
      <c r="P118" s="449">
        <v>100000</v>
      </c>
      <c r="Q118" s="449"/>
      <c r="R118" s="324" t="s">
        <v>804</v>
      </c>
      <c r="S118" s="323" t="s">
        <v>545</v>
      </c>
    </row>
    <row r="119" spans="1:19" s="192" customFormat="1" x14ac:dyDescent="0.3">
      <c r="A119" s="191"/>
      <c r="B119" s="191"/>
      <c r="C119" s="412">
        <f t="shared" si="12"/>
        <v>1566</v>
      </c>
      <c r="D119" s="324">
        <v>8007</v>
      </c>
      <c r="E119" s="445" t="s">
        <v>851</v>
      </c>
      <c r="F119" s="446">
        <v>10</v>
      </c>
      <c r="G119" s="447" t="s">
        <v>679</v>
      </c>
      <c r="H119" s="448">
        <v>10000</v>
      </c>
      <c r="I119" s="446">
        <v>1</v>
      </c>
      <c r="J119" s="447" t="s">
        <v>620</v>
      </c>
      <c r="K119" s="449">
        <v>100000</v>
      </c>
      <c r="L119" s="449">
        <v>0</v>
      </c>
      <c r="M119" s="449"/>
      <c r="N119" s="449"/>
      <c r="O119" s="449"/>
      <c r="P119" s="449">
        <v>100000</v>
      </c>
      <c r="Q119" s="449"/>
      <c r="R119" s="324" t="s">
        <v>805</v>
      </c>
      <c r="S119" s="323" t="s">
        <v>545</v>
      </c>
    </row>
    <row r="120" spans="1:19" s="192" customFormat="1" x14ac:dyDescent="0.3">
      <c r="A120" s="191"/>
      <c r="B120" s="191"/>
      <c r="C120" s="412">
        <f t="shared" si="12"/>
        <v>1567</v>
      </c>
      <c r="D120" s="412"/>
      <c r="E120" s="336" t="s">
        <v>852</v>
      </c>
      <c r="F120" s="324">
        <v>1</v>
      </c>
      <c r="G120" s="329" t="s">
        <v>679</v>
      </c>
      <c r="H120" s="423">
        <v>5000</v>
      </c>
      <c r="I120" s="324">
        <v>1</v>
      </c>
      <c r="J120" s="329" t="s">
        <v>620</v>
      </c>
      <c r="K120" s="450">
        <v>5000</v>
      </c>
      <c r="L120" s="450">
        <v>0</v>
      </c>
      <c r="M120" s="450">
        <f>K120</f>
        <v>5000</v>
      </c>
      <c r="N120" s="335"/>
      <c r="O120" s="335"/>
      <c r="P120" s="335"/>
      <c r="Q120" s="335"/>
      <c r="R120" s="324" t="s">
        <v>806</v>
      </c>
      <c r="S120" s="329" t="s">
        <v>541</v>
      </c>
    </row>
    <row r="121" spans="1:19" s="192" customFormat="1" x14ac:dyDescent="0.3">
      <c r="A121" s="191"/>
      <c r="B121" s="191"/>
      <c r="C121" s="412">
        <f t="shared" si="12"/>
        <v>1568</v>
      </c>
      <c r="D121" s="412"/>
      <c r="E121" s="336" t="s">
        <v>852</v>
      </c>
      <c r="F121" s="324">
        <v>1</v>
      </c>
      <c r="G121" s="329" t="s">
        <v>679</v>
      </c>
      <c r="H121" s="423">
        <v>3000</v>
      </c>
      <c r="I121" s="324">
        <v>1</v>
      </c>
      <c r="J121" s="329" t="s">
        <v>620</v>
      </c>
      <c r="K121" s="335">
        <v>3000</v>
      </c>
      <c r="L121" s="335">
        <v>0</v>
      </c>
      <c r="M121" s="335">
        <f>K121</f>
        <v>3000</v>
      </c>
      <c r="N121" s="335"/>
      <c r="O121" s="335"/>
      <c r="P121" s="335"/>
      <c r="Q121" s="335"/>
      <c r="R121" s="324" t="s">
        <v>806</v>
      </c>
      <c r="S121" s="329" t="s">
        <v>543</v>
      </c>
    </row>
    <row r="122" spans="1:19" s="192" customFormat="1" x14ac:dyDescent="0.3">
      <c r="A122" s="191"/>
      <c r="B122" s="191"/>
      <c r="C122" s="412">
        <f t="shared" si="12"/>
        <v>1569</v>
      </c>
      <c r="D122" s="324"/>
      <c r="E122" s="336" t="s">
        <v>853</v>
      </c>
      <c r="F122" s="324">
        <v>17</v>
      </c>
      <c r="G122" s="329" t="s">
        <v>679</v>
      </c>
      <c r="H122" s="423">
        <v>100</v>
      </c>
      <c r="I122" s="324">
        <v>5</v>
      </c>
      <c r="J122" s="329" t="s">
        <v>620</v>
      </c>
      <c r="K122" s="335">
        <v>10000</v>
      </c>
      <c r="L122" s="335">
        <v>1655.4293668755204</v>
      </c>
      <c r="M122" s="335">
        <v>10000</v>
      </c>
      <c r="N122" s="335"/>
      <c r="O122" s="335"/>
      <c r="P122" s="335"/>
      <c r="Q122" s="335"/>
      <c r="R122" s="324" t="s">
        <v>828</v>
      </c>
      <c r="S122" s="329" t="s">
        <v>541</v>
      </c>
    </row>
    <row r="123" spans="1:19" s="192" customFormat="1" x14ac:dyDescent="0.3">
      <c r="A123" s="191"/>
      <c r="B123" s="191"/>
      <c r="C123" s="412"/>
      <c r="D123" s="324"/>
      <c r="E123" s="422" t="s">
        <v>738</v>
      </c>
      <c r="F123" s="403"/>
      <c r="G123" s="451"/>
      <c r="H123" s="452"/>
      <c r="I123" s="403"/>
      <c r="J123" s="451"/>
      <c r="K123" s="453"/>
      <c r="L123" s="453"/>
      <c r="M123" s="453"/>
      <c r="N123" s="453"/>
      <c r="O123" s="453"/>
      <c r="P123" s="453"/>
      <c r="Q123" s="453"/>
      <c r="R123" s="324"/>
      <c r="S123" s="329"/>
    </row>
    <row r="124" spans="1:19" s="192" customFormat="1" x14ac:dyDescent="0.3">
      <c r="A124" s="191"/>
      <c r="B124" s="191"/>
      <c r="C124" s="412" t="s">
        <v>912</v>
      </c>
      <c r="D124" s="324"/>
      <c r="E124" s="336" t="s">
        <v>739</v>
      </c>
      <c r="F124" s="324">
        <v>12</v>
      </c>
      <c r="G124" s="329" t="s">
        <v>679</v>
      </c>
      <c r="H124" s="423">
        <v>200</v>
      </c>
      <c r="I124" s="324">
        <v>1</v>
      </c>
      <c r="J124" s="329" t="s">
        <v>620</v>
      </c>
      <c r="K124" s="335">
        <v>2400</v>
      </c>
      <c r="L124" s="335">
        <v>2366.000015654975</v>
      </c>
      <c r="M124" s="335">
        <v>2400</v>
      </c>
      <c r="N124" s="335"/>
      <c r="O124" s="335"/>
      <c r="P124" s="335"/>
      <c r="Q124" s="335"/>
      <c r="R124" s="324" t="s">
        <v>807</v>
      </c>
      <c r="S124" s="329" t="s">
        <v>541</v>
      </c>
    </row>
    <row r="125" spans="1:19" s="192" customFormat="1" x14ac:dyDescent="0.3">
      <c r="A125" s="191"/>
      <c r="B125" s="191"/>
      <c r="C125" s="412" t="s">
        <v>913</v>
      </c>
      <c r="D125" s="324"/>
      <c r="E125" s="336" t="s">
        <v>740</v>
      </c>
      <c r="F125" s="324">
        <v>300</v>
      </c>
      <c r="G125" s="329" t="s">
        <v>679</v>
      </c>
      <c r="H125" s="423">
        <v>5</v>
      </c>
      <c r="I125" s="324">
        <v>5</v>
      </c>
      <c r="J125" s="329" t="s">
        <v>620</v>
      </c>
      <c r="K125" s="335">
        <v>9000</v>
      </c>
      <c r="L125" s="335">
        <v>6490.2335350158655</v>
      </c>
      <c r="M125" s="335">
        <v>9000</v>
      </c>
      <c r="N125" s="335"/>
      <c r="O125" s="335"/>
      <c r="P125" s="335"/>
      <c r="Q125" s="335"/>
      <c r="R125" s="324" t="s">
        <v>807</v>
      </c>
      <c r="S125" s="329" t="s">
        <v>541</v>
      </c>
    </row>
    <row r="126" spans="1:19" s="192" customFormat="1" x14ac:dyDescent="0.3">
      <c r="A126" s="191"/>
      <c r="B126" s="191"/>
      <c r="C126" s="324"/>
      <c r="D126" s="324"/>
      <c r="E126" s="426" t="s">
        <v>741</v>
      </c>
      <c r="F126" s="425"/>
      <c r="G126" s="427"/>
      <c r="H126" s="428"/>
      <c r="I126" s="425"/>
      <c r="J126" s="427"/>
      <c r="K126" s="400">
        <f t="shared" ref="K126:Q126" si="13">SUBTOTAL(9,K127:K144)</f>
        <v>171935.6</v>
      </c>
      <c r="L126" s="400">
        <f>SUBTOTAL(9,L127:L144)</f>
        <v>34763.161792240426</v>
      </c>
      <c r="M126" s="400">
        <f t="shared" si="13"/>
        <v>108350.75</v>
      </c>
      <c r="N126" s="400">
        <f t="shared" si="13"/>
        <v>0</v>
      </c>
      <c r="O126" s="400">
        <f t="shared" si="13"/>
        <v>6000</v>
      </c>
      <c r="P126" s="400">
        <f t="shared" si="13"/>
        <v>0</v>
      </c>
      <c r="Q126" s="400">
        <f t="shared" si="13"/>
        <v>53850</v>
      </c>
      <c r="R126" s="324"/>
      <c r="S126" s="329"/>
    </row>
    <row r="127" spans="1:19" s="192" customFormat="1" x14ac:dyDescent="0.3">
      <c r="A127" s="191"/>
      <c r="B127" s="191"/>
      <c r="C127" s="324"/>
      <c r="D127" s="324"/>
      <c r="E127" s="422" t="s">
        <v>742</v>
      </c>
      <c r="F127" s="324"/>
      <c r="G127" s="329"/>
      <c r="H127" s="423"/>
      <c r="I127" s="324"/>
      <c r="J127" s="329"/>
      <c r="K127" s="402"/>
      <c r="L127" s="402"/>
      <c r="M127" s="402"/>
      <c r="N127" s="402"/>
      <c r="O127" s="402"/>
      <c r="P127" s="402"/>
      <c r="Q127" s="402"/>
      <c r="R127" s="324"/>
      <c r="S127" s="329"/>
    </row>
    <row r="128" spans="1:19" s="192" customFormat="1" x14ac:dyDescent="0.3">
      <c r="A128" s="191"/>
      <c r="B128" s="191"/>
      <c r="C128" s="324"/>
      <c r="D128" s="324"/>
      <c r="E128" s="454" t="s">
        <v>743</v>
      </c>
      <c r="F128" s="324"/>
      <c r="G128" s="329"/>
      <c r="H128" s="423"/>
      <c r="I128" s="324"/>
      <c r="J128" s="329"/>
      <c r="K128" s="455"/>
      <c r="L128" s="455"/>
      <c r="M128" s="455"/>
      <c r="N128" s="455"/>
      <c r="O128" s="455"/>
      <c r="P128" s="455"/>
      <c r="Q128" s="455"/>
      <c r="R128" s="324"/>
      <c r="S128" s="329"/>
    </row>
    <row r="129" spans="1:19" x14ac:dyDescent="0.3">
      <c r="C129" s="330" t="s">
        <v>914</v>
      </c>
      <c r="D129" s="330" t="s">
        <v>911</v>
      </c>
      <c r="E129" s="367" t="s">
        <v>744</v>
      </c>
      <c r="F129" s="417">
        <v>1</v>
      </c>
      <c r="G129" s="418" t="s">
        <v>669</v>
      </c>
      <c r="H129" s="370">
        <v>11000</v>
      </c>
      <c r="I129" s="419">
        <v>1</v>
      </c>
      <c r="J129" s="418" t="s">
        <v>620</v>
      </c>
      <c r="K129" s="372">
        <v>11000</v>
      </c>
      <c r="L129" s="372">
        <v>536.66645814812898</v>
      </c>
      <c r="M129" s="372">
        <v>2500</v>
      </c>
      <c r="N129" s="372"/>
      <c r="O129" s="372">
        <v>6000</v>
      </c>
      <c r="P129" s="372"/>
      <c r="Q129" s="372">
        <v>2500</v>
      </c>
      <c r="R129" s="322" t="s">
        <v>808</v>
      </c>
      <c r="S129" s="329" t="s">
        <v>541</v>
      </c>
    </row>
    <row r="130" spans="1:19" x14ac:dyDescent="0.3">
      <c r="C130" s="330">
        <v>1571</v>
      </c>
      <c r="D130" s="330">
        <v>8006</v>
      </c>
      <c r="E130" s="367" t="s">
        <v>745</v>
      </c>
      <c r="F130" s="417">
        <v>1</v>
      </c>
      <c r="G130" s="418" t="s">
        <v>679</v>
      </c>
      <c r="H130" s="370">
        <v>20000</v>
      </c>
      <c r="I130" s="419">
        <v>1</v>
      </c>
      <c r="J130" s="418" t="s">
        <v>620</v>
      </c>
      <c r="K130" s="372">
        <v>20000</v>
      </c>
      <c r="L130" s="372">
        <v>6985.2632605037888</v>
      </c>
      <c r="M130" s="372"/>
      <c r="N130" s="372"/>
      <c r="O130" s="372"/>
      <c r="P130" s="372"/>
      <c r="Q130" s="372">
        <v>20000</v>
      </c>
      <c r="R130" s="322" t="s">
        <v>809</v>
      </c>
      <c r="S130" s="329" t="s">
        <v>543</v>
      </c>
    </row>
    <row r="131" spans="1:19" x14ac:dyDescent="0.3">
      <c r="C131" s="330">
        <f>C130+1</f>
        <v>1572</v>
      </c>
      <c r="D131" s="330">
        <v>8006</v>
      </c>
      <c r="E131" s="367" t="s">
        <v>746</v>
      </c>
      <c r="F131" s="417">
        <v>1</v>
      </c>
      <c r="G131" s="418" t="s">
        <v>679</v>
      </c>
      <c r="H131" s="370">
        <v>5000</v>
      </c>
      <c r="I131" s="419">
        <v>1</v>
      </c>
      <c r="J131" s="418" t="s">
        <v>620</v>
      </c>
      <c r="K131" s="372">
        <v>5000</v>
      </c>
      <c r="L131" s="372">
        <v>1583.4916723569754</v>
      </c>
      <c r="M131" s="372"/>
      <c r="N131" s="372"/>
      <c r="O131" s="372"/>
      <c r="P131" s="372"/>
      <c r="Q131" s="372">
        <v>5000</v>
      </c>
      <c r="R131" s="322" t="s">
        <v>810</v>
      </c>
      <c r="S131" s="329" t="s">
        <v>540</v>
      </c>
    </row>
    <row r="132" spans="1:19" x14ac:dyDescent="0.3">
      <c r="C132" s="330">
        <f t="shared" ref="C132:C133" si="14">C131+1</f>
        <v>1573</v>
      </c>
      <c r="D132" s="330">
        <v>8006</v>
      </c>
      <c r="E132" s="367" t="s">
        <v>747</v>
      </c>
      <c r="F132" s="417">
        <v>1</v>
      </c>
      <c r="G132" s="418" t="s">
        <v>679</v>
      </c>
      <c r="H132" s="370">
        <v>4000</v>
      </c>
      <c r="I132" s="419">
        <v>1</v>
      </c>
      <c r="J132" s="418" t="s">
        <v>620</v>
      </c>
      <c r="K132" s="372">
        <v>4000</v>
      </c>
      <c r="L132" s="372">
        <v>3779.3327513475292</v>
      </c>
      <c r="M132" s="372"/>
      <c r="N132" s="372"/>
      <c r="O132" s="372"/>
      <c r="P132" s="372"/>
      <c r="Q132" s="372">
        <v>4000</v>
      </c>
      <c r="R132" s="322" t="s">
        <v>811</v>
      </c>
      <c r="S132" s="329" t="s">
        <v>540</v>
      </c>
    </row>
    <row r="133" spans="1:19" x14ac:dyDescent="0.3">
      <c r="C133" s="330">
        <f t="shared" si="14"/>
        <v>1574</v>
      </c>
      <c r="D133" s="330">
        <v>8006</v>
      </c>
      <c r="E133" s="367" t="s">
        <v>748</v>
      </c>
      <c r="F133" s="417">
        <v>1</v>
      </c>
      <c r="G133" s="418" t="s">
        <v>679</v>
      </c>
      <c r="H133" s="370">
        <v>30139</v>
      </c>
      <c r="I133" s="419">
        <v>1</v>
      </c>
      <c r="J133" s="418" t="s">
        <v>620</v>
      </c>
      <c r="K133" s="372">
        <v>30139</v>
      </c>
      <c r="L133" s="372">
        <v>184.59520443375965</v>
      </c>
      <c r="M133" s="372">
        <v>30139</v>
      </c>
      <c r="N133" s="372"/>
      <c r="O133" s="372"/>
      <c r="P133" s="372"/>
      <c r="Q133" s="372">
        <v>5000</v>
      </c>
      <c r="R133" s="322" t="s">
        <v>812</v>
      </c>
      <c r="S133" s="329" t="s">
        <v>541</v>
      </c>
    </row>
    <row r="134" spans="1:19" s="192" customFormat="1" x14ac:dyDescent="0.3">
      <c r="A134" s="191"/>
      <c r="B134" s="191"/>
      <c r="C134" s="412" t="s">
        <v>915</v>
      </c>
      <c r="D134" s="324"/>
      <c r="E134" s="336" t="s">
        <v>749</v>
      </c>
      <c r="F134" s="324">
        <v>1</v>
      </c>
      <c r="G134" s="329" t="s">
        <v>679</v>
      </c>
      <c r="H134" s="423">
        <v>10000</v>
      </c>
      <c r="I134" s="324">
        <v>1</v>
      </c>
      <c r="J134" s="329" t="s">
        <v>620</v>
      </c>
      <c r="K134" s="335">
        <v>10000</v>
      </c>
      <c r="L134" s="335">
        <v>2400</v>
      </c>
      <c r="M134" s="335">
        <v>10000</v>
      </c>
      <c r="N134" s="335"/>
      <c r="O134" s="335"/>
      <c r="P134" s="335"/>
      <c r="Q134" s="335"/>
      <c r="R134" s="322" t="s">
        <v>812</v>
      </c>
      <c r="S134" s="323" t="s">
        <v>543</v>
      </c>
    </row>
    <row r="135" spans="1:19" s="192" customFormat="1" x14ac:dyDescent="0.3">
      <c r="A135" s="191"/>
      <c r="B135" s="191"/>
      <c r="C135" s="412" t="s">
        <v>916</v>
      </c>
      <c r="D135" s="324"/>
      <c r="E135" s="336" t="s">
        <v>750</v>
      </c>
      <c r="F135" s="324">
        <v>45</v>
      </c>
      <c r="G135" s="329" t="s">
        <v>694</v>
      </c>
      <c r="H135" s="423">
        <v>15</v>
      </c>
      <c r="I135" s="324">
        <v>8</v>
      </c>
      <c r="J135" s="329" t="s">
        <v>620</v>
      </c>
      <c r="K135" s="335">
        <v>9799.52</v>
      </c>
      <c r="L135" s="335">
        <v>5196.3803587411239</v>
      </c>
      <c r="M135" s="335">
        <v>9799.52</v>
      </c>
      <c r="N135" s="335"/>
      <c r="O135" s="335"/>
      <c r="P135" s="335"/>
      <c r="Q135" s="335"/>
      <c r="R135" s="322" t="s">
        <v>812</v>
      </c>
      <c r="S135" s="329" t="s">
        <v>541</v>
      </c>
    </row>
    <row r="136" spans="1:19" s="192" customFormat="1" x14ac:dyDescent="0.3">
      <c r="A136" s="191"/>
      <c r="B136" s="191"/>
      <c r="C136" s="412" t="s">
        <v>917</v>
      </c>
      <c r="D136" s="324"/>
      <c r="E136" s="336" t="s">
        <v>751</v>
      </c>
      <c r="F136" s="324">
        <v>3</v>
      </c>
      <c r="G136" s="329" t="s">
        <v>679</v>
      </c>
      <c r="H136" s="423">
        <v>150</v>
      </c>
      <c r="I136" s="324">
        <v>7</v>
      </c>
      <c r="J136" s="329" t="s">
        <v>620</v>
      </c>
      <c r="K136" s="335">
        <v>650</v>
      </c>
      <c r="L136" s="335">
        <v>0</v>
      </c>
      <c r="M136" s="335">
        <v>650</v>
      </c>
      <c r="N136" s="335"/>
      <c r="O136" s="335"/>
      <c r="P136" s="335"/>
      <c r="Q136" s="335"/>
      <c r="R136" s="322" t="s">
        <v>812</v>
      </c>
      <c r="S136" s="329" t="s">
        <v>541</v>
      </c>
    </row>
    <row r="137" spans="1:19" s="192" customFormat="1" x14ac:dyDescent="0.3">
      <c r="A137" s="191"/>
      <c r="B137" s="191"/>
      <c r="C137" s="412" t="s">
        <v>918</v>
      </c>
      <c r="D137" s="324"/>
      <c r="E137" s="336" t="s">
        <v>831</v>
      </c>
      <c r="F137" s="324">
        <v>1</v>
      </c>
      <c r="G137" s="329" t="s">
        <v>679</v>
      </c>
      <c r="H137" s="423">
        <v>30139</v>
      </c>
      <c r="I137" s="324">
        <v>1</v>
      </c>
      <c r="J137" s="329" t="s">
        <v>620</v>
      </c>
      <c r="K137" s="335">
        <v>30139</v>
      </c>
      <c r="L137" s="335">
        <v>1369.5531642657043</v>
      </c>
      <c r="M137" s="335">
        <v>30139</v>
      </c>
      <c r="N137" s="335"/>
      <c r="O137" s="335"/>
      <c r="P137" s="335"/>
      <c r="Q137" s="335"/>
      <c r="R137" s="322" t="s">
        <v>812</v>
      </c>
      <c r="S137" s="329" t="s">
        <v>545</v>
      </c>
    </row>
    <row r="138" spans="1:19" s="192" customFormat="1" x14ac:dyDescent="0.3">
      <c r="A138" s="191"/>
      <c r="B138" s="191"/>
      <c r="C138" s="412" t="s">
        <v>919</v>
      </c>
      <c r="D138" s="324"/>
      <c r="E138" s="336" t="s">
        <v>832</v>
      </c>
      <c r="F138" s="324">
        <v>7</v>
      </c>
      <c r="G138" s="329" t="s">
        <v>679</v>
      </c>
      <c r="H138" s="423">
        <f>K138/F138</f>
        <v>771.42857142857144</v>
      </c>
      <c r="I138" s="324">
        <v>6</v>
      </c>
      <c r="J138" s="329" t="s">
        <v>620</v>
      </c>
      <c r="K138" s="335">
        <v>5400</v>
      </c>
      <c r="L138" s="335">
        <v>0</v>
      </c>
      <c r="M138" s="335">
        <v>5400</v>
      </c>
      <c r="N138" s="335"/>
      <c r="O138" s="335"/>
      <c r="P138" s="335"/>
      <c r="Q138" s="335"/>
      <c r="R138" s="322" t="s">
        <v>813</v>
      </c>
      <c r="S138" s="329" t="s">
        <v>541</v>
      </c>
    </row>
    <row r="139" spans="1:19" x14ac:dyDescent="0.3">
      <c r="C139" s="330">
        <f>C133+1</f>
        <v>1575</v>
      </c>
      <c r="D139" s="330">
        <v>8006</v>
      </c>
      <c r="E139" s="367" t="s">
        <v>833</v>
      </c>
      <c r="F139" s="417">
        <v>3</v>
      </c>
      <c r="G139" s="418" t="s">
        <v>679</v>
      </c>
      <c r="H139" s="370">
        <v>300</v>
      </c>
      <c r="I139" s="419">
        <v>3</v>
      </c>
      <c r="J139" s="418" t="s">
        <v>620</v>
      </c>
      <c r="K139" s="372">
        <v>2700</v>
      </c>
      <c r="L139" s="372">
        <v>1048.8234046449945</v>
      </c>
      <c r="M139" s="372">
        <v>1350</v>
      </c>
      <c r="N139" s="372"/>
      <c r="O139" s="372"/>
      <c r="P139" s="372"/>
      <c r="Q139" s="372">
        <v>1350</v>
      </c>
      <c r="R139" s="322" t="s">
        <v>814</v>
      </c>
      <c r="S139" s="323" t="s">
        <v>541</v>
      </c>
    </row>
    <row r="140" spans="1:19" x14ac:dyDescent="0.3">
      <c r="C140" s="330">
        <f t="shared" ref="C140:C141" si="15">C139+1</f>
        <v>1576</v>
      </c>
      <c r="D140" s="330">
        <v>8006</v>
      </c>
      <c r="E140" s="367" t="s">
        <v>834</v>
      </c>
      <c r="F140" s="417">
        <v>6</v>
      </c>
      <c r="G140" s="418" t="s">
        <v>679</v>
      </c>
      <c r="H140" s="370">
        <v>2000</v>
      </c>
      <c r="I140" s="419">
        <v>1</v>
      </c>
      <c r="J140" s="418" t="s">
        <v>620</v>
      </c>
      <c r="K140" s="372">
        <v>16573.23</v>
      </c>
      <c r="L140" s="372">
        <v>5747.9213779057036</v>
      </c>
      <c r="M140" s="372">
        <f>K140-Q140</f>
        <v>8573.23</v>
      </c>
      <c r="N140" s="372"/>
      <c r="O140" s="372"/>
      <c r="P140" s="372"/>
      <c r="Q140" s="372">
        <v>8000</v>
      </c>
      <c r="R140" s="322" t="s">
        <v>815</v>
      </c>
      <c r="S140" s="323" t="s">
        <v>541</v>
      </c>
    </row>
    <row r="141" spans="1:19" x14ac:dyDescent="0.3">
      <c r="C141" s="330">
        <f t="shared" si="15"/>
        <v>1577</v>
      </c>
      <c r="D141" s="330">
        <v>8006</v>
      </c>
      <c r="E141" s="367" t="s">
        <v>834</v>
      </c>
      <c r="F141" s="417">
        <v>6</v>
      </c>
      <c r="G141" s="418" t="s">
        <v>679</v>
      </c>
      <c r="H141" s="370">
        <f>K141/F141</f>
        <v>1250</v>
      </c>
      <c r="I141" s="419">
        <v>1</v>
      </c>
      <c r="J141" s="418" t="s">
        <v>620</v>
      </c>
      <c r="K141" s="372">
        <v>7500</v>
      </c>
      <c r="L141" s="372">
        <v>0</v>
      </c>
      <c r="M141" s="372"/>
      <c r="N141" s="372"/>
      <c r="O141" s="372"/>
      <c r="P141" s="372"/>
      <c r="Q141" s="372">
        <v>8000</v>
      </c>
      <c r="R141" s="322" t="s">
        <v>815</v>
      </c>
      <c r="S141" s="329" t="s">
        <v>545</v>
      </c>
    </row>
    <row r="142" spans="1:19" s="192" customFormat="1" x14ac:dyDescent="0.3">
      <c r="A142" s="191"/>
      <c r="B142" s="191"/>
      <c r="C142" s="324"/>
      <c r="D142" s="324"/>
      <c r="E142" s="422" t="s">
        <v>752</v>
      </c>
      <c r="F142" s="403"/>
      <c r="G142" s="451"/>
      <c r="H142" s="452"/>
      <c r="I142" s="403"/>
      <c r="J142" s="451"/>
      <c r="K142" s="453"/>
      <c r="L142" s="453"/>
      <c r="M142" s="453"/>
      <c r="N142" s="453"/>
      <c r="O142" s="453"/>
      <c r="P142" s="453"/>
      <c r="Q142" s="453"/>
      <c r="R142" s="324"/>
      <c r="S142" s="329"/>
    </row>
    <row r="143" spans="1:19" s="192" customFormat="1" x14ac:dyDescent="0.3">
      <c r="A143" s="191"/>
      <c r="B143" s="191"/>
      <c r="C143" s="412" t="s">
        <v>920</v>
      </c>
      <c r="D143" s="324"/>
      <c r="E143" s="336" t="s">
        <v>845</v>
      </c>
      <c r="F143" s="324">
        <v>40</v>
      </c>
      <c r="G143" s="329" t="s">
        <v>679</v>
      </c>
      <c r="H143" s="423">
        <v>120</v>
      </c>
      <c r="I143" s="324">
        <v>1</v>
      </c>
      <c r="J143" s="329" t="s">
        <v>620</v>
      </c>
      <c r="K143" s="335">
        <v>13034.85</v>
      </c>
      <c r="L143" s="335">
        <v>3779.0521133273924</v>
      </c>
      <c r="M143" s="335">
        <v>4800</v>
      </c>
      <c r="N143" s="335"/>
      <c r="O143" s="335"/>
      <c r="P143" s="335"/>
      <c r="Q143" s="335"/>
      <c r="R143" s="324" t="s">
        <v>816</v>
      </c>
      <c r="S143" s="329" t="s">
        <v>541</v>
      </c>
    </row>
    <row r="144" spans="1:19" s="192" customFormat="1" x14ac:dyDescent="0.3">
      <c r="A144" s="191"/>
      <c r="B144" s="191"/>
      <c r="C144" s="412" t="s">
        <v>921</v>
      </c>
      <c r="D144" s="324"/>
      <c r="E144" s="336" t="s">
        <v>846</v>
      </c>
      <c r="F144" s="324">
        <v>1</v>
      </c>
      <c r="G144" s="329" t="s">
        <v>679</v>
      </c>
      <c r="H144" s="423">
        <v>5000</v>
      </c>
      <c r="I144" s="324">
        <v>1</v>
      </c>
      <c r="J144" s="329" t="s">
        <v>620</v>
      </c>
      <c r="K144" s="335">
        <v>6000</v>
      </c>
      <c r="L144" s="335">
        <v>2152.0820265653324</v>
      </c>
      <c r="M144" s="335">
        <v>5000</v>
      </c>
      <c r="N144" s="335"/>
      <c r="O144" s="335"/>
      <c r="P144" s="335"/>
      <c r="Q144" s="335"/>
      <c r="R144" s="324" t="s">
        <v>816</v>
      </c>
      <c r="S144" s="329" t="s">
        <v>541</v>
      </c>
    </row>
    <row r="145" spans="1:19" x14ac:dyDescent="0.3">
      <c r="C145" s="317"/>
      <c r="D145" s="317"/>
      <c r="E145" s="318" t="s">
        <v>754</v>
      </c>
      <c r="F145" s="317"/>
      <c r="G145" s="319"/>
      <c r="H145" s="320"/>
      <c r="I145" s="317"/>
      <c r="J145" s="319"/>
      <c r="K145" s="321">
        <f>SUBTOTAL(9,K146:K160)</f>
        <v>57613.092599999996</v>
      </c>
      <c r="L145" s="321">
        <f>SUBTOTAL(9,L146:L160)</f>
        <v>10379.144725573613</v>
      </c>
      <c r="M145" s="321">
        <f t="shared" ref="M145:Q145" si="16">SUBTOTAL(9,M146:M160)</f>
        <v>56413.092599999996</v>
      </c>
      <c r="N145" s="321">
        <f t="shared" si="16"/>
        <v>0</v>
      </c>
      <c r="O145" s="321">
        <f t="shared" si="16"/>
        <v>900</v>
      </c>
      <c r="P145" s="321">
        <f t="shared" si="16"/>
        <v>0</v>
      </c>
      <c r="Q145" s="321">
        <f t="shared" si="16"/>
        <v>0</v>
      </c>
      <c r="R145" s="322"/>
      <c r="S145" s="323"/>
    </row>
    <row r="146" spans="1:19" x14ac:dyDescent="0.3">
      <c r="C146" s="396"/>
      <c r="D146" s="396"/>
      <c r="E146" s="397" t="s">
        <v>755</v>
      </c>
      <c r="F146" s="396"/>
      <c r="G146" s="398"/>
      <c r="H146" s="399"/>
      <c r="I146" s="396"/>
      <c r="J146" s="398"/>
      <c r="K146" s="400">
        <f>SUBTOTAL(9,K147:K152)</f>
        <v>40000</v>
      </c>
      <c r="L146" s="400">
        <f>SUBTOTAL(9,L147:L152)</f>
        <v>5840.2907427862192</v>
      </c>
      <c r="M146" s="400">
        <f t="shared" ref="M146:Q146" si="17">SUBTOTAL(9,M147:M152)</f>
        <v>40000</v>
      </c>
      <c r="N146" s="400">
        <f t="shared" si="17"/>
        <v>0</v>
      </c>
      <c r="O146" s="400">
        <f t="shared" si="17"/>
        <v>0</v>
      </c>
      <c r="P146" s="400">
        <f t="shared" si="17"/>
        <v>0</v>
      </c>
      <c r="Q146" s="400">
        <f t="shared" si="17"/>
        <v>0</v>
      </c>
      <c r="R146" s="322"/>
      <c r="S146" s="323"/>
    </row>
    <row r="147" spans="1:19" s="192" customFormat="1" x14ac:dyDescent="0.3">
      <c r="A147" s="191"/>
      <c r="B147" s="180"/>
      <c r="C147" s="330">
        <v>1850</v>
      </c>
      <c r="D147" s="330"/>
      <c r="E147" s="376" t="s">
        <v>860</v>
      </c>
      <c r="F147" s="377">
        <v>1</v>
      </c>
      <c r="G147" s="378" t="s">
        <v>679</v>
      </c>
      <c r="H147" s="379">
        <v>10000</v>
      </c>
      <c r="I147" s="380">
        <v>1</v>
      </c>
      <c r="J147" s="381" t="s">
        <v>620</v>
      </c>
      <c r="K147" s="382">
        <v>13000</v>
      </c>
      <c r="L147" s="382">
        <v>2823.7258973300986</v>
      </c>
      <c r="M147" s="382">
        <f>K147</f>
        <v>13000</v>
      </c>
      <c r="N147" s="382"/>
      <c r="O147" s="382"/>
      <c r="P147" s="382"/>
      <c r="Q147" s="382"/>
      <c r="R147" s="329" t="s">
        <v>518</v>
      </c>
      <c r="S147" s="329" t="s">
        <v>543</v>
      </c>
    </row>
    <row r="148" spans="1:19" s="192" customFormat="1" x14ac:dyDescent="0.3">
      <c r="A148" s="191"/>
      <c r="B148" s="180"/>
      <c r="C148" s="330">
        <f>C147+1</f>
        <v>1851</v>
      </c>
      <c r="D148" s="330"/>
      <c r="E148" s="376" t="s">
        <v>861</v>
      </c>
      <c r="F148" s="377">
        <v>1</v>
      </c>
      <c r="G148" s="378" t="s">
        <v>679</v>
      </c>
      <c r="H148" s="379">
        <v>5000</v>
      </c>
      <c r="I148" s="380">
        <v>1</v>
      </c>
      <c r="J148" s="381" t="s">
        <v>620</v>
      </c>
      <c r="K148" s="382">
        <v>2000</v>
      </c>
      <c r="L148" s="382">
        <v>355.16250904554516</v>
      </c>
      <c r="M148" s="382">
        <f t="shared" ref="M148:M152" si="18">K148</f>
        <v>2000</v>
      </c>
      <c r="N148" s="382"/>
      <c r="O148" s="382"/>
      <c r="P148" s="382"/>
      <c r="Q148" s="382"/>
      <c r="R148" s="329" t="s">
        <v>518</v>
      </c>
      <c r="S148" s="329" t="s">
        <v>541</v>
      </c>
    </row>
    <row r="149" spans="1:19" s="192" customFormat="1" x14ac:dyDescent="0.3">
      <c r="A149" s="191"/>
      <c r="B149" s="180"/>
      <c r="C149" s="330">
        <f t="shared" ref="C149:C152" si="19">C148+1</f>
        <v>1852</v>
      </c>
      <c r="D149" s="330"/>
      <c r="E149" s="376" t="s">
        <v>753</v>
      </c>
      <c r="F149" s="456">
        <v>2</v>
      </c>
      <c r="G149" s="378" t="s">
        <v>679</v>
      </c>
      <c r="H149" s="379">
        <v>3500</v>
      </c>
      <c r="I149" s="380">
        <v>1</v>
      </c>
      <c r="J149" s="381" t="s">
        <v>620</v>
      </c>
      <c r="K149" s="382">
        <v>7000</v>
      </c>
      <c r="L149" s="382">
        <v>0</v>
      </c>
      <c r="M149" s="382">
        <f t="shared" si="18"/>
        <v>7000</v>
      </c>
      <c r="N149" s="382"/>
      <c r="O149" s="382"/>
      <c r="P149" s="382"/>
      <c r="Q149" s="382"/>
      <c r="R149" s="329" t="s">
        <v>518</v>
      </c>
      <c r="S149" s="329" t="s">
        <v>543</v>
      </c>
    </row>
    <row r="150" spans="1:19" s="192" customFormat="1" x14ac:dyDescent="0.3">
      <c r="A150" s="191"/>
      <c r="B150" s="180"/>
      <c r="C150" s="330">
        <f t="shared" si="19"/>
        <v>1853</v>
      </c>
      <c r="D150" s="330"/>
      <c r="E150" s="376" t="s">
        <v>862</v>
      </c>
      <c r="F150" s="377">
        <v>1</v>
      </c>
      <c r="G150" s="378" t="s">
        <v>679</v>
      </c>
      <c r="H150" s="379">
        <v>10000</v>
      </c>
      <c r="I150" s="380">
        <v>1</v>
      </c>
      <c r="J150" s="381" t="s">
        <v>620</v>
      </c>
      <c r="K150" s="382">
        <v>14000</v>
      </c>
      <c r="L150" s="382">
        <v>2613.6247540865438</v>
      </c>
      <c r="M150" s="382">
        <f t="shared" si="18"/>
        <v>14000</v>
      </c>
      <c r="N150" s="382"/>
      <c r="O150" s="382"/>
      <c r="P150" s="382"/>
      <c r="Q150" s="382"/>
      <c r="R150" s="329" t="s">
        <v>518</v>
      </c>
      <c r="S150" s="329" t="s">
        <v>543</v>
      </c>
    </row>
    <row r="151" spans="1:19" s="192" customFormat="1" x14ac:dyDescent="0.3">
      <c r="A151" s="191"/>
      <c r="B151" s="180"/>
      <c r="C151" s="330">
        <f t="shared" si="19"/>
        <v>1854</v>
      </c>
      <c r="D151" s="330"/>
      <c r="E151" s="376" t="s">
        <v>863</v>
      </c>
      <c r="F151" s="377">
        <v>1</v>
      </c>
      <c r="G151" s="378" t="s">
        <v>679</v>
      </c>
      <c r="H151" s="379">
        <v>5000</v>
      </c>
      <c r="I151" s="380">
        <v>1</v>
      </c>
      <c r="J151" s="381" t="s">
        <v>620</v>
      </c>
      <c r="K151" s="382">
        <v>1000</v>
      </c>
      <c r="L151" s="382">
        <v>0</v>
      </c>
      <c r="M151" s="382">
        <f t="shared" si="18"/>
        <v>1000</v>
      </c>
      <c r="N151" s="382"/>
      <c r="O151" s="382"/>
      <c r="P151" s="382"/>
      <c r="Q151" s="382"/>
      <c r="R151" s="329" t="s">
        <v>518</v>
      </c>
      <c r="S151" s="329" t="s">
        <v>541</v>
      </c>
    </row>
    <row r="152" spans="1:19" s="192" customFormat="1" x14ac:dyDescent="0.3">
      <c r="A152" s="191"/>
      <c r="B152" s="180"/>
      <c r="C152" s="330">
        <f t="shared" si="19"/>
        <v>1855</v>
      </c>
      <c r="D152" s="330"/>
      <c r="E152" s="376" t="s">
        <v>756</v>
      </c>
      <c r="F152" s="377">
        <v>1</v>
      </c>
      <c r="G152" s="378" t="s">
        <v>757</v>
      </c>
      <c r="H152" s="379">
        <v>2500</v>
      </c>
      <c r="I152" s="380">
        <v>1</v>
      </c>
      <c r="J152" s="381" t="s">
        <v>758</v>
      </c>
      <c r="K152" s="382">
        <v>3000</v>
      </c>
      <c r="L152" s="382">
        <v>47.777582324031911</v>
      </c>
      <c r="M152" s="382">
        <f t="shared" si="18"/>
        <v>3000</v>
      </c>
      <c r="N152" s="382"/>
      <c r="O152" s="382"/>
      <c r="P152" s="382"/>
      <c r="Q152" s="382"/>
      <c r="R152" s="329" t="s">
        <v>518</v>
      </c>
      <c r="S152" s="329" t="s">
        <v>546</v>
      </c>
    </row>
    <row r="153" spans="1:19" x14ac:dyDescent="0.3">
      <c r="C153" s="396"/>
      <c r="D153" s="396"/>
      <c r="E153" s="397" t="s">
        <v>759</v>
      </c>
      <c r="F153" s="396"/>
      <c r="G153" s="398"/>
      <c r="H153" s="399"/>
      <c r="I153" s="396"/>
      <c r="J153" s="398"/>
      <c r="K153" s="457">
        <f>SUBTOTAL(9,K154)</f>
        <v>8167</v>
      </c>
      <c r="L153" s="457">
        <f>SUBTOTAL(9,L154)</f>
        <v>0</v>
      </c>
      <c r="M153" s="457">
        <f t="shared" ref="M153:Q153" si="20">SUBTOTAL(9,M154)</f>
        <v>8167</v>
      </c>
      <c r="N153" s="457">
        <f t="shared" si="20"/>
        <v>0</v>
      </c>
      <c r="O153" s="457">
        <f t="shared" si="20"/>
        <v>0</v>
      </c>
      <c r="P153" s="457">
        <f t="shared" si="20"/>
        <v>0</v>
      </c>
      <c r="Q153" s="457">
        <f t="shared" si="20"/>
        <v>0</v>
      </c>
      <c r="R153" s="322"/>
      <c r="S153" s="323"/>
    </row>
    <row r="154" spans="1:19" x14ac:dyDescent="0.3">
      <c r="C154" s="458" t="s">
        <v>922</v>
      </c>
      <c r="D154" s="458"/>
      <c r="E154" s="342" t="s">
        <v>761</v>
      </c>
      <c r="F154" s="322">
        <v>1</v>
      </c>
      <c r="G154" s="323" t="s">
        <v>666</v>
      </c>
      <c r="H154" s="423">
        <v>8167</v>
      </c>
      <c r="I154" s="322">
        <v>1</v>
      </c>
      <c r="J154" s="323" t="s">
        <v>620</v>
      </c>
      <c r="K154" s="335">
        <v>8167</v>
      </c>
      <c r="L154" s="335">
        <v>0</v>
      </c>
      <c r="M154" s="335">
        <v>8167</v>
      </c>
      <c r="N154" s="335"/>
      <c r="O154" s="335"/>
      <c r="P154" s="335"/>
      <c r="Q154" s="335"/>
      <c r="R154" s="342" t="s">
        <v>519</v>
      </c>
      <c r="S154" s="323" t="s">
        <v>543</v>
      </c>
    </row>
    <row r="155" spans="1:19" x14ac:dyDescent="0.3">
      <c r="C155" s="396"/>
      <c r="D155" s="396"/>
      <c r="E155" s="397" t="s">
        <v>762</v>
      </c>
      <c r="F155" s="396"/>
      <c r="G155" s="398"/>
      <c r="H155" s="399"/>
      <c r="I155" s="396"/>
      <c r="J155" s="398"/>
      <c r="K155" s="457">
        <f>SUBTOTAL(9,K156:K160)</f>
        <v>9446.0925999999999</v>
      </c>
      <c r="L155" s="457">
        <f>SUBTOTAL(9,L156:L160)</f>
        <v>4538.8539827873929</v>
      </c>
      <c r="M155" s="457">
        <f t="shared" ref="M155:Q155" si="21">SUBTOTAL(9,M156:M160)</f>
        <v>8246.0925999999999</v>
      </c>
      <c r="N155" s="457">
        <f t="shared" si="21"/>
        <v>0</v>
      </c>
      <c r="O155" s="457">
        <f t="shared" si="21"/>
        <v>900</v>
      </c>
      <c r="P155" s="457">
        <f t="shared" si="21"/>
        <v>0</v>
      </c>
      <c r="Q155" s="457">
        <f t="shared" si="21"/>
        <v>0</v>
      </c>
      <c r="R155" s="322"/>
      <c r="S155" s="323"/>
    </row>
    <row r="156" spans="1:19" x14ac:dyDescent="0.3">
      <c r="C156" s="458" t="s">
        <v>923</v>
      </c>
      <c r="D156" s="322"/>
      <c r="E156" s="342" t="s">
        <v>763</v>
      </c>
      <c r="F156" s="322">
        <v>1</v>
      </c>
      <c r="G156" s="323" t="s">
        <v>764</v>
      </c>
      <c r="H156" s="395">
        <v>3367.2858999999999</v>
      </c>
      <c r="I156" s="322">
        <v>14</v>
      </c>
      <c r="J156" s="323" t="s">
        <v>620</v>
      </c>
      <c r="K156" s="335">
        <v>2.599999999802094E-3</v>
      </c>
      <c r="L156" s="335">
        <v>0</v>
      </c>
      <c r="M156" s="335">
        <f>K156</f>
        <v>2.599999999802094E-3</v>
      </c>
      <c r="N156" s="335"/>
      <c r="O156" s="335"/>
      <c r="P156" s="335"/>
      <c r="Q156" s="335"/>
      <c r="R156" s="322" t="s">
        <v>847</v>
      </c>
      <c r="S156" s="323" t="s">
        <v>544</v>
      </c>
    </row>
    <row r="157" spans="1:19" x14ac:dyDescent="0.3">
      <c r="C157" s="322">
        <v>1578</v>
      </c>
      <c r="D157" s="322">
        <v>8005</v>
      </c>
      <c r="E157" s="459" t="s">
        <v>765</v>
      </c>
      <c r="F157" s="352">
        <v>1</v>
      </c>
      <c r="G157" s="353" t="s">
        <v>666</v>
      </c>
      <c r="H157" s="460">
        <v>50</v>
      </c>
      <c r="I157" s="352">
        <v>18</v>
      </c>
      <c r="J157" s="353" t="s">
        <v>620</v>
      </c>
      <c r="K157" s="354">
        <v>900</v>
      </c>
      <c r="L157" s="354">
        <v>918.268753329373</v>
      </c>
      <c r="M157" s="354"/>
      <c r="N157" s="354"/>
      <c r="O157" s="354">
        <v>900</v>
      </c>
      <c r="P157" s="354"/>
      <c r="Q157" s="354"/>
      <c r="R157" s="322" t="s">
        <v>847</v>
      </c>
      <c r="S157" s="323" t="s">
        <v>546</v>
      </c>
    </row>
    <row r="158" spans="1:19" x14ac:dyDescent="0.3">
      <c r="C158" s="458" t="s">
        <v>924</v>
      </c>
      <c r="D158" s="322"/>
      <c r="E158" s="342" t="s">
        <v>767</v>
      </c>
      <c r="F158" s="322">
        <v>30</v>
      </c>
      <c r="G158" s="323" t="s">
        <v>694</v>
      </c>
      <c r="H158" s="395">
        <v>50</v>
      </c>
      <c r="I158" s="322">
        <v>1</v>
      </c>
      <c r="J158" s="323" t="s">
        <v>620</v>
      </c>
      <c r="K158" s="335">
        <v>1571.09</v>
      </c>
      <c r="L158" s="335">
        <v>1571.0852327182736</v>
      </c>
      <c r="M158" s="335">
        <f>K158</f>
        <v>1571.09</v>
      </c>
      <c r="N158" s="335"/>
      <c r="O158" s="335"/>
      <c r="P158" s="335"/>
      <c r="Q158" s="335"/>
      <c r="R158" s="322" t="s">
        <v>847</v>
      </c>
      <c r="S158" s="323" t="s">
        <v>546</v>
      </c>
    </row>
    <row r="159" spans="1:19" x14ac:dyDescent="0.3">
      <c r="C159" s="458" t="s">
        <v>925</v>
      </c>
      <c r="D159" s="322"/>
      <c r="E159" s="342" t="s">
        <v>768</v>
      </c>
      <c r="F159" s="322">
        <v>1</v>
      </c>
      <c r="G159" s="323" t="s">
        <v>679</v>
      </c>
      <c r="H159" s="395">
        <v>6000</v>
      </c>
      <c r="I159" s="322">
        <v>1</v>
      </c>
      <c r="J159" s="323" t="s">
        <v>620</v>
      </c>
      <c r="K159" s="335">
        <v>6000</v>
      </c>
      <c r="L159" s="335">
        <v>2049.4999967397462</v>
      </c>
      <c r="M159" s="335">
        <f>K159</f>
        <v>6000</v>
      </c>
      <c r="N159" s="335"/>
      <c r="O159" s="335"/>
      <c r="P159" s="335"/>
      <c r="Q159" s="335"/>
      <c r="R159" s="322" t="s">
        <v>847</v>
      </c>
      <c r="S159" s="323" t="s">
        <v>546</v>
      </c>
    </row>
    <row r="160" spans="1:19" x14ac:dyDescent="0.3">
      <c r="C160" s="458" t="s">
        <v>926</v>
      </c>
      <c r="D160" s="458"/>
      <c r="E160" s="342" t="s">
        <v>770</v>
      </c>
      <c r="F160" s="322">
        <v>15</v>
      </c>
      <c r="G160" s="323" t="s">
        <v>691</v>
      </c>
      <c r="H160" s="395">
        <v>2.5</v>
      </c>
      <c r="I160" s="322">
        <v>18</v>
      </c>
      <c r="J160" s="323" t="s">
        <v>620</v>
      </c>
      <c r="K160" s="335">
        <v>975</v>
      </c>
      <c r="L160" s="335">
        <v>0</v>
      </c>
      <c r="M160" s="335">
        <v>675</v>
      </c>
      <c r="N160" s="335"/>
      <c r="O160" s="335"/>
      <c r="P160" s="335"/>
      <c r="Q160" s="335"/>
      <c r="R160" s="322" t="s">
        <v>847</v>
      </c>
      <c r="S160" s="323" t="s">
        <v>546</v>
      </c>
    </row>
    <row r="161" spans="3:19" x14ac:dyDescent="0.3">
      <c r="C161" s="317"/>
      <c r="D161" s="317"/>
      <c r="E161" s="318" t="s">
        <v>771</v>
      </c>
      <c r="F161" s="319"/>
      <c r="G161" s="319"/>
      <c r="H161" s="320"/>
      <c r="I161" s="319"/>
      <c r="J161" s="319"/>
      <c r="K161" s="321">
        <f>SUBTOTAL(9,K162:K174)</f>
        <v>77879.839999999997</v>
      </c>
      <c r="L161" s="321">
        <f>SUBTOTAL(9,L162:L174)</f>
        <v>64482.622401072651</v>
      </c>
      <c r="M161" s="321">
        <f t="shared" ref="M161:Q161" si="22">SUBTOTAL(9,M162:M174)</f>
        <v>61959.68</v>
      </c>
      <c r="N161" s="321">
        <f t="shared" si="22"/>
        <v>0</v>
      </c>
      <c r="O161" s="321">
        <f t="shared" si="22"/>
        <v>5520</v>
      </c>
      <c r="P161" s="321">
        <f t="shared" si="22"/>
        <v>0</v>
      </c>
      <c r="Q161" s="321">
        <f t="shared" si="22"/>
        <v>10400.16</v>
      </c>
      <c r="R161" s="322"/>
      <c r="S161" s="323"/>
    </row>
    <row r="162" spans="3:19" x14ac:dyDescent="0.3">
      <c r="C162" s="396"/>
      <c r="D162" s="396"/>
      <c r="E162" s="397" t="s">
        <v>772</v>
      </c>
      <c r="F162" s="398"/>
      <c r="G162" s="398"/>
      <c r="H162" s="399"/>
      <c r="I162" s="398"/>
      <c r="J162" s="398"/>
      <c r="K162" s="400">
        <f>SUBTOTAL(9,K163:K168)</f>
        <v>57500.130000000005</v>
      </c>
      <c r="L162" s="400">
        <f>SUBTOTAL(9,L163:L168)</f>
        <v>47719.237685905951</v>
      </c>
      <c r="M162" s="400">
        <f t="shared" ref="M162:Q162" si="23">SUBTOTAL(9,M163:M168)</f>
        <v>48149.97</v>
      </c>
      <c r="N162" s="400">
        <f t="shared" si="23"/>
        <v>0</v>
      </c>
      <c r="O162" s="400">
        <f t="shared" si="23"/>
        <v>4350</v>
      </c>
      <c r="P162" s="400">
        <f t="shared" si="23"/>
        <v>0</v>
      </c>
      <c r="Q162" s="400">
        <f t="shared" si="23"/>
        <v>5000.16</v>
      </c>
      <c r="R162" s="322"/>
      <c r="S162" s="323"/>
    </row>
    <row r="163" spans="3:19" x14ac:dyDescent="0.3">
      <c r="C163" s="322">
        <v>1680</v>
      </c>
      <c r="D163" s="322">
        <v>8005</v>
      </c>
      <c r="E163" s="459" t="s">
        <v>773</v>
      </c>
      <c r="F163" s="461">
        <v>0.5</v>
      </c>
      <c r="G163" s="353" t="s">
        <v>669</v>
      </c>
      <c r="H163" s="460">
        <v>4000</v>
      </c>
      <c r="I163" s="462">
        <v>1.5</v>
      </c>
      <c r="J163" s="353" t="s">
        <v>620</v>
      </c>
      <c r="K163" s="354">
        <v>3000</v>
      </c>
      <c r="L163" s="354">
        <v>1824.0749668470689</v>
      </c>
      <c r="M163" s="354"/>
      <c r="N163" s="354"/>
      <c r="O163" s="354">
        <v>3000</v>
      </c>
      <c r="P163" s="354"/>
      <c r="Q163" s="354"/>
      <c r="R163" s="322" t="s">
        <v>847</v>
      </c>
      <c r="S163" s="323" t="s">
        <v>546</v>
      </c>
    </row>
    <row r="164" spans="3:19" x14ac:dyDescent="0.3">
      <c r="C164" s="322">
        <v>1681</v>
      </c>
      <c r="D164" s="322">
        <v>8005</v>
      </c>
      <c r="E164" s="459" t="s">
        <v>774</v>
      </c>
      <c r="F164" s="461">
        <v>0.5</v>
      </c>
      <c r="G164" s="353" t="s">
        <v>669</v>
      </c>
      <c r="H164" s="460">
        <v>150</v>
      </c>
      <c r="I164" s="352">
        <v>18</v>
      </c>
      <c r="J164" s="353" t="s">
        <v>620</v>
      </c>
      <c r="K164" s="354">
        <v>1350</v>
      </c>
      <c r="L164" s="354">
        <v>1042.3337037917745</v>
      </c>
      <c r="M164" s="354"/>
      <c r="N164" s="354"/>
      <c r="O164" s="354">
        <v>1350</v>
      </c>
      <c r="P164" s="354"/>
      <c r="Q164" s="354"/>
      <c r="R164" s="322" t="s">
        <v>847</v>
      </c>
      <c r="S164" s="323" t="s">
        <v>546</v>
      </c>
    </row>
    <row r="165" spans="3:19" x14ac:dyDescent="0.3">
      <c r="C165" s="322">
        <v>1683</v>
      </c>
      <c r="D165" s="330">
        <v>8006</v>
      </c>
      <c r="E165" s="463" t="s">
        <v>775</v>
      </c>
      <c r="F165" s="371">
        <v>1</v>
      </c>
      <c r="G165" s="369" t="s">
        <v>666</v>
      </c>
      <c r="H165" s="464">
        <v>277.78666666666663</v>
      </c>
      <c r="I165" s="371">
        <v>18</v>
      </c>
      <c r="J165" s="369" t="s">
        <v>620</v>
      </c>
      <c r="K165" s="372">
        <v>5000.16</v>
      </c>
      <c r="L165" s="372">
        <v>4754.1114934558873</v>
      </c>
      <c r="M165" s="372"/>
      <c r="N165" s="372"/>
      <c r="O165" s="372"/>
      <c r="P165" s="372"/>
      <c r="Q165" s="372">
        <v>5000.16</v>
      </c>
      <c r="R165" s="322" t="s">
        <v>847</v>
      </c>
      <c r="S165" s="323" t="s">
        <v>546</v>
      </c>
    </row>
    <row r="166" spans="3:19" x14ac:dyDescent="0.3">
      <c r="C166" s="322">
        <v>1925</v>
      </c>
      <c r="D166" s="322"/>
      <c r="E166" s="342" t="s">
        <v>776</v>
      </c>
      <c r="F166" s="465">
        <v>0.2</v>
      </c>
      <c r="G166" s="323" t="s">
        <v>764</v>
      </c>
      <c r="H166" s="395">
        <v>6000</v>
      </c>
      <c r="I166" s="322">
        <v>18</v>
      </c>
      <c r="J166" s="323" t="s">
        <v>620</v>
      </c>
      <c r="K166" s="335">
        <v>28001.84</v>
      </c>
      <c r="L166" s="335">
        <v>27298.611191553216</v>
      </c>
      <c r="M166" s="335">
        <f>K166</f>
        <v>28001.84</v>
      </c>
      <c r="N166" s="335"/>
      <c r="O166" s="335"/>
      <c r="P166" s="335"/>
      <c r="Q166" s="335"/>
      <c r="R166" s="342" t="s">
        <v>517</v>
      </c>
      <c r="S166" s="329" t="s">
        <v>540</v>
      </c>
    </row>
    <row r="167" spans="3:19" x14ac:dyDescent="0.3">
      <c r="C167" s="322">
        <v>1926</v>
      </c>
      <c r="D167" s="322"/>
      <c r="E167" s="342" t="s">
        <v>777</v>
      </c>
      <c r="F167" s="465">
        <v>0.25</v>
      </c>
      <c r="G167" s="323" t="s">
        <v>764</v>
      </c>
      <c r="H167" s="395">
        <v>1400</v>
      </c>
      <c r="I167" s="322">
        <v>18</v>
      </c>
      <c r="J167" s="323" t="s">
        <v>620</v>
      </c>
      <c r="K167" s="335">
        <v>4847.16</v>
      </c>
      <c r="L167" s="335">
        <v>3909.1368074337124</v>
      </c>
      <c r="M167" s="335">
        <f t="shared" ref="M167:M168" si="24">K167</f>
        <v>4847.16</v>
      </c>
      <c r="N167" s="335"/>
      <c r="O167" s="335"/>
      <c r="P167" s="335"/>
      <c r="Q167" s="335"/>
      <c r="R167" s="342" t="s">
        <v>517</v>
      </c>
      <c r="S167" s="323" t="s">
        <v>546</v>
      </c>
    </row>
    <row r="168" spans="3:19" x14ac:dyDescent="0.3">
      <c r="C168" s="322">
        <v>1927</v>
      </c>
      <c r="D168" s="322"/>
      <c r="E168" s="342" t="s">
        <v>778</v>
      </c>
      <c r="F168" s="465">
        <v>0.25</v>
      </c>
      <c r="G168" s="323" t="s">
        <v>764</v>
      </c>
      <c r="H168" s="395">
        <v>4500</v>
      </c>
      <c r="I168" s="322">
        <v>18</v>
      </c>
      <c r="J168" s="323" t="s">
        <v>620</v>
      </c>
      <c r="K168" s="335">
        <v>15300.970000000001</v>
      </c>
      <c r="L168" s="335">
        <v>8890.9695228242945</v>
      </c>
      <c r="M168" s="335">
        <f t="shared" si="24"/>
        <v>15300.970000000001</v>
      </c>
      <c r="N168" s="335"/>
      <c r="O168" s="335"/>
      <c r="P168" s="335"/>
      <c r="Q168" s="335"/>
      <c r="R168" s="342" t="s">
        <v>517</v>
      </c>
      <c r="S168" s="323" t="s">
        <v>546</v>
      </c>
    </row>
    <row r="169" spans="3:19" x14ac:dyDescent="0.3">
      <c r="C169" s="396"/>
      <c r="D169" s="396"/>
      <c r="E169" s="397" t="s">
        <v>779</v>
      </c>
      <c r="F169" s="396"/>
      <c r="G169" s="398"/>
      <c r="H169" s="399"/>
      <c r="I169" s="396"/>
      <c r="J169" s="398"/>
      <c r="K169" s="400">
        <f>SUBTOTAL(9,K170:K174)</f>
        <v>20379.71</v>
      </c>
      <c r="L169" s="400">
        <f>SUBTOTAL(9,L170:L174)</f>
        <v>16763.384715166692</v>
      </c>
      <c r="M169" s="400">
        <f t="shared" ref="M169:Q169" si="25">SUBTOTAL(9,M170:M174)</f>
        <v>13809.71</v>
      </c>
      <c r="N169" s="400">
        <f t="shared" si="25"/>
        <v>0</v>
      </c>
      <c r="O169" s="400">
        <f t="shared" si="25"/>
        <v>1170</v>
      </c>
      <c r="P169" s="400">
        <f t="shared" si="25"/>
        <v>0</v>
      </c>
      <c r="Q169" s="400">
        <f t="shared" si="25"/>
        <v>5400</v>
      </c>
      <c r="R169" s="322"/>
      <c r="S169" s="323"/>
    </row>
    <row r="170" spans="3:19" x14ac:dyDescent="0.3">
      <c r="C170" s="322">
        <v>1670</v>
      </c>
      <c r="D170" s="322">
        <v>8005</v>
      </c>
      <c r="E170" s="459" t="s">
        <v>780</v>
      </c>
      <c r="F170" s="461">
        <v>0.5</v>
      </c>
      <c r="G170" s="353" t="s">
        <v>669</v>
      </c>
      <c r="H170" s="460">
        <v>130</v>
      </c>
      <c r="I170" s="352">
        <v>18</v>
      </c>
      <c r="J170" s="353" t="s">
        <v>620</v>
      </c>
      <c r="K170" s="354">
        <v>1170</v>
      </c>
      <c r="L170" s="354">
        <v>1185.5595914013766</v>
      </c>
      <c r="M170" s="354"/>
      <c r="N170" s="354"/>
      <c r="O170" s="354">
        <v>1170</v>
      </c>
      <c r="P170" s="354"/>
      <c r="Q170" s="354"/>
      <c r="R170" s="322" t="s">
        <v>847</v>
      </c>
      <c r="S170" s="323" t="s">
        <v>544</v>
      </c>
    </row>
    <row r="171" spans="3:19" x14ac:dyDescent="0.3">
      <c r="C171" s="322">
        <v>1671</v>
      </c>
      <c r="D171" s="330">
        <v>8006</v>
      </c>
      <c r="E171" s="463" t="s">
        <v>781</v>
      </c>
      <c r="F171" s="371">
        <v>1</v>
      </c>
      <c r="G171" s="369"/>
      <c r="H171" s="464">
        <v>300</v>
      </c>
      <c r="I171" s="371">
        <v>18</v>
      </c>
      <c r="J171" s="369" t="s">
        <v>620</v>
      </c>
      <c r="K171" s="372">
        <v>5400</v>
      </c>
      <c r="L171" s="372">
        <v>5613.7802172050206</v>
      </c>
      <c r="M171" s="372"/>
      <c r="N171" s="372"/>
      <c r="O171" s="372"/>
      <c r="P171" s="372"/>
      <c r="Q171" s="372">
        <v>5400</v>
      </c>
      <c r="R171" s="322" t="s">
        <v>847</v>
      </c>
      <c r="S171" s="323" t="s">
        <v>544</v>
      </c>
    </row>
    <row r="172" spans="3:19" x14ac:dyDescent="0.3">
      <c r="C172" s="322">
        <v>1900</v>
      </c>
      <c r="D172" s="322"/>
      <c r="E172" s="342" t="s">
        <v>782</v>
      </c>
      <c r="F172" s="465">
        <v>0.25</v>
      </c>
      <c r="G172" s="323" t="s">
        <v>764</v>
      </c>
      <c r="H172" s="395">
        <v>1000</v>
      </c>
      <c r="I172" s="322">
        <v>18</v>
      </c>
      <c r="J172" s="323" t="s">
        <v>620</v>
      </c>
      <c r="K172" s="335">
        <v>7285.34</v>
      </c>
      <c r="L172" s="335">
        <v>4799.0147282360886</v>
      </c>
      <c r="M172" s="335">
        <f>K172</f>
        <v>7285.34</v>
      </c>
      <c r="N172" s="335"/>
      <c r="O172" s="335"/>
      <c r="P172" s="335"/>
      <c r="Q172" s="335"/>
      <c r="R172" s="342" t="s">
        <v>517</v>
      </c>
      <c r="S172" s="323" t="s">
        <v>544</v>
      </c>
    </row>
    <row r="173" spans="3:19" x14ac:dyDescent="0.3">
      <c r="C173" s="322">
        <v>1901</v>
      </c>
      <c r="D173" s="322"/>
      <c r="E173" s="342" t="s">
        <v>783</v>
      </c>
      <c r="F173" s="465">
        <v>0.25</v>
      </c>
      <c r="G173" s="323" t="s">
        <v>764</v>
      </c>
      <c r="H173" s="395">
        <v>600</v>
      </c>
      <c r="I173" s="322">
        <v>18</v>
      </c>
      <c r="J173" s="323" t="s">
        <v>620</v>
      </c>
      <c r="K173" s="335">
        <v>5174.37</v>
      </c>
      <c r="L173" s="335">
        <v>5096.6955625941173</v>
      </c>
      <c r="M173" s="335">
        <f t="shared" ref="M173:M174" si="26">K173</f>
        <v>5174.37</v>
      </c>
      <c r="N173" s="335"/>
      <c r="O173" s="335"/>
      <c r="P173" s="335"/>
      <c r="Q173" s="335"/>
      <c r="R173" s="342" t="s">
        <v>517</v>
      </c>
      <c r="S173" s="323" t="s">
        <v>544</v>
      </c>
    </row>
    <row r="174" spans="3:19" x14ac:dyDescent="0.3">
      <c r="C174" s="322">
        <v>1902</v>
      </c>
      <c r="D174" s="322"/>
      <c r="E174" s="342" t="s">
        <v>784</v>
      </c>
      <c r="F174" s="465">
        <v>0.25</v>
      </c>
      <c r="G174" s="323" t="s">
        <v>764</v>
      </c>
      <c r="H174" s="395">
        <v>300</v>
      </c>
      <c r="I174" s="322">
        <v>18</v>
      </c>
      <c r="J174" s="323" t="s">
        <v>620</v>
      </c>
      <c r="K174" s="335">
        <v>1350</v>
      </c>
      <c r="L174" s="335">
        <v>68.334615730091684</v>
      </c>
      <c r="M174" s="335">
        <f t="shared" si="26"/>
        <v>1350</v>
      </c>
      <c r="N174" s="335"/>
      <c r="O174" s="335"/>
      <c r="P174" s="335"/>
      <c r="Q174" s="335"/>
      <c r="R174" s="342" t="s">
        <v>517</v>
      </c>
      <c r="S174" s="323" t="s">
        <v>544</v>
      </c>
    </row>
    <row r="175" spans="3:19" x14ac:dyDescent="0.3">
      <c r="C175" s="317"/>
      <c r="D175" s="317"/>
      <c r="E175" s="318" t="s">
        <v>785</v>
      </c>
      <c r="F175" s="317"/>
      <c r="G175" s="319"/>
      <c r="H175" s="320"/>
      <c r="I175" s="317"/>
      <c r="J175" s="319"/>
      <c r="K175" s="321">
        <f t="shared" ref="K175:Q175" si="27">SUBTOTAL(9,K7:K174)</f>
        <v>1401869.1642327751</v>
      </c>
      <c r="L175" s="321">
        <f t="shared" si="27"/>
        <v>875541.91411551775</v>
      </c>
      <c r="M175" s="321">
        <f>SUBTOTAL(9,M7:M174)</f>
        <v>696514.40866206388</v>
      </c>
      <c r="N175" s="321">
        <f t="shared" si="27"/>
        <v>55475</v>
      </c>
      <c r="O175" s="321">
        <f t="shared" si="27"/>
        <v>227862</v>
      </c>
      <c r="P175" s="321">
        <f t="shared" si="27"/>
        <v>200000</v>
      </c>
      <c r="Q175" s="321">
        <f t="shared" si="27"/>
        <v>213010.16</v>
      </c>
      <c r="R175" s="322"/>
      <c r="S175" s="323"/>
    </row>
    <row r="176" spans="3:19" x14ac:dyDescent="0.3">
      <c r="C176" s="322"/>
      <c r="D176" s="322"/>
      <c r="E176" s="342" t="s">
        <v>786</v>
      </c>
      <c r="F176" s="322"/>
      <c r="G176" s="323"/>
      <c r="H176" s="395"/>
      <c r="I176" s="322"/>
      <c r="J176" s="323"/>
      <c r="K176" s="455">
        <f>K175*0.07</f>
        <v>98130.841496294262</v>
      </c>
      <c r="L176" s="455">
        <f>L175*0.07</f>
        <v>61287.933988086246</v>
      </c>
      <c r="M176" s="455">
        <v>98130.84120000001</v>
      </c>
      <c r="N176" s="455"/>
      <c r="O176" s="455"/>
      <c r="P176" s="455"/>
      <c r="Q176" s="455"/>
      <c r="R176" s="322"/>
      <c r="S176" s="323"/>
    </row>
    <row r="177" spans="3:19" x14ac:dyDescent="0.3">
      <c r="C177" s="317"/>
      <c r="D177" s="317"/>
      <c r="E177" s="318" t="s">
        <v>787</v>
      </c>
      <c r="F177" s="317"/>
      <c r="G177" s="319"/>
      <c r="H177" s="320"/>
      <c r="I177" s="317"/>
      <c r="J177" s="319"/>
      <c r="K177" s="321">
        <f>K175+K176</f>
        <v>1500000.0057290695</v>
      </c>
      <c r="L177" s="321"/>
      <c r="M177" s="321">
        <f t="shared" ref="M177:Q177" si="28">M175+M176</f>
        <v>794645.24986206391</v>
      </c>
      <c r="N177" s="321">
        <f t="shared" si="28"/>
        <v>55475</v>
      </c>
      <c r="O177" s="321">
        <f t="shared" si="28"/>
        <v>227862</v>
      </c>
      <c r="P177" s="321">
        <f t="shared" si="28"/>
        <v>200000</v>
      </c>
      <c r="Q177" s="321">
        <f t="shared" si="28"/>
        <v>213010.16</v>
      </c>
      <c r="R177" s="322"/>
      <c r="S177" s="323"/>
    </row>
    <row r="178" spans="3:19" x14ac:dyDescent="0.3">
      <c r="K178" s="183"/>
      <c r="L178" s="183"/>
      <c r="M178" s="313">
        <f>707387-M175</f>
        <v>10872.591337936115</v>
      </c>
      <c r="N178" s="313">
        <f>53610-N175</f>
        <v>-1865</v>
      </c>
      <c r="O178" s="183"/>
      <c r="P178" s="183"/>
      <c r="Q178" s="183"/>
    </row>
    <row r="179" spans="3:19" x14ac:dyDescent="0.3">
      <c r="K179" s="195">
        <f>K175-(1500000/1.07)</f>
        <v>5.3542705718427896E-3</v>
      </c>
      <c r="L179" s="195"/>
      <c r="M179" s="196">
        <v>0.54234522703279053</v>
      </c>
      <c r="N179" s="197">
        <v>3.5739999971408004E-2</v>
      </c>
      <c r="O179" s="197">
        <v>0.15190799987847362</v>
      </c>
      <c r="P179" s="197">
        <v>0.13333333322666668</v>
      </c>
      <c r="Q179" s="197">
        <v>0.13667343989066127</v>
      </c>
    </row>
    <row r="180" spans="3:19" x14ac:dyDescent="0.3">
      <c r="K180" s="198"/>
      <c r="L180" s="198"/>
      <c r="M180" s="196">
        <v>0.54234522703279053</v>
      </c>
      <c r="N180" s="468">
        <v>0.18764799984988162</v>
      </c>
      <c r="O180" s="468"/>
      <c r="P180" s="197">
        <v>0.13333333322666668</v>
      </c>
      <c r="Q180" s="197">
        <v>0.13667343989066127</v>
      </c>
    </row>
    <row r="181" spans="3:19" x14ac:dyDescent="0.3">
      <c r="K181" s="198"/>
      <c r="L181" s="198"/>
      <c r="M181" s="199">
        <v>813517.84120000002</v>
      </c>
      <c r="N181" s="469">
        <v>281472</v>
      </c>
      <c r="O181" s="469"/>
      <c r="P181" s="199">
        <v>200000</v>
      </c>
      <c r="Q181" s="199">
        <v>205010.16</v>
      </c>
    </row>
    <row r="182" spans="3:19" x14ac:dyDescent="0.3">
      <c r="K182" s="200">
        <v>0.35</v>
      </c>
      <c r="L182" s="200"/>
      <c r="M182" s="199">
        <v>284731.24442</v>
      </c>
      <c r="N182" s="469">
        <v>98515.199999999997</v>
      </c>
      <c r="O182" s="469"/>
      <c r="P182" s="199">
        <v>70000</v>
      </c>
      <c r="Q182" s="199">
        <v>71753.555999999997</v>
      </c>
    </row>
    <row r="183" spans="3:19" x14ac:dyDescent="0.3">
      <c r="K183" s="200">
        <v>0.3</v>
      </c>
      <c r="L183" s="200"/>
      <c r="M183" s="199">
        <v>244055.35235999999</v>
      </c>
      <c r="N183" s="469">
        <v>84441.599999999991</v>
      </c>
      <c r="O183" s="469"/>
      <c r="P183" s="199">
        <v>60000</v>
      </c>
      <c r="Q183" s="199">
        <v>61503.047999999995</v>
      </c>
    </row>
    <row r="184" spans="3:19" x14ac:dyDescent="0.3">
      <c r="K184" s="198"/>
      <c r="L184" s="198"/>
    </row>
    <row r="185" spans="3:19" x14ac:dyDescent="0.3">
      <c r="K185" s="198"/>
      <c r="L185" s="198"/>
    </row>
    <row r="186" spans="3:19" x14ac:dyDescent="0.3">
      <c r="M186" s="201"/>
      <c r="N186" s="470">
        <v>0.45765477296720958</v>
      </c>
      <c r="O186" s="470"/>
      <c r="P186" s="470"/>
      <c r="Q186" s="470"/>
    </row>
    <row r="188" spans="3:19" x14ac:dyDescent="0.3">
      <c r="K188" s="195">
        <f>K175-K126</f>
        <v>1229933.564232775</v>
      </c>
      <c r="L188" s="195"/>
      <c r="M188" s="199">
        <v>565.90700000000004</v>
      </c>
      <c r="P188" s="199">
        <v>140</v>
      </c>
    </row>
    <row r="189" spans="3:19" x14ac:dyDescent="0.3">
      <c r="K189" s="199">
        <f>K188-[2]Details!$G$132</f>
        <v>-21282.598367225146</v>
      </c>
      <c r="N189" s="199">
        <v>350000</v>
      </c>
    </row>
    <row r="191" spans="3:19" x14ac:dyDescent="0.3">
      <c r="N191" s="199">
        <v>191260</v>
      </c>
      <c r="O191" s="199">
        <v>696368</v>
      </c>
      <c r="P191" s="199">
        <v>468506</v>
      </c>
    </row>
    <row r="193" spans="5:5" x14ac:dyDescent="0.3">
      <c r="E193" s="181">
        <f>SUO9</f>
        <v>0</v>
      </c>
    </row>
  </sheetData>
  <autoFilter ref="C6:S183" xr:uid="{00000000-0009-0000-0000-000000000000}"/>
  <mergeCells count="5">
    <mergeCell ref="N180:O180"/>
    <mergeCell ref="N181:O181"/>
    <mergeCell ref="N182:O182"/>
    <mergeCell ref="N183:O183"/>
    <mergeCell ref="N186:Q186"/>
  </mergeCells>
  <conditionalFormatting sqref="B16:C16">
    <cfRule type="duplicateValues" dxfId="40" priority="21"/>
  </conditionalFormatting>
  <conditionalFormatting sqref="C1:C1048576">
    <cfRule type="duplicateValues" dxfId="39" priority="2"/>
  </conditionalFormatting>
  <conditionalFormatting sqref="C35 C37 C39">
    <cfRule type="duplicateValues" dxfId="38" priority="14"/>
    <cfRule type="duplicateValues" dxfId="37" priority="15"/>
  </conditionalFormatting>
  <conditionalFormatting sqref="C36 C38">
    <cfRule type="duplicateValues" dxfId="36" priority="7"/>
    <cfRule type="duplicateValues" dxfId="35" priority="8"/>
  </conditionalFormatting>
  <conditionalFormatting sqref="C43:C47">
    <cfRule type="duplicateValues" dxfId="34" priority="9"/>
  </conditionalFormatting>
  <conditionalFormatting sqref="C48 C40:C42 C17:C33">
    <cfRule type="duplicateValues" dxfId="33" priority="22"/>
  </conditionalFormatting>
  <conditionalFormatting sqref="C52:C54">
    <cfRule type="duplicateValues" dxfId="32" priority="23"/>
  </conditionalFormatting>
  <conditionalFormatting sqref="C74 C9:C13">
    <cfRule type="duplicateValues" dxfId="31" priority="27"/>
  </conditionalFormatting>
  <conditionalFormatting sqref="C129:C133">
    <cfRule type="duplicateValues" dxfId="30" priority="13"/>
  </conditionalFormatting>
  <conditionalFormatting sqref="C139:C141">
    <cfRule type="duplicateValues" dxfId="29" priority="12"/>
  </conditionalFormatting>
  <conditionalFormatting sqref="C140">
    <cfRule type="duplicateValues" dxfId="28" priority="10"/>
  </conditionalFormatting>
  <conditionalFormatting sqref="C140:C141">
    <cfRule type="duplicateValues" dxfId="27" priority="1"/>
  </conditionalFormatting>
  <conditionalFormatting sqref="C147:C152">
    <cfRule type="duplicateValues" dxfId="26" priority="18"/>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499984740745262"/>
  </sheetPr>
  <dimension ref="A1:A6"/>
  <sheetViews>
    <sheetView workbookViewId="0">
      <selection activeCell="A9" sqref="A9"/>
    </sheetView>
  </sheetViews>
  <sheetFormatPr defaultColWidth="8.88671875" defaultRowHeight="14.4" x14ac:dyDescent="0.3"/>
  <sheetData>
    <row r="1" spans="1:1" x14ac:dyDescent="0.3">
      <c r="A1" s="128">
        <v>0</v>
      </c>
    </row>
    <row r="2" spans="1:1" x14ac:dyDescent="0.3">
      <c r="A2" s="128">
        <v>0.2</v>
      </c>
    </row>
    <row r="3" spans="1:1" x14ac:dyDescent="0.3">
      <c r="A3" s="128">
        <v>0.4</v>
      </c>
    </row>
    <row r="4" spans="1:1" x14ac:dyDescent="0.3">
      <c r="A4" s="128">
        <v>0.6</v>
      </c>
    </row>
    <row r="5" spans="1:1" x14ac:dyDescent="0.3">
      <c r="A5" s="128">
        <v>0.8</v>
      </c>
    </row>
    <row r="6" spans="1:1" x14ac:dyDescent="0.3">
      <c r="A6" s="128">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70"/>
  <sheetViews>
    <sheetView topLeftCell="A148" workbookViewId="0">
      <selection activeCell="D3" sqref="D3"/>
    </sheetView>
  </sheetViews>
  <sheetFormatPr defaultColWidth="8.88671875" defaultRowHeight="14.4" x14ac:dyDescent="0.3"/>
  <sheetData>
    <row r="1" spans="1:2" x14ac:dyDescent="0.3">
      <c r="A1" s="70" t="s">
        <v>17</v>
      </c>
      <c r="B1" s="71" t="s">
        <v>18</v>
      </c>
    </row>
    <row r="2" spans="1:2" x14ac:dyDescent="0.3">
      <c r="A2" s="72" t="s">
        <v>19</v>
      </c>
      <c r="B2" s="73" t="s">
        <v>20</v>
      </c>
    </row>
    <row r="3" spans="1:2" x14ac:dyDescent="0.3">
      <c r="A3" s="72" t="s">
        <v>21</v>
      </c>
      <c r="B3" s="73" t="s">
        <v>22</v>
      </c>
    </row>
    <row r="4" spans="1:2" x14ac:dyDescent="0.3">
      <c r="A4" s="72" t="s">
        <v>23</v>
      </c>
      <c r="B4" s="73" t="s">
        <v>24</v>
      </c>
    </row>
    <row r="5" spans="1:2" x14ac:dyDescent="0.3">
      <c r="A5" s="72" t="s">
        <v>25</v>
      </c>
      <c r="B5" s="73" t="s">
        <v>26</v>
      </c>
    </row>
    <row r="6" spans="1:2" x14ac:dyDescent="0.3">
      <c r="A6" s="72" t="s">
        <v>27</v>
      </c>
      <c r="B6" s="73" t="s">
        <v>28</v>
      </c>
    </row>
    <row r="7" spans="1:2" x14ac:dyDescent="0.3">
      <c r="A7" s="72" t="s">
        <v>29</v>
      </c>
      <c r="B7" s="73" t="s">
        <v>30</v>
      </c>
    </row>
    <row r="8" spans="1:2" x14ac:dyDescent="0.3">
      <c r="A8" s="72" t="s">
        <v>31</v>
      </c>
      <c r="B8" s="73" t="s">
        <v>32</v>
      </c>
    </row>
    <row r="9" spans="1:2" x14ac:dyDescent="0.3">
      <c r="A9" s="72" t="s">
        <v>33</v>
      </c>
      <c r="B9" s="73" t="s">
        <v>34</v>
      </c>
    </row>
    <row r="10" spans="1:2" x14ac:dyDescent="0.3">
      <c r="A10" s="72" t="s">
        <v>35</v>
      </c>
      <c r="B10" s="73" t="s">
        <v>36</v>
      </c>
    </row>
    <row r="11" spans="1:2" x14ac:dyDescent="0.3">
      <c r="A11" s="72" t="s">
        <v>37</v>
      </c>
      <c r="B11" s="73" t="s">
        <v>38</v>
      </c>
    </row>
    <row r="12" spans="1:2" x14ac:dyDescent="0.3">
      <c r="A12" s="72" t="s">
        <v>39</v>
      </c>
      <c r="B12" s="73" t="s">
        <v>40</v>
      </c>
    </row>
    <row r="13" spans="1:2" x14ac:dyDescent="0.3">
      <c r="A13" s="72" t="s">
        <v>41</v>
      </c>
      <c r="B13" s="73" t="s">
        <v>42</v>
      </c>
    </row>
    <row r="14" spans="1:2" x14ac:dyDescent="0.3">
      <c r="A14" s="72" t="s">
        <v>43</v>
      </c>
      <c r="B14" s="73" t="s">
        <v>44</v>
      </c>
    </row>
    <row r="15" spans="1:2" x14ac:dyDescent="0.3">
      <c r="A15" s="72" t="s">
        <v>45</v>
      </c>
      <c r="B15" s="73" t="s">
        <v>46</v>
      </c>
    </row>
    <row r="16" spans="1:2" x14ac:dyDescent="0.3">
      <c r="A16" s="72" t="s">
        <v>47</v>
      </c>
      <c r="B16" s="73" t="s">
        <v>48</v>
      </c>
    </row>
    <row r="17" spans="1:2" x14ac:dyDescent="0.3">
      <c r="A17" s="72" t="s">
        <v>49</v>
      </c>
      <c r="B17" s="73" t="s">
        <v>50</v>
      </c>
    </row>
    <row r="18" spans="1:2" x14ac:dyDescent="0.3">
      <c r="A18" s="72" t="s">
        <v>51</v>
      </c>
      <c r="B18" s="73" t="s">
        <v>52</v>
      </c>
    </row>
    <row r="19" spans="1:2" x14ac:dyDescent="0.3">
      <c r="A19" s="72" t="s">
        <v>53</v>
      </c>
      <c r="B19" s="73" t="s">
        <v>54</v>
      </c>
    </row>
    <row r="20" spans="1:2" x14ac:dyDescent="0.3">
      <c r="A20" s="72" t="s">
        <v>55</v>
      </c>
      <c r="B20" s="73" t="s">
        <v>56</v>
      </c>
    </row>
    <row r="21" spans="1:2" x14ac:dyDescent="0.3">
      <c r="A21" s="72" t="s">
        <v>57</v>
      </c>
      <c r="B21" s="73" t="s">
        <v>58</v>
      </c>
    </row>
    <row r="22" spans="1:2" x14ac:dyDescent="0.3">
      <c r="A22" s="72" t="s">
        <v>59</v>
      </c>
      <c r="B22" s="73" t="s">
        <v>60</v>
      </c>
    </row>
    <row r="23" spans="1:2" x14ac:dyDescent="0.3">
      <c r="A23" s="72" t="s">
        <v>61</v>
      </c>
      <c r="B23" s="73" t="s">
        <v>62</v>
      </c>
    </row>
    <row r="24" spans="1:2" x14ac:dyDescent="0.3">
      <c r="A24" s="72" t="s">
        <v>63</v>
      </c>
      <c r="B24" s="73" t="s">
        <v>64</v>
      </c>
    </row>
    <row r="25" spans="1:2" x14ac:dyDescent="0.3">
      <c r="A25" s="72" t="s">
        <v>65</v>
      </c>
      <c r="B25" s="73" t="s">
        <v>66</v>
      </c>
    </row>
    <row r="26" spans="1:2" x14ac:dyDescent="0.3">
      <c r="A26" s="72" t="s">
        <v>67</v>
      </c>
      <c r="B26" s="73" t="s">
        <v>68</v>
      </c>
    </row>
    <row r="27" spans="1:2" x14ac:dyDescent="0.3">
      <c r="A27" s="72" t="s">
        <v>69</v>
      </c>
      <c r="B27" s="73" t="s">
        <v>70</v>
      </c>
    </row>
    <row r="28" spans="1:2" x14ac:dyDescent="0.3">
      <c r="A28" s="72" t="s">
        <v>71</v>
      </c>
      <c r="B28" s="73" t="s">
        <v>72</v>
      </c>
    </row>
    <row r="29" spans="1:2" x14ac:dyDescent="0.3">
      <c r="A29" s="72" t="s">
        <v>73</v>
      </c>
      <c r="B29" s="73" t="s">
        <v>74</v>
      </c>
    </row>
    <row r="30" spans="1:2" x14ac:dyDescent="0.3">
      <c r="A30" s="72" t="s">
        <v>75</v>
      </c>
      <c r="B30" s="73" t="s">
        <v>76</v>
      </c>
    </row>
    <row r="31" spans="1:2" x14ac:dyDescent="0.3">
      <c r="A31" s="72" t="s">
        <v>77</v>
      </c>
      <c r="B31" s="73" t="s">
        <v>78</v>
      </c>
    </row>
    <row r="32" spans="1:2" x14ac:dyDescent="0.3">
      <c r="A32" s="72" t="s">
        <v>79</v>
      </c>
      <c r="B32" s="73" t="s">
        <v>80</v>
      </c>
    </row>
    <row r="33" spans="1:2" x14ac:dyDescent="0.3">
      <c r="A33" s="72" t="s">
        <v>81</v>
      </c>
      <c r="B33" s="73" t="s">
        <v>82</v>
      </c>
    </row>
    <row r="34" spans="1:2" x14ac:dyDescent="0.3">
      <c r="A34" s="72" t="s">
        <v>83</v>
      </c>
      <c r="B34" s="73" t="s">
        <v>84</v>
      </c>
    </row>
    <row r="35" spans="1:2" x14ac:dyDescent="0.3">
      <c r="A35" s="72" t="s">
        <v>85</v>
      </c>
      <c r="B35" s="73" t="s">
        <v>86</v>
      </c>
    </row>
    <row r="36" spans="1:2" x14ac:dyDescent="0.3">
      <c r="A36" s="72" t="s">
        <v>87</v>
      </c>
      <c r="B36" s="73" t="s">
        <v>88</v>
      </c>
    </row>
    <row r="37" spans="1:2" x14ac:dyDescent="0.3">
      <c r="A37" s="72" t="s">
        <v>89</v>
      </c>
      <c r="B37" s="73" t="s">
        <v>90</v>
      </c>
    </row>
    <row r="38" spans="1:2" x14ac:dyDescent="0.3">
      <c r="A38" s="72" t="s">
        <v>91</v>
      </c>
      <c r="B38" s="73" t="s">
        <v>92</v>
      </c>
    </row>
    <row r="39" spans="1:2" x14ac:dyDescent="0.3">
      <c r="A39" s="72" t="s">
        <v>93</v>
      </c>
      <c r="B39" s="73" t="s">
        <v>94</v>
      </c>
    </row>
    <row r="40" spans="1:2" x14ac:dyDescent="0.3">
      <c r="A40" s="72" t="s">
        <v>95</v>
      </c>
      <c r="B40" s="73" t="s">
        <v>96</v>
      </c>
    </row>
    <row r="41" spans="1:2" x14ac:dyDescent="0.3">
      <c r="A41" s="72" t="s">
        <v>97</v>
      </c>
      <c r="B41" s="73" t="s">
        <v>98</v>
      </c>
    </row>
    <row r="42" spans="1:2" x14ac:dyDescent="0.3">
      <c r="A42" s="72" t="s">
        <v>99</v>
      </c>
      <c r="B42" s="73" t="s">
        <v>100</v>
      </c>
    </row>
    <row r="43" spans="1:2" x14ac:dyDescent="0.3">
      <c r="A43" s="72" t="s">
        <v>101</v>
      </c>
      <c r="B43" s="73" t="s">
        <v>102</v>
      </c>
    </row>
    <row r="44" spans="1:2" x14ac:dyDescent="0.3">
      <c r="A44" s="72" t="s">
        <v>103</v>
      </c>
      <c r="B44" s="73" t="s">
        <v>104</v>
      </c>
    </row>
    <row r="45" spans="1:2" x14ac:dyDescent="0.3">
      <c r="A45" s="72" t="s">
        <v>105</v>
      </c>
      <c r="B45" s="73" t="s">
        <v>106</v>
      </c>
    </row>
    <row r="46" spans="1:2" x14ac:dyDescent="0.3">
      <c r="A46" s="72" t="s">
        <v>107</v>
      </c>
      <c r="B46" s="73" t="s">
        <v>108</v>
      </c>
    </row>
    <row r="47" spans="1:2" x14ac:dyDescent="0.3">
      <c r="A47" s="72" t="s">
        <v>109</v>
      </c>
      <c r="B47" s="73" t="s">
        <v>110</v>
      </c>
    </row>
    <row r="48" spans="1:2" x14ac:dyDescent="0.3">
      <c r="A48" s="72" t="s">
        <v>111</v>
      </c>
      <c r="B48" s="73" t="s">
        <v>112</v>
      </c>
    </row>
    <row r="49" spans="1:2" x14ac:dyDescent="0.3">
      <c r="A49" s="72" t="s">
        <v>113</v>
      </c>
      <c r="B49" s="73" t="s">
        <v>114</v>
      </c>
    </row>
    <row r="50" spans="1:2" x14ac:dyDescent="0.3">
      <c r="A50" s="72" t="s">
        <v>115</v>
      </c>
      <c r="B50" s="73" t="s">
        <v>116</v>
      </c>
    </row>
    <row r="51" spans="1:2" x14ac:dyDescent="0.3">
      <c r="A51" s="72" t="s">
        <v>117</v>
      </c>
      <c r="B51" s="73" t="s">
        <v>118</v>
      </c>
    </row>
    <row r="52" spans="1:2" x14ac:dyDescent="0.3">
      <c r="A52" s="72" t="s">
        <v>119</v>
      </c>
      <c r="B52" s="73" t="s">
        <v>120</v>
      </c>
    </row>
    <row r="53" spans="1:2" x14ac:dyDescent="0.3">
      <c r="A53" s="72" t="s">
        <v>121</v>
      </c>
      <c r="B53" s="73" t="s">
        <v>122</v>
      </c>
    </row>
    <row r="54" spans="1:2" x14ac:dyDescent="0.3">
      <c r="A54" s="72" t="s">
        <v>123</v>
      </c>
      <c r="B54" s="73" t="s">
        <v>124</v>
      </c>
    </row>
    <row r="55" spans="1:2" x14ac:dyDescent="0.3">
      <c r="A55" s="72" t="s">
        <v>125</v>
      </c>
      <c r="B55" s="73" t="s">
        <v>126</v>
      </c>
    </row>
    <row r="56" spans="1:2" x14ac:dyDescent="0.3">
      <c r="A56" s="72" t="s">
        <v>127</v>
      </c>
      <c r="B56" s="73" t="s">
        <v>128</v>
      </c>
    </row>
    <row r="57" spans="1:2" x14ac:dyDescent="0.3">
      <c r="A57" s="72" t="s">
        <v>129</v>
      </c>
      <c r="B57" s="73" t="s">
        <v>130</v>
      </c>
    </row>
    <row r="58" spans="1:2" x14ac:dyDescent="0.3">
      <c r="A58" s="72" t="s">
        <v>131</v>
      </c>
      <c r="B58" s="73" t="s">
        <v>132</v>
      </c>
    </row>
    <row r="59" spans="1:2" x14ac:dyDescent="0.3">
      <c r="A59" s="72" t="s">
        <v>133</v>
      </c>
      <c r="B59" s="73" t="s">
        <v>134</v>
      </c>
    </row>
    <row r="60" spans="1:2" x14ac:dyDescent="0.3">
      <c r="A60" s="72" t="s">
        <v>135</v>
      </c>
      <c r="B60" s="73" t="s">
        <v>136</v>
      </c>
    </row>
    <row r="61" spans="1:2" x14ac:dyDescent="0.3">
      <c r="A61" s="72" t="s">
        <v>137</v>
      </c>
      <c r="B61" s="73" t="s">
        <v>138</v>
      </c>
    </row>
    <row r="62" spans="1:2" x14ac:dyDescent="0.3">
      <c r="A62" s="72" t="s">
        <v>139</v>
      </c>
      <c r="B62" s="73" t="s">
        <v>140</v>
      </c>
    </row>
    <row r="63" spans="1:2" x14ac:dyDescent="0.3">
      <c r="A63" s="72" t="s">
        <v>141</v>
      </c>
      <c r="B63" s="73" t="s">
        <v>142</v>
      </c>
    </row>
    <row r="64" spans="1:2" x14ac:dyDescent="0.3">
      <c r="A64" s="72" t="s">
        <v>143</v>
      </c>
      <c r="B64" s="73" t="s">
        <v>144</v>
      </c>
    </row>
    <row r="65" spans="1:2" x14ac:dyDescent="0.3">
      <c r="A65" s="72" t="s">
        <v>145</v>
      </c>
      <c r="B65" s="73" t="s">
        <v>146</v>
      </c>
    </row>
    <row r="66" spans="1:2" x14ac:dyDescent="0.3">
      <c r="A66" s="72" t="s">
        <v>147</v>
      </c>
      <c r="B66" s="73" t="s">
        <v>148</v>
      </c>
    </row>
    <row r="67" spans="1:2" x14ac:dyDescent="0.3">
      <c r="A67" s="72" t="s">
        <v>149</v>
      </c>
      <c r="B67" s="73" t="s">
        <v>150</v>
      </c>
    </row>
    <row r="68" spans="1:2" x14ac:dyDescent="0.3">
      <c r="A68" s="72" t="s">
        <v>151</v>
      </c>
      <c r="B68" s="73" t="s">
        <v>152</v>
      </c>
    </row>
    <row r="69" spans="1:2" x14ac:dyDescent="0.3">
      <c r="A69" s="72" t="s">
        <v>153</v>
      </c>
      <c r="B69" s="73" t="s">
        <v>154</v>
      </c>
    </row>
    <row r="70" spans="1:2" x14ac:dyDescent="0.3">
      <c r="A70" s="72" t="s">
        <v>155</v>
      </c>
      <c r="B70" s="73" t="s">
        <v>156</v>
      </c>
    </row>
    <row r="71" spans="1:2" x14ac:dyDescent="0.3">
      <c r="A71" s="72" t="s">
        <v>157</v>
      </c>
      <c r="B71" s="73" t="s">
        <v>158</v>
      </c>
    </row>
    <row r="72" spans="1:2" x14ac:dyDescent="0.3">
      <c r="A72" s="72" t="s">
        <v>159</v>
      </c>
      <c r="B72" s="73" t="s">
        <v>160</v>
      </c>
    </row>
    <row r="73" spans="1:2" x14ac:dyDescent="0.3">
      <c r="A73" s="72" t="s">
        <v>161</v>
      </c>
      <c r="B73" s="73" t="s">
        <v>162</v>
      </c>
    </row>
    <row r="74" spans="1:2" x14ac:dyDescent="0.3">
      <c r="A74" s="72" t="s">
        <v>163</v>
      </c>
      <c r="B74" s="73" t="s">
        <v>164</v>
      </c>
    </row>
    <row r="75" spans="1:2" x14ac:dyDescent="0.3">
      <c r="A75" s="72" t="s">
        <v>165</v>
      </c>
      <c r="B75" s="74" t="s">
        <v>166</v>
      </c>
    </row>
    <row r="76" spans="1:2" x14ac:dyDescent="0.3">
      <c r="A76" s="72" t="s">
        <v>167</v>
      </c>
      <c r="B76" s="74" t="s">
        <v>168</v>
      </c>
    </row>
    <row r="77" spans="1:2" x14ac:dyDescent="0.3">
      <c r="A77" s="72" t="s">
        <v>169</v>
      </c>
      <c r="B77" s="74" t="s">
        <v>170</v>
      </c>
    </row>
    <row r="78" spans="1:2" x14ac:dyDescent="0.3">
      <c r="A78" s="72" t="s">
        <v>171</v>
      </c>
      <c r="B78" s="74" t="s">
        <v>172</v>
      </c>
    </row>
    <row r="79" spans="1:2" x14ac:dyDescent="0.3">
      <c r="A79" s="72" t="s">
        <v>173</v>
      </c>
      <c r="B79" s="74" t="s">
        <v>174</v>
      </c>
    </row>
    <row r="80" spans="1:2" x14ac:dyDescent="0.3">
      <c r="A80" s="72" t="s">
        <v>175</v>
      </c>
      <c r="B80" s="74" t="s">
        <v>176</v>
      </c>
    </row>
    <row r="81" spans="1:2" x14ac:dyDescent="0.3">
      <c r="A81" s="72" t="s">
        <v>177</v>
      </c>
      <c r="B81" s="74" t="s">
        <v>178</v>
      </c>
    </row>
    <row r="82" spans="1:2" x14ac:dyDescent="0.3">
      <c r="A82" s="72" t="s">
        <v>179</v>
      </c>
      <c r="B82" s="74" t="s">
        <v>180</v>
      </c>
    </row>
    <row r="83" spans="1:2" x14ac:dyDescent="0.3">
      <c r="A83" s="72" t="s">
        <v>181</v>
      </c>
      <c r="B83" s="74" t="s">
        <v>182</v>
      </c>
    </row>
    <row r="84" spans="1:2" x14ac:dyDescent="0.3">
      <c r="A84" s="72" t="s">
        <v>183</v>
      </c>
      <c r="B84" s="74" t="s">
        <v>184</v>
      </c>
    </row>
    <row r="85" spans="1:2" x14ac:dyDescent="0.3">
      <c r="A85" s="72" t="s">
        <v>185</v>
      </c>
      <c r="B85" s="74" t="s">
        <v>186</v>
      </c>
    </row>
    <row r="86" spans="1:2" x14ac:dyDescent="0.3">
      <c r="A86" s="72" t="s">
        <v>187</v>
      </c>
      <c r="B86" s="74" t="s">
        <v>188</v>
      </c>
    </row>
    <row r="87" spans="1:2" x14ac:dyDescent="0.3">
      <c r="A87" s="72" t="s">
        <v>189</v>
      </c>
      <c r="B87" s="74" t="s">
        <v>190</v>
      </c>
    </row>
    <row r="88" spans="1:2" x14ac:dyDescent="0.3">
      <c r="A88" s="72" t="s">
        <v>191</v>
      </c>
      <c r="B88" s="74" t="s">
        <v>192</v>
      </c>
    </row>
    <row r="89" spans="1:2" x14ac:dyDescent="0.3">
      <c r="A89" s="72" t="s">
        <v>193</v>
      </c>
      <c r="B89" s="74" t="s">
        <v>194</v>
      </c>
    </row>
    <row r="90" spans="1:2" x14ac:dyDescent="0.3">
      <c r="A90" s="72" t="s">
        <v>195</v>
      </c>
      <c r="B90" s="74" t="s">
        <v>196</v>
      </c>
    </row>
    <row r="91" spans="1:2" x14ac:dyDescent="0.3">
      <c r="A91" s="72" t="s">
        <v>197</v>
      </c>
      <c r="B91" s="74" t="s">
        <v>198</v>
      </c>
    </row>
    <row r="92" spans="1:2" x14ac:dyDescent="0.3">
      <c r="A92" s="72" t="s">
        <v>199</v>
      </c>
      <c r="B92" s="74" t="s">
        <v>200</v>
      </c>
    </row>
    <row r="93" spans="1:2" x14ac:dyDescent="0.3">
      <c r="A93" s="72" t="s">
        <v>201</v>
      </c>
      <c r="B93" s="74" t="s">
        <v>202</v>
      </c>
    </row>
    <row r="94" spans="1:2" x14ac:dyDescent="0.3">
      <c r="A94" s="72" t="s">
        <v>203</v>
      </c>
      <c r="B94" s="74" t="s">
        <v>204</v>
      </c>
    </row>
    <row r="95" spans="1:2" x14ac:dyDescent="0.3">
      <c r="A95" s="72" t="s">
        <v>205</v>
      </c>
      <c r="B95" s="74" t="s">
        <v>206</v>
      </c>
    </row>
    <row r="96" spans="1:2" x14ac:dyDescent="0.3">
      <c r="A96" s="72" t="s">
        <v>207</v>
      </c>
      <c r="B96" s="74" t="s">
        <v>208</v>
      </c>
    </row>
    <row r="97" spans="1:2" x14ac:dyDescent="0.3">
      <c r="A97" s="72" t="s">
        <v>209</v>
      </c>
      <c r="B97" s="74" t="s">
        <v>210</v>
      </c>
    </row>
    <row r="98" spans="1:2" x14ac:dyDescent="0.3">
      <c r="A98" s="72" t="s">
        <v>211</v>
      </c>
      <c r="B98" s="74" t="s">
        <v>212</v>
      </c>
    </row>
    <row r="99" spans="1:2" x14ac:dyDescent="0.3">
      <c r="A99" s="72" t="s">
        <v>213</v>
      </c>
      <c r="B99" s="74" t="s">
        <v>214</v>
      </c>
    </row>
    <row r="100" spans="1:2" x14ac:dyDescent="0.3">
      <c r="A100" s="72" t="s">
        <v>215</v>
      </c>
      <c r="B100" s="74" t="s">
        <v>216</v>
      </c>
    </row>
    <row r="101" spans="1:2" x14ac:dyDescent="0.3">
      <c r="A101" s="72" t="s">
        <v>217</v>
      </c>
      <c r="B101" s="74" t="s">
        <v>218</v>
      </c>
    </row>
    <row r="102" spans="1:2" x14ac:dyDescent="0.3">
      <c r="A102" s="72" t="s">
        <v>219</v>
      </c>
      <c r="B102" s="74" t="s">
        <v>220</v>
      </c>
    </row>
    <row r="103" spans="1:2" x14ac:dyDescent="0.3">
      <c r="A103" s="72" t="s">
        <v>221</v>
      </c>
      <c r="B103" s="74" t="s">
        <v>222</v>
      </c>
    </row>
    <row r="104" spans="1:2" x14ac:dyDescent="0.3">
      <c r="A104" s="72" t="s">
        <v>223</v>
      </c>
      <c r="B104" s="74" t="s">
        <v>224</v>
      </c>
    </row>
    <row r="105" spans="1:2" x14ac:dyDescent="0.3">
      <c r="A105" s="72" t="s">
        <v>225</v>
      </c>
      <c r="B105" s="74" t="s">
        <v>226</v>
      </c>
    </row>
    <row r="106" spans="1:2" x14ac:dyDescent="0.3">
      <c r="A106" s="72" t="s">
        <v>227</v>
      </c>
      <c r="B106" s="74" t="s">
        <v>228</v>
      </c>
    </row>
    <row r="107" spans="1:2" x14ac:dyDescent="0.3">
      <c r="A107" s="72" t="s">
        <v>229</v>
      </c>
      <c r="B107" s="74" t="s">
        <v>230</v>
      </c>
    </row>
    <row r="108" spans="1:2" x14ac:dyDescent="0.3">
      <c r="A108" s="72" t="s">
        <v>231</v>
      </c>
      <c r="B108" s="74" t="s">
        <v>232</v>
      </c>
    </row>
    <row r="109" spans="1:2" x14ac:dyDescent="0.3">
      <c r="A109" s="72" t="s">
        <v>233</v>
      </c>
      <c r="B109" s="74" t="s">
        <v>234</v>
      </c>
    </row>
    <row r="110" spans="1:2" x14ac:dyDescent="0.3">
      <c r="A110" s="72" t="s">
        <v>235</v>
      </c>
      <c r="B110" s="74" t="s">
        <v>236</v>
      </c>
    </row>
    <row r="111" spans="1:2" x14ac:dyDescent="0.3">
      <c r="A111" s="72" t="s">
        <v>237</v>
      </c>
      <c r="B111" s="74" t="s">
        <v>238</v>
      </c>
    </row>
    <row r="112" spans="1:2" x14ac:dyDescent="0.3">
      <c r="A112" s="72" t="s">
        <v>239</v>
      </c>
      <c r="B112" s="74" t="s">
        <v>240</v>
      </c>
    </row>
    <row r="113" spans="1:2" x14ac:dyDescent="0.3">
      <c r="A113" s="72" t="s">
        <v>241</v>
      </c>
      <c r="B113" s="74" t="s">
        <v>242</v>
      </c>
    </row>
    <row r="114" spans="1:2" x14ac:dyDescent="0.3">
      <c r="A114" s="72" t="s">
        <v>243</v>
      </c>
      <c r="B114" s="74" t="s">
        <v>244</v>
      </c>
    </row>
    <row r="115" spans="1:2" x14ac:dyDescent="0.3">
      <c r="A115" s="72" t="s">
        <v>245</v>
      </c>
      <c r="B115" s="74" t="s">
        <v>246</v>
      </c>
    </row>
    <row r="116" spans="1:2" x14ac:dyDescent="0.3">
      <c r="A116" s="72" t="s">
        <v>247</v>
      </c>
      <c r="B116" s="74" t="s">
        <v>248</v>
      </c>
    </row>
    <row r="117" spans="1:2" x14ac:dyDescent="0.3">
      <c r="A117" s="72" t="s">
        <v>249</v>
      </c>
      <c r="B117" s="74" t="s">
        <v>250</v>
      </c>
    </row>
    <row r="118" spans="1:2" x14ac:dyDescent="0.3">
      <c r="A118" s="72" t="s">
        <v>251</v>
      </c>
      <c r="B118" s="74" t="s">
        <v>252</v>
      </c>
    </row>
    <row r="119" spans="1:2" x14ac:dyDescent="0.3">
      <c r="A119" s="72" t="s">
        <v>253</v>
      </c>
      <c r="B119" s="74" t="s">
        <v>254</v>
      </c>
    </row>
    <row r="120" spans="1:2" x14ac:dyDescent="0.3">
      <c r="A120" s="72" t="s">
        <v>255</v>
      </c>
      <c r="B120" s="74" t="s">
        <v>256</v>
      </c>
    </row>
    <row r="121" spans="1:2" x14ac:dyDescent="0.3">
      <c r="A121" s="72" t="s">
        <v>257</v>
      </c>
      <c r="B121" s="74" t="s">
        <v>258</v>
      </c>
    </row>
    <row r="122" spans="1:2" x14ac:dyDescent="0.3">
      <c r="A122" s="72" t="s">
        <v>259</v>
      </c>
      <c r="B122" s="74" t="s">
        <v>260</v>
      </c>
    </row>
    <row r="123" spans="1:2" x14ac:dyDescent="0.3">
      <c r="A123" s="72" t="s">
        <v>261</v>
      </c>
      <c r="B123" s="74" t="s">
        <v>262</v>
      </c>
    </row>
    <row r="124" spans="1:2" x14ac:dyDescent="0.3">
      <c r="A124" s="72" t="s">
        <v>263</v>
      </c>
      <c r="B124" s="74" t="s">
        <v>264</v>
      </c>
    </row>
    <row r="125" spans="1:2" x14ac:dyDescent="0.3">
      <c r="A125" s="72" t="s">
        <v>265</v>
      </c>
      <c r="B125" s="74" t="s">
        <v>266</v>
      </c>
    </row>
    <row r="126" spans="1:2" x14ac:dyDescent="0.3">
      <c r="A126" s="72" t="s">
        <v>267</v>
      </c>
      <c r="B126" s="74" t="s">
        <v>268</v>
      </c>
    </row>
    <row r="127" spans="1:2" x14ac:dyDescent="0.3">
      <c r="A127" s="72" t="s">
        <v>269</v>
      </c>
      <c r="B127" s="74" t="s">
        <v>270</v>
      </c>
    </row>
    <row r="128" spans="1:2" x14ac:dyDescent="0.3">
      <c r="A128" s="72" t="s">
        <v>271</v>
      </c>
      <c r="B128" s="74" t="s">
        <v>272</v>
      </c>
    </row>
    <row r="129" spans="1:2" x14ac:dyDescent="0.3">
      <c r="A129" s="72" t="s">
        <v>273</v>
      </c>
      <c r="B129" s="74" t="s">
        <v>274</v>
      </c>
    </row>
    <row r="130" spans="1:2" x14ac:dyDescent="0.3">
      <c r="A130" s="72" t="s">
        <v>275</v>
      </c>
      <c r="B130" s="74" t="s">
        <v>276</v>
      </c>
    </row>
    <row r="131" spans="1:2" x14ac:dyDescent="0.3">
      <c r="A131" s="72" t="s">
        <v>277</v>
      </c>
      <c r="B131" s="74" t="s">
        <v>278</v>
      </c>
    </row>
    <row r="132" spans="1:2" x14ac:dyDescent="0.3">
      <c r="A132" s="72" t="s">
        <v>279</v>
      </c>
      <c r="B132" s="74" t="s">
        <v>280</v>
      </c>
    </row>
    <row r="133" spans="1:2" x14ac:dyDescent="0.3">
      <c r="A133" s="72" t="s">
        <v>281</v>
      </c>
      <c r="B133" s="74" t="s">
        <v>282</v>
      </c>
    </row>
    <row r="134" spans="1:2" x14ac:dyDescent="0.3">
      <c r="A134" s="72" t="s">
        <v>283</v>
      </c>
      <c r="B134" s="74" t="s">
        <v>284</v>
      </c>
    </row>
    <row r="135" spans="1:2" x14ac:dyDescent="0.3">
      <c r="A135" s="72" t="s">
        <v>285</v>
      </c>
      <c r="B135" s="74" t="s">
        <v>286</v>
      </c>
    </row>
    <row r="136" spans="1:2" x14ac:dyDescent="0.3">
      <c r="A136" s="72" t="s">
        <v>287</v>
      </c>
      <c r="B136" s="74" t="s">
        <v>288</v>
      </c>
    </row>
    <row r="137" spans="1:2" x14ac:dyDescent="0.3">
      <c r="A137" s="72" t="s">
        <v>289</v>
      </c>
      <c r="B137" s="74" t="s">
        <v>290</v>
      </c>
    </row>
    <row r="138" spans="1:2" x14ac:dyDescent="0.3">
      <c r="A138" s="72" t="s">
        <v>291</v>
      </c>
      <c r="B138" s="74" t="s">
        <v>292</v>
      </c>
    </row>
    <row r="139" spans="1:2" x14ac:dyDescent="0.3">
      <c r="A139" s="72" t="s">
        <v>293</v>
      </c>
      <c r="B139" s="74" t="s">
        <v>294</v>
      </c>
    </row>
    <row r="140" spans="1:2" x14ac:dyDescent="0.3">
      <c r="A140" s="72" t="s">
        <v>295</v>
      </c>
      <c r="B140" s="74" t="s">
        <v>296</v>
      </c>
    </row>
    <row r="141" spans="1:2" x14ac:dyDescent="0.3">
      <c r="A141" s="72" t="s">
        <v>297</v>
      </c>
      <c r="B141" s="74" t="s">
        <v>298</v>
      </c>
    </row>
    <row r="142" spans="1:2" x14ac:dyDescent="0.3">
      <c r="A142" s="72" t="s">
        <v>299</v>
      </c>
      <c r="B142" s="74" t="s">
        <v>300</v>
      </c>
    </row>
    <row r="143" spans="1:2" x14ac:dyDescent="0.3">
      <c r="A143" s="72" t="s">
        <v>301</v>
      </c>
      <c r="B143" s="74" t="s">
        <v>302</v>
      </c>
    </row>
    <row r="144" spans="1:2" x14ac:dyDescent="0.3">
      <c r="A144" s="72" t="s">
        <v>303</v>
      </c>
      <c r="B144" s="74" t="s">
        <v>304</v>
      </c>
    </row>
    <row r="145" spans="1:2" x14ac:dyDescent="0.3">
      <c r="A145" s="72" t="s">
        <v>305</v>
      </c>
      <c r="B145" s="74" t="s">
        <v>306</v>
      </c>
    </row>
    <row r="146" spans="1:2" x14ac:dyDescent="0.3">
      <c r="A146" s="72" t="s">
        <v>307</v>
      </c>
      <c r="B146" s="74" t="s">
        <v>308</v>
      </c>
    </row>
    <row r="147" spans="1:2" x14ac:dyDescent="0.3">
      <c r="A147" s="72" t="s">
        <v>309</v>
      </c>
      <c r="B147" s="74" t="s">
        <v>310</v>
      </c>
    </row>
    <row r="148" spans="1:2" x14ac:dyDescent="0.3">
      <c r="A148" s="72" t="s">
        <v>311</v>
      </c>
      <c r="B148" s="74" t="s">
        <v>312</v>
      </c>
    </row>
    <row r="149" spans="1:2" x14ac:dyDescent="0.3">
      <c r="A149" s="72" t="s">
        <v>313</v>
      </c>
      <c r="B149" s="74" t="s">
        <v>314</v>
      </c>
    </row>
    <row r="150" spans="1:2" x14ac:dyDescent="0.3">
      <c r="A150" s="72" t="s">
        <v>315</v>
      </c>
      <c r="B150" s="74" t="s">
        <v>316</v>
      </c>
    </row>
    <row r="151" spans="1:2" x14ac:dyDescent="0.3">
      <c r="A151" s="72" t="s">
        <v>317</v>
      </c>
      <c r="B151" s="74" t="s">
        <v>318</v>
      </c>
    </row>
    <row r="152" spans="1:2" x14ac:dyDescent="0.3">
      <c r="A152" s="72" t="s">
        <v>319</v>
      </c>
      <c r="B152" s="74" t="s">
        <v>320</v>
      </c>
    </row>
    <row r="153" spans="1:2" x14ac:dyDescent="0.3">
      <c r="A153" s="72" t="s">
        <v>321</v>
      </c>
      <c r="B153" s="74" t="s">
        <v>322</v>
      </c>
    </row>
    <row r="154" spans="1:2" x14ac:dyDescent="0.3">
      <c r="A154" s="72" t="s">
        <v>323</v>
      </c>
      <c r="B154" s="74" t="s">
        <v>324</v>
      </c>
    </row>
    <row r="155" spans="1:2" x14ac:dyDescent="0.3">
      <c r="A155" s="72" t="s">
        <v>325</v>
      </c>
      <c r="B155" s="74" t="s">
        <v>326</v>
      </c>
    </row>
    <row r="156" spans="1:2" x14ac:dyDescent="0.3">
      <c r="A156" s="72" t="s">
        <v>327</v>
      </c>
      <c r="B156" s="74" t="s">
        <v>328</v>
      </c>
    </row>
    <row r="157" spans="1:2" x14ac:dyDescent="0.3">
      <c r="A157" s="72" t="s">
        <v>329</v>
      </c>
      <c r="B157" s="74" t="s">
        <v>330</v>
      </c>
    </row>
    <row r="158" spans="1:2" x14ac:dyDescent="0.3">
      <c r="A158" s="72" t="s">
        <v>331</v>
      </c>
      <c r="B158" s="74" t="s">
        <v>332</v>
      </c>
    </row>
    <row r="159" spans="1:2" x14ac:dyDescent="0.3">
      <c r="A159" s="72" t="s">
        <v>333</v>
      </c>
      <c r="B159" s="74" t="s">
        <v>334</v>
      </c>
    </row>
    <row r="160" spans="1:2" x14ac:dyDescent="0.3">
      <c r="A160" s="72" t="s">
        <v>335</v>
      </c>
      <c r="B160" s="74" t="s">
        <v>336</v>
      </c>
    </row>
    <row r="161" spans="1:2" x14ac:dyDescent="0.3">
      <c r="A161" s="72" t="s">
        <v>337</v>
      </c>
      <c r="B161" s="74" t="s">
        <v>338</v>
      </c>
    </row>
    <row r="162" spans="1:2" x14ac:dyDescent="0.3">
      <c r="A162" s="72" t="s">
        <v>339</v>
      </c>
      <c r="B162" s="74" t="s">
        <v>340</v>
      </c>
    </row>
    <row r="163" spans="1:2" x14ac:dyDescent="0.3">
      <c r="A163" s="72" t="s">
        <v>341</v>
      </c>
      <c r="B163" s="74" t="s">
        <v>342</v>
      </c>
    </row>
    <row r="164" spans="1:2" x14ac:dyDescent="0.3">
      <c r="A164" s="72" t="s">
        <v>343</v>
      </c>
      <c r="B164" s="74" t="s">
        <v>344</v>
      </c>
    </row>
    <row r="165" spans="1:2" x14ac:dyDescent="0.3">
      <c r="A165" s="72" t="s">
        <v>345</v>
      </c>
      <c r="B165" s="74" t="s">
        <v>346</v>
      </c>
    </row>
    <row r="166" spans="1:2" x14ac:dyDescent="0.3">
      <c r="A166" s="72" t="s">
        <v>347</v>
      </c>
      <c r="B166" s="74" t="s">
        <v>348</v>
      </c>
    </row>
    <row r="167" spans="1:2" x14ac:dyDescent="0.3">
      <c r="A167" s="72" t="s">
        <v>349</v>
      </c>
      <c r="B167" s="74" t="s">
        <v>350</v>
      </c>
    </row>
    <row r="168" spans="1:2" x14ac:dyDescent="0.3">
      <c r="A168" s="72" t="s">
        <v>351</v>
      </c>
      <c r="B168" s="74" t="s">
        <v>352</v>
      </c>
    </row>
    <row r="169" spans="1:2" x14ac:dyDescent="0.3">
      <c r="A169" s="72" t="s">
        <v>353</v>
      </c>
      <c r="B169" s="74" t="s">
        <v>354</v>
      </c>
    </row>
    <row r="170" spans="1:2" x14ac:dyDescent="0.3">
      <c r="A170" s="72" t="s">
        <v>355</v>
      </c>
      <c r="B170" s="74" t="s">
        <v>356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BY91"/>
  <sheetViews>
    <sheetView topLeftCell="C13" zoomScale="70" zoomScaleNormal="70" workbookViewId="0">
      <selection activeCell="G25" activeCellId="1" sqref="D25 G25"/>
    </sheetView>
  </sheetViews>
  <sheetFormatPr defaultColWidth="8.88671875" defaultRowHeight="14.4" outlineLevelRow="1" x14ac:dyDescent="0.3"/>
  <cols>
    <col min="3" max="3" width="15.33203125" customWidth="1"/>
    <col min="4" max="4" width="29.77734375" style="204" customWidth="1"/>
    <col min="5" max="5" width="38.88671875" style="204" customWidth="1"/>
    <col min="6" max="6" width="21.5546875" customWidth="1"/>
    <col min="7" max="7" width="22" customWidth="1"/>
    <col min="8" max="8" width="40.77734375" customWidth="1"/>
    <col min="9" max="9" width="12.21875" customWidth="1"/>
    <col min="10" max="10" width="21.6640625" customWidth="1"/>
    <col min="11" max="11" width="6" customWidth="1"/>
    <col min="12" max="45" width="5.109375" customWidth="1"/>
    <col min="46" max="46" width="24.6640625" customWidth="1"/>
    <col min="47" max="77" width="12" customWidth="1"/>
  </cols>
  <sheetData>
    <row r="3" spans="3:77" ht="15" thickBot="1" x14ac:dyDescent="0.35">
      <c r="C3" s="202" t="s">
        <v>819</v>
      </c>
      <c r="D3" s="202" t="s">
        <v>889</v>
      </c>
      <c r="E3"/>
      <c r="AT3" s="202" t="s">
        <v>899</v>
      </c>
      <c r="AU3" s="202" t="s">
        <v>889</v>
      </c>
    </row>
    <row r="4" spans="3:77" x14ac:dyDescent="0.3">
      <c r="C4" s="202" t="s">
        <v>817</v>
      </c>
      <c r="D4" t="s">
        <v>847</v>
      </c>
      <c r="E4"/>
      <c r="AT4" s="202" t="s">
        <v>817</v>
      </c>
      <c r="AU4" s="262" t="s">
        <v>790</v>
      </c>
      <c r="AV4" s="263" t="s">
        <v>791</v>
      </c>
      <c r="AW4" s="263" t="s">
        <v>792</v>
      </c>
      <c r="AX4" s="264">
        <v>1.1000000000000001</v>
      </c>
      <c r="AY4" t="s">
        <v>793</v>
      </c>
      <c r="AZ4" t="s">
        <v>794</v>
      </c>
      <c r="BA4" t="s">
        <v>795</v>
      </c>
      <c r="BB4" t="s">
        <v>796</v>
      </c>
      <c r="BC4" t="s">
        <v>797</v>
      </c>
      <c r="BD4" t="s">
        <v>798</v>
      </c>
      <c r="BE4" t="s">
        <v>799</v>
      </c>
      <c r="BF4" t="s">
        <v>800</v>
      </c>
      <c r="BG4" t="s">
        <v>801</v>
      </c>
      <c r="BH4" t="s">
        <v>802</v>
      </c>
      <c r="BI4" t="s">
        <v>803</v>
      </c>
      <c r="BJ4" t="s">
        <v>804</v>
      </c>
      <c r="BK4" t="s">
        <v>805</v>
      </c>
      <c r="BL4" t="s">
        <v>806</v>
      </c>
      <c r="BM4" t="s">
        <v>828</v>
      </c>
      <c r="BN4" t="s">
        <v>807</v>
      </c>
      <c r="BO4" t="s">
        <v>808</v>
      </c>
      <c r="BP4" t="s">
        <v>809</v>
      </c>
      <c r="BQ4" t="s">
        <v>810</v>
      </c>
      <c r="BR4" t="s">
        <v>811</v>
      </c>
      <c r="BS4" t="s">
        <v>812</v>
      </c>
      <c r="BT4" t="s">
        <v>813</v>
      </c>
      <c r="BU4" t="s">
        <v>814</v>
      </c>
      <c r="BV4" t="s">
        <v>815</v>
      </c>
      <c r="BW4" t="s">
        <v>816</v>
      </c>
      <c r="BX4" t="s">
        <v>864</v>
      </c>
      <c r="BY4" t="s">
        <v>818</v>
      </c>
    </row>
    <row r="5" spans="3:77" x14ac:dyDescent="0.3">
      <c r="C5" s="203" t="s">
        <v>540</v>
      </c>
      <c r="D5" s="311">
        <v>99000</v>
      </c>
      <c r="E5"/>
      <c r="AT5" s="203" t="s">
        <v>540</v>
      </c>
      <c r="AU5" s="265">
        <v>84000</v>
      </c>
      <c r="AV5" s="266">
        <v>22000</v>
      </c>
      <c r="AW5" s="266">
        <v>100165</v>
      </c>
      <c r="AX5" s="267">
        <f>SUM(AU5:AW5)</f>
        <v>206165</v>
      </c>
      <c r="AY5" s="268">
        <v>4200</v>
      </c>
      <c r="AZ5" s="268">
        <v>7400</v>
      </c>
      <c r="BA5" s="268"/>
      <c r="BB5" s="268"/>
      <c r="BC5" s="268"/>
      <c r="BD5" s="268"/>
      <c r="BE5" s="268"/>
      <c r="BF5" s="268">
        <v>11845</v>
      </c>
      <c r="BG5" s="268">
        <v>14400</v>
      </c>
      <c r="BH5" s="268">
        <v>7000</v>
      </c>
      <c r="BI5" s="268">
        <v>20250</v>
      </c>
      <c r="BJ5" s="268"/>
      <c r="BK5" s="268"/>
      <c r="BL5" s="268"/>
      <c r="BM5" s="268"/>
      <c r="BN5" s="268"/>
      <c r="BO5" s="268"/>
      <c r="BP5" s="268"/>
      <c r="BQ5" s="268">
        <v>5000</v>
      </c>
      <c r="BR5" s="268">
        <v>4000</v>
      </c>
      <c r="BS5" s="268"/>
      <c r="BT5" s="268"/>
      <c r="BU5" s="268"/>
      <c r="BV5" s="268"/>
      <c r="BW5" s="268"/>
      <c r="BX5" s="268"/>
      <c r="BY5" s="268">
        <v>280260</v>
      </c>
    </row>
    <row r="6" spans="3:77" x14ac:dyDescent="0.3">
      <c r="C6" s="203" t="s">
        <v>542</v>
      </c>
      <c r="D6" s="311">
        <v>3642.75</v>
      </c>
      <c r="E6"/>
      <c r="AT6" s="203" t="s">
        <v>541</v>
      </c>
      <c r="AU6" s="265"/>
      <c r="AV6" s="266">
        <v>22600</v>
      </c>
      <c r="AW6" s="266">
        <v>6400</v>
      </c>
      <c r="AX6" s="267">
        <f t="shared" ref="AX6:AX10" si="0">SUM(AU6:AW6)</f>
        <v>29000</v>
      </c>
      <c r="AY6" s="268">
        <v>8282</v>
      </c>
      <c r="AZ6" s="268">
        <v>7220</v>
      </c>
      <c r="BA6" s="268"/>
      <c r="BB6" s="268">
        <v>500</v>
      </c>
      <c r="BC6" s="268">
        <v>4000</v>
      </c>
      <c r="BD6" s="268"/>
      <c r="BE6" s="268">
        <v>10000</v>
      </c>
      <c r="BF6" s="268">
        <v>3660</v>
      </c>
      <c r="BG6" s="268">
        <v>20370</v>
      </c>
      <c r="BH6" s="268"/>
      <c r="BI6" s="268">
        <v>12000</v>
      </c>
      <c r="BJ6" s="268"/>
      <c r="BK6" s="268"/>
      <c r="BL6" s="268">
        <v>3000</v>
      </c>
      <c r="BM6" s="268">
        <v>8500</v>
      </c>
      <c r="BN6" s="268">
        <v>9900</v>
      </c>
      <c r="BO6" s="268">
        <v>11000</v>
      </c>
      <c r="BP6" s="268"/>
      <c r="BQ6" s="268"/>
      <c r="BR6" s="268"/>
      <c r="BS6" s="268">
        <v>38689</v>
      </c>
      <c r="BT6" s="268">
        <v>2100</v>
      </c>
      <c r="BU6" s="268">
        <v>2700</v>
      </c>
      <c r="BV6" s="268"/>
      <c r="BW6" s="268">
        <v>9800</v>
      </c>
      <c r="BX6" s="268"/>
      <c r="BY6" s="268">
        <v>180721</v>
      </c>
    </row>
    <row r="7" spans="3:77" x14ac:dyDescent="0.3">
      <c r="C7" s="203" t="s">
        <v>544</v>
      </c>
      <c r="D7" s="311">
        <v>6570.0025999999998</v>
      </c>
      <c r="E7"/>
      <c r="AT7" s="203" t="s">
        <v>890</v>
      </c>
      <c r="AU7" s="265"/>
      <c r="AV7" s="266"/>
      <c r="AW7" s="266"/>
      <c r="AX7" s="267">
        <f t="shared" si="0"/>
        <v>0</v>
      </c>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v>18000</v>
      </c>
      <c r="BW7" s="268"/>
      <c r="BX7" s="268"/>
      <c r="BY7" s="268">
        <v>18000</v>
      </c>
    </row>
    <row r="8" spans="3:77" x14ac:dyDescent="0.3">
      <c r="C8" s="203" t="s">
        <v>546</v>
      </c>
      <c r="D8" s="311">
        <v>18796.25</v>
      </c>
      <c r="E8"/>
      <c r="AT8" s="203" t="s">
        <v>543</v>
      </c>
      <c r="AU8" s="265"/>
      <c r="AV8" s="266"/>
      <c r="AW8" s="266"/>
      <c r="AX8" s="267">
        <f t="shared" si="0"/>
        <v>0</v>
      </c>
      <c r="AY8" s="268"/>
      <c r="AZ8" s="268"/>
      <c r="BA8" s="268"/>
      <c r="BB8" s="268"/>
      <c r="BC8" s="268">
        <v>20000</v>
      </c>
      <c r="BD8" s="268">
        <v>1000</v>
      </c>
      <c r="BE8" s="268"/>
      <c r="BF8" s="268"/>
      <c r="BG8" s="268"/>
      <c r="BH8" s="268"/>
      <c r="BI8" s="268"/>
      <c r="BJ8" s="268"/>
      <c r="BK8" s="268"/>
      <c r="BL8" s="268"/>
      <c r="BM8" s="268"/>
      <c r="BN8" s="268"/>
      <c r="BO8" s="268"/>
      <c r="BP8" s="268">
        <v>20000</v>
      </c>
      <c r="BQ8" s="268"/>
      <c r="BR8" s="268"/>
      <c r="BS8" s="268">
        <v>10000</v>
      </c>
      <c r="BT8" s="268"/>
      <c r="BU8" s="268"/>
      <c r="BV8" s="268"/>
      <c r="BW8" s="268"/>
      <c r="BX8" s="268">
        <v>3000</v>
      </c>
      <c r="BY8" s="268">
        <v>54000</v>
      </c>
    </row>
    <row r="9" spans="3:77" x14ac:dyDescent="0.3">
      <c r="C9" s="203" t="s">
        <v>818</v>
      </c>
      <c r="D9" s="311">
        <v>128009.00260000001</v>
      </c>
      <c r="E9"/>
      <c r="AT9" s="203" t="s">
        <v>544</v>
      </c>
      <c r="AU9" s="265">
        <v>10500</v>
      </c>
      <c r="AV9" s="266"/>
      <c r="AW9" s="266">
        <v>6400</v>
      </c>
      <c r="AX9" s="267">
        <f t="shared" si="0"/>
        <v>16900</v>
      </c>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v>16900</v>
      </c>
    </row>
    <row r="10" spans="3:77" ht="15" thickBot="1" x14ac:dyDescent="0.35">
      <c r="AT10" s="203" t="s">
        <v>545</v>
      </c>
      <c r="AU10" s="269"/>
      <c r="AV10" s="270"/>
      <c r="AW10" s="270"/>
      <c r="AX10" s="271">
        <f t="shared" si="0"/>
        <v>0</v>
      </c>
      <c r="AY10" s="268"/>
      <c r="AZ10" s="268"/>
      <c r="BA10" s="268">
        <v>25000</v>
      </c>
      <c r="BB10" s="268"/>
      <c r="BC10" s="268"/>
      <c r="BD10" s="268"/>
      <c r="BE10" s="268"/>
      <c r="BF10" s="268"/>
      <c r="BG10" s="268"/>
      <c r="BH10" s="268"/>
      <c r="BI10" s="268"/>
      <c r="BJ10" s="268">
        <v>100000</v>
      </c>
      <c r="BK10" s="268">
        <v>100000</v>
      </c>
      <c r="BL10" s="268"/>
      <c r="BM10" s="268"/>
      <c r="BN10" s="268"/>
      <c r="BO10" s="268"/>
      <c r="BP10" s="268"/>
      <c r="BQ10" s="268"/>
      <c r="BR10" s="268"/>
      <c r="BS10" s="268">
        <v>30139</v>
      </c>
      <c r="BT10" s="268"/>
      <c r="BU10" s="268"/>
      <c r="BV10" s="268"/>
      <c r="BW10" s="268"/>
      <c r="BX10" s="268"/>
      <c r="BY10" s="268">
        <v>255139</v>
      </c>
    </row>
    <row r="11" spans="3:77" x14ac:dyDescent="0.3">
      <c r="F11">
        <v>1</v>
      </c>
      <c r="G11">
        <v>3</v>
      </c>
      <c r="H11">
        <v>5</v>
      </c>
      <c r="I11">
        <v>7</v>
      </c>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row>
    <row r="12" spans="3:77" x14ac:dyDescent="0.3">
      <c r="C12" s="272" t="s">
        <v>538</v>
      </c>
      <c r="D12" s="284">
        <f>'2) Tableau budgétaire 2'!D7</f>
        <v>287273.94790592993</v>
      </c>
      <c r="E12" s="285">
        <f t="shared" ref="E12:E19" si="1">D12/SUM($D$12:$D$19)</f>
        <v>0.30381734810813282</v>
      </c>
      <c r="F12" s="284">
        <f>$D$5*E12</f>
        <v>30077.917462705151</v>
      </c>
      <c r="G12" s="284">
        <f>$D$6*E12</f>
        <v>1106.7306448209008</v>
      </c>
      <c r="H12" s="284">
        <f>$D$7*E12</f>
        <v>1996.0807669955377</v>
      </c>
      <c r="I12" s="284">
        <f>$D$8*E12</f>
        <v>5710.626829377492</v>
      </c>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row>
    <row r="13" spans="3:77" x14ac:dyDescent="0.3">
      <c r="C13" s="286" t="s">
        <v>547</v>
      </c>
      <c r="D13" s="287">
        <f>'2) Tableau budgétaire 2'!D18</f>
        <v>92446.071951899197</v>
      </c>
      <c r="E13" s="288">
        <f t="shared" si="1"/>
        <v>9.7769813894286239E-2</v>
      </c>
      <c r="F13" s="287">
        <f>$D$5*E13</f>
        <v>9679.2115755343384</v>
      </c>
      <c r="G13" s="287">
        <f t="shared" ref="G13:G19" si="2">$D$6*E13</f>
        <v>356.1509895634112</v>
      </c>
      <c r="H13" s="287">
        <f t="shared" ref="H13:H19" si="3">$D$7*E13</f>
        <v>642.34793148697668</v>
      </c>
      <c r="I13" s="287">
        <f t="shared" ref="I13:I19" si="4">$D$8*E13</f>
        <v>1837.7058644104777</v>
      </c>
      <c r="AT13" s="203"/>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row>
    <row r="14" spans="3:77" x14ac:dyDescent="0.3">
      <c r="C14" s="292" t="s">
        <v>406</v>
      </c>
      <c r="D14" s="293">
        <f>'2) Tableau budgétaire 2'!D52</f>
        <v>25799.951732765261</v>
      </c>
      <c r="E14" s="294">
        <f t="shared" si="1"/>
        <v>2.728570750638807E-2</v>
      </c>
      <c r="F14" s="293">
        <f t="shared" ref="F14:F18" si="5">$D$5*E14</f>
        <v>2701.2850431324191</v>
      </c>
      <c r="G14" s="293">
        <f t="shared" si="2"/>
        <v>99.395011018895147</v>
      </c>
      <c r="H14" s="293">
        <f t="shared" si="3"/>
        <v>179.26716925980912</v>
      </c>
      <c r="I14" s="293">
        <f t="shared" si="4"/>
        <v>512.8689797169468</v>
      </c>
      <c r="AT14" s="203"/>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row>
    <row r="15" spans="3:77" x14ac:dyDescent="0.3">
      <c r="C15" s="203" t="s">
        <v>415</v>
      </c>
      <c r="D15" s="204">
        <f>'2) Tableau budgétaire 2'!D63</f>
        <v>40214.231923969404</v>
      </c>
      <c r="E15" s="128">
        <f t="shared" si="1"/>
        <v>4.2530070646526592E-2</v>
      </c>
      <c r="F15" s="204">
        <f>$D$5*E15</f>
        <v>4210.4769940061324</v>
      </c>
      <c r="G15" s="204">
        <f t="shared" si="2"/>
        <v>154.92641484763473</v>
      </c>
      <c r="H15" s="204">
        <f t="shared" si="3"/>
        <v>279.42267472586337</v>
      </c>
      <c r="I15" s="204">
        <f t="shared" si="4"/>
        <v>799.40584038977545</v>
      </c>
      <c r="AT15" s="203"/>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row>
    <row r="16" spans="3:77" x14ac:dyDescent="0.3">
      <c r="C16" s="298" t="s">
        <v>424</v>
      </c>
      <c r="D16" s="299">
        <f>'2) Tableau budgétaire 2'!D74</f>
        <v>287772.0007254525</v>
      </c>
      <c r="E16" s="300">
        <f t="shared" si="1"/>
        <v>0.30434408256473128</v>
      </c>
      <c r="F16" s="299">
        <f t="shared" si="5"/>
        <v>30130.064173908395</v>
      </c>
      <c r="G16" s="299">
        <f t="shared" si="2"/>
        <v>1108.649406762675</v>
      </c>
      <c r="H16" s="299">
        <f t="shared" si="3"/>
        <v>1999.541413744899</v>
      </c>
      <c r="I16" s="299">
        <f t="shared" si="4"/>
        <v>5720.5274619073307</v>
      </c>
      <c r="AT16" s="203"/>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row>
    <row r="17" spans="3:77" x14ac:dyDescent="0.3">
      <c r="C17" s="203" t="s">
        <v>433</v>
      </c>
      <c r="D17" s="204">
        <f>'2) Tableau budgétaire 2'!D85</f>
        <v>13184.994073432592</v>
      </c>
      <c r="E17" s="128">
        <f t="shared" si="1"/>
        <v>1.3944285457877572E-2</v>
      </c>
      <c r="F17" s="204">
        <f>$D$5*E17</f>
        <v>1380.4842603298796</v>
      </c>
      <c r="G17" s="204">
        <f t="shared" si="2"/>
        <v>50.795545851683521</v>
      </c>
      <c r="H17" s="204">
        <f t="shared" si="3"/>
        <v>91.613991713397837</v>
      </c>
      <c r="I17" s="204">
        <f t="shared" si="4"/>
        <v>262.10027553763132</v>
      </c>
      <c r="AT17" s="203"/>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row>
    <row r="18" spans="3:77" x14ac:dyDescent="0.3">
      <c r="C18" s="272" t="s">
        <v>443</v>
      </c>
      <c r="D18" s="284">
        <f>'2) Tableau budgétaire 2'!D97</f>
        <v>176841.70899766652</v>
      </c>
      <c r="E18" s="285">
        <f t="shared" si="1"/>
        <v>0.18702558813364684</v>
      </c>
      <c r="F18" s="284">
        <f t="shared" si="5"/>
        <v>18515.533225231036</v>
      </c>
      <c r="G18" s="284">
        <f t="shared" si="2"/>
        <v>681.28746117384196</v>
      </c>
      <c r="H18" s="284">
        <f t="shared" si="3"/>
        <v>1228.7586003045888</v>
      </c>
      <c r="I18" s="284">
        <f t="shared" si="4"/>
        <v>3515.3797109570592</v>
      </c>
      <c r="AT18" s="203"/>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row>
    <row r="19" spans="3:77" x14ac:dyDescent="0.3">
      <c r="C19" s="203" t="s">
        <v>560</v>
      </c>
      <c r="D19" s="204">
        <f>'2) Tableau budgétaire 2'!D108</f>
        <v>22015.296880585822</v>
      </c>
      <c r="E19" s="128">
        <f t="shared" si="1"/>
        <v>2.3283103688410602E-2</v>
      </c>
      <c r="F19" s="204">
        <f>$D$5*E19</f>
        <v>2305.0272651526498</v>
      </c>
      <c r="G19" s="204">
        <f t="shared" si="2"/>
        <v>84.814525960957724</v>
      </c>
      <c r="H19" s="204">
        <f t="shared" si="3"/>
        <v>152.97005176892725</v>
      </c>
      <c r="I19" s="204">
        <f t="shared" si="4"/>
        <v>437.63503770328776</v>
      </c>
      <c r="AT19" s="203"/>
    </row>
    <row r="20" spans="3:77" x14ac:dyDescent="0.3">
      <c r="C20" s="203" t="s">
        <v>879</v>
      </c>
      <c r="D20" s="204">
        <f>'2) Tableau budgétaire 2'!D194</f>
        <v>456320.96004107367</v>
      </c>
      <c r="AT20" s="203"/>
    </row>
    <row r="23" spans="3:77" x14ac:dyDescent="0.3">
      <c r="C23" s="202" t="s">
        <v>899</v>
      </c>
      <c r="D23" s="202" t="s">
        <v>889</v>
      </c>
      <c r="E23"/>
    </row>
    <row r="24" spans="3:77" x14ac:dyDescent="0.3">
      <c r="C24" s="202" t="s">
        <v>817</v>
      </c>
      <c r="D24" t="s">
        <v>540</v>
      </c>
      <c r="E24" t="s">
        <v>541</v>
      </c>
      <c r="F24" t="s">
        <v>543</v>
      </c>
      <c r="G24" t="s">
        <v>544</v>
      </c>
      <c r="H24" t="s">
        <v>545</v>
      </c>
      <c r="I24" t="s">
        <v>818</v>
      </c>
    </row>
    <row r="25" spans="3:77" x14ac:dyDescent="0.3">
      <c r="C25" s="203" t="s">
        <v>790</v>
      </c>
      <c r="D25" s="311">
        <v>84000</v>
      </c>
      <c r="E25" s="311"/>
      <c r="F25" s="311"/>
      <c r="G25" s="311">
        <v>10500</v>
      </c>
      <c r="H25" s="311"/>
      <c r="I25" s="311">
        <v>94500</v>
      </c>
    </row>
    <row r="26" spans="3:77" x14ac:dyDescent="0.3">
      <c r="C26" s="203" t="s">
        <v>791</v>
      </c>
      <c r="D26" s="311">
        <v>22000</v>
      </c>
      <c r="E26" s="311">
        <v>22600</v>
      </c>
      <c r="F26" s="311"/>
      <c r="G26" s="311"/>
      <c r="H26" s="311"/>
      <c r="I26" s="311">
        <v>44600</v>
      </c>
    </row>
    <row r="27" spans="3:77" x14ac:dyDescent="0.3">
      <c r="C27" s="203" t="s">
        <v>792</v>
      </c>
      <c r="D27" s="311">
        <v>96482.59220203085</v>
      </c>
      <c r="E27" s="311">
        <v>6400</v>
      </c>
      <c r="F27" s="311"/>
      <c r="G27" s="311">
        <v>6400</v>
      </c>
      <c r="H27" s="311"/>
      <c r="I27" s="311">
        <v>109282.59220203085</v>
      </c>
    </row>
    <row r="28" spans="3:77" x14ac:dyDescent="0.3">
      <c r="C28" s="203" t="s">
        <v>793</v>
      </c>
      <c r="D28" s="311">
        <v>4200</v>
      </c>
      <c r="E28" s="311">
        <v>8282</v>
      </c>
      <c r="F28" s="311"/>
      <c r="G28" s="311"/>
      <c r="H28" s="311"/>
      <c r="I28" s="311">
        <v>12482</v>
      </c>
    </row>
    <row r="29" spans="3:77" x14ac:dyDescent="0.3">
      <c r="C29" s="203" t="s">
        <v>794</v>
      </c>
      <c r="D29" s="311">
        <v>7400</v>
      </c>
      <c r="E29" s="311">
        <v>7220</v>
      </c>
      <c r="F29" s="311"/>
      <c r="G29" s="311"/>
      <c r="H29" s="311"/>
      <c r="I29" s="311">
        <v>14620</v>
      </c>
    </row>
    <row r="30" spans="3:77" x14ac:dyDescent="0.3">
      <c r="C30" s="203" t="s">
        <v>795</v>
      </c>
      <c r="D30" s="311"/>
      <c r="E30" s="311"/>
      <c r="F30" s="311"/>
      <c r="G30" s="311"/>
      <c r="H30" s="311">
        <v>25000</v>
      </c>
      <c r="I30" s="311">
        <v>25000</v>
      </c>
    </row>
    <row r="31" spans="3:77" x14ac:dyDescent="0.3">
      <c r="C31" s="203" t="s">
        <v>796</v>
      </c>
      <c r="D31" s="311"/>
      <c r="E31" s="311">
        <v>1000</v>
      </c>
      <c r="F31" s="311"/>
      <c r="G31" s="311"/>
      <c r="H31" s="311"/>
      <c r="I31" s="311">
        <v>1000</v>
      </c>
    </row>
    <row r="32" spans="3:77" x14ac:dyDescent="0.3">
      <c r="C32" s="203" t="s">
        <v>797</v>
      </c>
      <c r="D32" s="311"/>
      <c r="E32" s="311">
        <v>4000</v>
      </c>
      <c r="F32" s="311">
        <v>20000</v>
      </c>
      <c r="G32" s="311"/>
      <c r="H32" s="311"/>
      <c r="I32" s="311">
        <v>24000</v>
      </c>
    </row>
    <row r="33" spans="3:9" x14ac:dyDescent="0.3">
      <c r="C33" s="203" t="s">
        <v>798</v>
      </c>
      <c r="D33" s="311"/>
      <c r="E33" s="311"/>
      <c r="F33" s="311">
        <v>2828.6555909039871</v>
      </c>
      <c r="G33" s="311"/>
      <c r="H33" s="311"/>
      <c r="I33" s="311">
        <v>2828.6555909039871</v>
      </c>
    </row>
    <row r="34" spans="3:9" x14ac:dyDescent="0.3">
      <c r="C34" s="203" t="s">
        <v>799</v>
      </c>
      <c r="D34" s="311"/>
      <c r="E34" s="311">
        <v>10000</v>
      </c>
      <c r="F34" s="311"/>
      <c r="G34" s="311"/>
      <c r="H34" s="311"/>
      <c r="I34" s="311">
        <v>10000</v>
      </c>
    </row>
    <row r="35" spans="3:9" x14ac:dyDescent="0.3">
      <c r="C35" s="203" t="s">
        <v>800</v>
      </c>
      <c r="D35" s="311">
        <v>8647.1355296371912</v>
      </c>
      <c r="E35" s="311">
        <v>3660</v>
      </c>
      <c r="F35" s="311"/>
      <c r="G35" s="311"/>
      <c r="H35" s="311"/>
      <c r="I35" s="311">
        <v>12307.135529637191</v>
      </c>
    </row>
    <row r="36" spans="3:9" x14ac:dyDescent="0.3">
      <c r="C36" s="203" t="s">
        <v>801</v>
      </c>
      <c r="D36" s="311">
        <v>14400</v>
      </c>
      <c r="E36" s="311">
        <v>20370</v>
      </c>
      <c r="F36" s="311"/>
      <c r="G36" s="311"/>
      <c r="H36" s="311"/>
      <c r="I36" s="311">
        <v>34770</v>
      </c>
    </row>
    <row r="37" spans="3:9" x14ac:dyDescent="0.3">
      <c r="C37" s="203" t="s">
        <v>802</v>
      </c>
      <c r="D37" s="311">
        <v>8865</v>
      </c>
      <c r="E37" s="311"/>
      <c r="F37" s="311"/>
      <c r="G37" s="311"/>
      <c r="H37" s="311"/>
      <c r="I37" s="311">
        <v>8865</v>
      </c>
    </row>
    <row r="38" spans="3:9" x14ac:dyDescent="0.3">
      <c r="C38" s="203" t="s">
        <v>803</v>
      </c>
      <c r="D38" s="311">
        <v>7000</v>
      </c>
      <c r="E38" s="311">
        <v>14948.21826912916</v>
      </c>
      <c r="F38" s="311"/>
      <c r="G38" s="311"/>
      <c r="H38" s="311"/>
      <c r="I38" s="311">
        <v>21948.21826912916</v>
      </c>
    </row>
    <row r="39" spans="3:9" x14ac:dyDescent="0.3">
      <c r="C39" s="203" t="s">
        <v>804</v>
      </c>
      <c r="D39" s="311"/>
      <c r="E39" s="311"/>
      <c r="F39" s="311"/>
      <c r="G39" s="311"/>
      <c r="H39" s="311">
        <v>100000</v>
      </c>
      <c r="I39" s="311">
        <v>100000</v>
      </c>
    </row>
    <row r="40" spans="3:9" x14ac:dyDescent="0.3">
      <c r="C40" s="203" t="s">
        <v>805</v>
      </c>
      <c r="D40" s="311"/>
      <c r="E40" s="311"/>
      <c r="F40" s="311"/>
      <c r="G40" s="311"/>
      <c r="H40" s="311">
        <v>100000</v>
      </c>
      <c r="I40" s="311">
        <v>100000</v>
      </c>
    </row>
    <row r="41" spans="3:9" x14ac:dyDescent="0.3">
      <c r="C41" s="203" t="s">
        <v>806</v>
      </c>
      <c r="D41" s="311"/>
      <c r="E41" s="311">
        <v>5000</v>
      </c>
      <c r="F41" s="311">
        <v>3000</v>
      </c>
      <c r="G41" s="311"/>
      <c r="H41" s="311"/>
      <c r="I41" s="311">
        <v>8000</v>
      </c>
    </row>
    <row r="42" spans="3:9" x14ac:dyDescent="0.3">
      <c r="C42" s="203" t="s">
        <v>828</v>
      </c>
      <c r="D42" s="311"/>
      <c r="E42" s="311">
        <v>10000</v>
      </c>
      <c r="F42" s="311"/>
      <c r="G42" s="311"/>
      <c r="H42" s="311"/>
      <c r="I42" s="311">
        <v>10000</v>
      </c>
    </row>
    <row r="43" spans="3:9" x14ac:dyDescent="0.3">
      <c r="C43" s="203" t="s">
        <v>807</v>
      </c>
      <c r="D43" s="311"/>
      <c r="E43" s="311">
        <v>11400</v>
      </c>
      <c r="F43" s="311"/>
      <c r="G43" s="311"/>
      <c r="H43" s="311"/>
      <c r="I43" s="311">
        <v>11400</v>
      </c>
    </row>
    <row r="44" spans="3:9" x14ac:dyDescent="0.3">
      <c r="C44" s="203" t="s">
        <v>808</v>
      </c>
      <c r="D44" s="311"/>
      <c r="E44" s="311">
        <v>11000</v>
      </c>
      <c r="F44" s="311"/>
      <c r="G44" s="311"/>
      <c r="H44" s="311"/>
      <c r="I44" s="311">
        <v>11000</v>
      </c>
    </row>
    <row r="45" spans="3:9" x14ac:dyDescent="0.3">
      <c r="C45" s="203" t="s">
        <v>809</v>
      </c>
      <c r="D45" s="311"/>
      <c r="E45" s="311"/>
      <c r="F45" s="311">
        <v>20000</v>
      </c>
      <c r="G45" s="311"/>
      <c r="H45" s="311"/>
      <c r="I45" s="311">
        <v>20000</v>
      </c>
    </row>
    <row r="46" spans="3:9" x14ac:dyDescent="0.3">
      <c r="C46" s="203" t="s">
        <v>810</v>
      </c>
      <c r="D46" s="311">
        <v>5000</v>
      </c>
      <c r="E46" s="311"/>
      <c r="F46" s="311"/>
      <c r="G46" s="311"/>
      <c r="H46" s="311"/>
      <c r="I46" s="311">
        <v>5000</v>
      </c>
    </row>
    <row r="47" spans="3:9" x14ac:dyDescent="0.3">
      <c r="C47" s="203" t="s">
        <v>811</v>
      </c>
      <c r="D47" s="311">
        <v>4000</v>
      </c>
      <c r="E47" s="311"/>
      <c r="F47" s="311"/>
      <c r="G47" s="311"/>
      <c r="H47" s="311"/>
      <c r="I47" s="311">
        <v>4000</v>
      </c>
    </row>
    <row r="48" spans="3:9" x14ac:dyDescent="0.3">
      <c r="C48" s="203" t="s">
        <v>812</v>
      </c>
      <c r="D48" s="311"/>
      <c r="E48" s="311">
        <v>40588.520000000004</v>
      </c>
      <c r="F48" s="311">
        <v>10000</v>
      </c>
      <c r="G48" s="311"/>
      <c r="H48" s="311">
        <v>30139</v>
      </c>
      <c r="I48" s="311">
        <v>80727.520000000004</v>
      </c>
    </row>
    <row r="49" spans="3:46" x14ac:dyDescent="0.3">
      <c r="C49" s="203" t="s">
        <v>813</v>
      </c>
      <c r="D49" s="311"/>
      <c r="E49" s="311">
        <v>5400</v>
      </c>
      <c r="F49" s="311"/>
      <c r="G49" s="311"/>
      <c r="H49" s="311"/>
      <c r="I49" s="311">
        <v>5400</v>
      </c>
    </row>
    <row r="50" spans="3:46" x14ac:dyDescent="0.3">
      <c r="C50" s="203" t="s">
        <v>814</v>
      </c>
      <c r="D50" s="311"/>
      <c r="E50" s="311">
        <v>2700</v>
      </c>
      <c r="F50" s="311"/>
      <c r="G50" s="311"/>
      <c r="H50" s="311"/>
      <c r="I50" s="311">
        <v>2700</v>
      </c>
    </row>
    <row r="51" spans="3:46" x14ac:dyDescent="0.3">
      <c r="C51" s="203" t="s">
        <v>815</v>
      </c>
      <c r="D51" s="311"/>
      <c r="E51" s="311">
        <v>16573.23</v>
      </c>
      <c r="F51" s="311"/>
      <c r="G51" s="311"/>
      <c r="H51" s="311">
        <v>7500</v>
      </c>
      <c r="I51" s="311">
        <v>24073.23</v>
      </c>
    </row>
    <row r="52" spans="3:46" x14ac:dyDescent="0.3">
      <c r="C52" s="203" t="s">
        <v>816</v>
      </c>
      <c r="D52" s="311"/>
      <c r="E52" s="311">
        <v>19034.849999999999</v>
      </c>
      <c r="F52" s="311"/>
      <c r="G52" s="311"/>
      <c r="H52" s="311"/>
      <c r="I52" s="311">
        <v>19034.849999999999</v>
      </c>
    </row>
    <row r="53" spans="3:46" x14ac:dyDescent="0.3">
      <c r="C53" s="203" t="s">
        <v>818</v>
      </c>
      <c r="D53" s="311">
        <v>261994.72773166804</v>
      </c>
      <c r="E53" s="311">
        <v>220176.8182691292</v>
      </c>
      <c r="F53" s="311">
        <v>55828.655590903989</v>
      </c>
      <c r="G53" s="311">
        <v>16900</v>
      </c>
      <c r="H53" s="311">
        <v>262639</v>
      </c>
      <c r="I53" s="311">
        <v>817539.20159170113</v>
      </c>
    </row>
    <row r="54" spans="3:46" x14ac:dyDescent="0.3">
      <c r="D54"/>
      <c r="E54"/>
    </row>
    <row r="56" spans="3:46" x14ac:dyDescent="0.3">
      <c r="C56" s="202" t="s">
        <v>899</v>
      </c>
      <c r="D56" s="202" t="s">
        <v>889</v>
      </c>
      <c r="E56"/>
    </row>
    <row r="57" spans="3:46" ht="15" thickBot="1" x14ac:dyDescent="0.35">
      <c r="C57" s="202" t="s">
        <v>817</v>
      </c>
      <c r="D57" t="s">
        <v>540</v>
      </c>
      <c r="E57" t="s">
        <v>541</v>
      </c>
      <c r="F57" t="s">
        <v>543</v>
      </c>
      <c r="G57" t="s">
        <v>544</v>
      </c>
      <c r="H57" t="s">
        <v>545</v>
      </c>
      <c r="I57" t="s">
        <v>818</v>
      </c>
      <c r="AT57" s="203"/>
    </row>
    <row r="58" spans="3:46" outlineLevel="1" x14ac:dyDescent="0.3">
      <c r="C58" s="273" t="s">
        <v>790</v>
      </c>
      <c r="D58" s="274">
        <f>GETPIVOTDATA("Montant",$C$23,"Activite","1.1.1","categorie","1. Personnel et autres employés")</f>
        <v>84000</v>
      </c>
      <c r="E58" s="274"/>
      <c r="F58" s="274"/>
      <c r="G58" s="274">
        <f>GETPIVOTDATA("Montant",$C$23,"Activite","1.1.1","categorie","5. Frais de déplacement")</f>
        <v>10500</v>
      </c>
      <c r="H58" s="274"/>
      <c r="I58" s="275">
        <f>SUM(D58:H58)</f>
        <v>94500</v>
      </c>
      <c r="AT58" s="203"/>
    </row>
    <row r="59" spans="3:46" outlineLevel="1" x14ac:dyDescent="0.3">
      <c r="C59" s="276" t="s">
        <v>791</v>
      </c>
      <c r="D59" s="266">
        <f>GETPIVOTDATA("Montant",$C$23,"Activite","1.1.2","categorie","1. Personnel et autres employés")</f>
        <v>22000</v>
      </c>
      <c r="E59" s="266">
        <f>GETPIVOTDATA("Montant",$C$23,"Activite","1.1.2","categorie","2. Fournitures, produits de base, matériels")</f>
        <v>22600</v>
      </c>
      <c r="F59" s="266"/>
      <c r="G59" s="266"/>
      <c r="H59" s="266"/>
      <c r="I59" s="277">
        <f t="shared" ref="I59:I90" si="6">SUM(D59:H59)</f>
        <v>44600</v>
      </c>
      <c r="AT59" s="203"/>
    </row>
    <row r="60" spans="3:46" outlineLevel="1" x14ac:dyDescent="0.3">
      <c r="C60" s="276" t="s">
        <v>792</v>
      </c>
      <c r="D60" s="466">
        <f>GETPIVOTDATA("Montant",$C$23,"Activite","1.1.3","categorie","1. Personnel et autres employés")</f>
        <v>96482.59220203085</v>
      </c>
      <c r="E60" s="266">
        <f>GETPIVOTDATA("Montant",$C$23,"Activite","1.1.3","categorie","2. Fournitures, produits de base, matériels")</f>
        <v>6400</v>
      </c>
      <c r="F60" s="266"/>
      <c r="G60" s="266">
        <f>GETPIVOTDATA("Montant",$C$23,"Activite","1.1.3","categorie","5. Frais de déplacement")</f>
        <v>6400</v>
      </c>
      <c r="H60" s="266"/>
      <c r="I60" s="277">
        <f t="shared" si="6"/>
        <v>109282.59220203085</v>
      </c>
      <c r="AT60" s="203"/>
    </row>
    <row r="61" spans="3:46" ht="15" outlineLevel="1" thickBot="1" x14ac:dyDescent="0.35">
      <c r="C61" s="278">
        <v>1.1000000000000001</v>
      </c>
      <c r="D61" s="279">
        <f>SUM(D58:D60)</f>
        <v>202482.59220203085</v>
      </c>
      <c r="E61" s="279">
        <f t="shared" ref="E61:H61" si="7">SUM(E58:E60)</f>
        <v>29000</v>
      </c>
      <c r="F61" s="279">
        <f t="shared" si="7"/>
        <v>0</v>
      </c>
      <c r="G61" s="279">
        <f t="shared" si="7"/>
        <v>16900</v>
      </c>
      <c r="H61" s="279">
        <f t="shared" si="7"/>
        <v>0</v>
      </c>
      <c r="I61" s="280">
        <f t="shared" si="6"/>
        <v>248382.59220203085</v>
      </c>
      <c r="AT61" s="203"/>
    </row>
    <row r="62" spans="3:46" outlineLevel="1" x14ac:dyDescent="0.3">
      <c r="C62" s="273" t="s">
        <v>793</v>
      </c>
      <c r="D62" s="274">
        <f>GETPIVOTDATA("Montant",$C$23,"Activite","1.2.1","categorie","1. Personnel et autres employés")</f>
        <v>4200</v>
      </c>
      <c r="E62" s="274">
        <f>GETPIVOTDATA("Montant",$C$23,"Activite","1.2.1","categorie","2. Fournitures, produits de base, matériels")</f>
        <v>8282</v>
      </c>
      <c r="F62" s="274"/>
      <c r="G62" s="274"/>
      <c r="H62" s="274"/>
      <c r="I62" s="275">
        <f t="shared" si="6"/>
        <v>12482</v>
      </c>
      <c r="AT62" s="203"/>
    </row>
    <row r="63" spans="3:46" outlineLevel="1" x14ac:dyDescent="0.3">
      <c r="C63" s="276" t="s">
        <v>794</v>
      </c>
      <c r="D63" s="266">
        <f>GETPIVOTDATA("Montant",$C$23,"Activite","1.2.2","categorie","1. Personnel et autres employés")</f>
        <v>7400</v>
      </c>
      <c r="E63" s="266">
        <f>GETPIVOTDATA("Montant",$C$23,"Activite","1.2.2","categorie","2. Fournitures, produits de base, matériels")</f>
        <v>7220</v>
      </c>
      <c r="F63" s="266"/>
      <c r="G63" s="266"/>
      <c r="H63" s="266"/>
      <c r="I63" s="277">
        <f t="shared" si="6"/>
        <v>14620</v>
      </c>
      <c r="AT63" s="203"/>
    </row>
    <row r="64" spans="3:46" outlineLevel="1" x14ac:dyDescent="0.3">
      <c r="C64" s="276" t="s">
        <v>795</v>
      </c>
      <c r="D64" s="266"/>
      <c r="E64" s="266"/>
      <c r="F64" s="266"/>
      <c r="G64" s="266"/>
      <c r="H64" s="266">
        <f>GETPIVOTDATA("Montant",$C$23,"Activite","1.2.3","categorie","6. Transferts et subventions aux homologues")</f>
        <v>25000</v>
      </c>
      <c r="I64" s="277">
        <f t="shared" si="6"/>
        <v>25000</v>
      </c>
      <c r="AT64" s="203"/>
    </row>
    <row r="65" spans="3:46" outlineLevel="1" x14ac:dyDescent="0.3">
      <c r="C65" s="276" t="s">
        <v>796</v>
      </c>
      <c r="D65" s="266"/>
      <c r="E65" s="266">
        <f>GETPIVOTDATA("Montant",$C$23,"Activite","1.2.4","categorie","2. Fournitures, produits de base, matériels")</f>
        <v>1000</v>
      </c>
      <c r="F65" s="266"/>
      <c r="G65" s="266"/>
      <c r="H65" s="266"/>
      <c r="I65" s="277">
        <f t="shared" si="6"/>
        <v>1000</v>
      </c>
      <c r="AT65" s="203"/>
    </row>
    <row r="66" spans="3:46" outlineLevel="1" x14ac:dyDescent="0.3">
      <c r="C66" s="276" t="s">
        <v>797</v>
      </c>
      <c r="D66" s="266"/>
      <c r="E66" s="266">
        <f>GETPIVOTDATA("Montant",$C$23,"Activite","1.2.5","categorie","2. Fournitures, produits de base, matériels")</f>
        <v>4000</v>
      </c>
      <c r="F66" s="266">
        <f>GETPIVOTDATA("Montant",$C$23,"Activite","1.2.5","categorie","4. Services contractuels")</f>
        <v>20000</v>
      </c>
      <c r="G66" s="266"/>
      <c r="H66" s="266"/>
      <c r="I66" s="277">
        <f t="shared" si="6"/>
        <v>24000</v>
      </c>
    </row>
    <row r="67" spans="3:46" outlineLevel="1" x14ac:dyDescent="0.3">
      <c r="C67" s="276" t="s">
        <v>798</v>
      </c>
      <c r="D67" s="266"/>
      <c r="E67" s="266"/>
      <c r="F67" s="266">
        <f>GETPIVOTDATA("Montant",$C$23,"Activite","1.2.6","categorie","4. Services contractuels")</f>
        <v>2828.6555909039871</v>
      </c>
      <c r="G67" s="266"/>
      <c r="H67" s="266"/>
      <c r="I67" s="277">
        <f t="shared" si="6"/>
        <v>2828.6555909039871</v>
      </c>
    </row>
    <row r="68" spans="3:46" ht="15" outlineLevel="1" thickBot="1" x14ac:dyDescent="0.35">
      <c r="C68" s="281">
        <v>1.1000000000000001</v>
      </c>
      <c r="D68" s="282">
        <f>SUM(D62:D67)</f>
        <v>11600</v>
      </c>
      <c r="E68" s="282">
        <f t="shared" ref="E68:H68" si="8">SUM(E62:E67)</f>
        <v>20502</v>
      </c>
      <c r="F68" s="282">
        <f t="shared" si="8"/>
        <v>22828.655590903989</v>
      </c>
      <c r="G68" s="282">
        <f t="shared" si="8"/>
        <v>0</v>
      </c>
      <c r="H68" s="282">
        <f t="shared" si="8"/>
        <v>25000</v>
      </c>
      <c r="I68" s="283">
        <f t="shared" si="6"/>
        <v>79930.655590903989</v>
      </c>
    </row>
    <row r="69" spans="3:46" x14ac:dyDescent="0.3">
      <c r="C69" s="273" t="s">
        <v>799</v>
      </c>
      <c r="D69" s="274"/>
      <c r="E69" s="274">
        <f>GETPIVOTDATA("Montant",$C$23,"Activite","2.1.1","categorie","2. Fournitures, produits de base, matériels")</f>
        <v>10000</v>
      </c>
      <c r="F69" s="274"/>
      <c r="G69" s="274"/>
      <c r="H69" s="274"/>
      <c r="I69" s="275">
        <f t="shared" si="6"/>
        <v>10000</v>
      </c>
    </row>
    <row r="70" spans="3:46" x14ac:dyDescent="0.3">
      <c r="C70" s="276" t="s">
        <v>800</v>
      </c>
      <c r="D70" s="266">
        <f>GETPIVOTDATA("Montant",$C$23,"Activite","2.1.2","categorie","1. Personnel et autres employés")</f>
        <v>8647.1355296371912</v>
      </c>
      <c r="E70" s="266">
        <f>GETPIVOTDATA("Montant",$C$23,"Activite","2.1.2","categorie","2. Fournitures, produits de base, matériels")</f>
        <v>3660</v>
      </c>
      <c r="F70" s="266"/>
      <c r="G70" s="266"/>
      <c r="H70" s="266"/>
      <c r="I70" s="277">
        <f t="shared" si="6"/>
        <v>12307.135529637191</v>
      </c>
      <c r="AT70" s="203"/>
    </row>
    <row r="71" spans="3:46" ht="15" thickBot="1" x14ac:dyDescent="0.35">
      <c r="C71" s="289">
        <v>1.1000000000000001</v>
      </c>
      <c r="D71" s="290">
        <f>SUM(D69:D70)</f>
        <v>8647.1355296371912</v>
      </c>
      <c r="E71" s="290">
        <f t="shared" ref="E71:H71" si="9">SUM(E69:E70)</f>
        <v>13660</v>
      </c>
      <c r="F71" s="290">
        <f t="shared" si="9"/>
        <v>0</v>
      </c>
      <c r="G71" s="290">
        <f t="shared" si="9"/>
        <v>0</v>
      </c>
      <c r="H71" s="290">
        <f t="shared" si="9"/>
        <v>0</v>
      </c>
      <c r="I71" s="291">
        <f t="shared" si="6"/>
        <v>22307.135529637191</v>
      </c>
      <c r="AT71" s="203"/>
    </row>
    <row r="72" spans="3:46" s="305" customFormat="1" ht="15" thickBot="1" x14ac:dyDescent="0.35">
      <c r="C72" s="302" t="s">
        <v>801</v>
      </c>
      <c r="D72" s="303">
        <v>14400</v>
      </c>
      <c r="E72" s="303">
        <f>GETPIVOTDATA("Montant",$C$23,"Activite","2.2.1","categorie","2. Fournitures, produits de base, matériels")</f>
        <v>20370</v>
      </c>
      <c r="F72" s="303"/>
      <c r="G72" s="303"/>
      <c r="H72" s="303"/>
      <c r="I72" s="304">
        <f t="shared" si="6"/>
        <v>34770</v>
      </c>
      <c r="AT72" s="306"/>
    </row>
    <row r="73" spans="3:46" x14ac:dyDescent="0.3">
      <c r="C73" s="273" t="s">
        <v>802</v>
      </c>
      <c r="D73" s="274">
        <f>GETPIVOTDATA("Montant",$C$23,"Activite","2.3.1","categorie","1. Personnel et autres employés")</f>
        <v>8865</v>
      </c>
      <c r="E73" s="274"/>
      <c r="F73" s="274"/>
      <c r="G73" s="274"/>
      <c r="H73" s="274"/>
      <c r="I73" s="275">
        <f t="shared" si="6"/>
        <v>8865</v>
      </c>
      <c r="AT73" s="203"/>
    </row>
    <row r="74" spans="3:46" x14ac:dyDescent="0.3">
      <c r="C74" s="276" t="s">
        <v>803</v>
      </c>
      <c r="D74" s="266">
        <f>GETPIVOTDATA("Montant",$C$23,"Activite","2.3.2","categorie","1. Personnel et autres employés")</f>
        <v>7000</v>
      </c>
      <c r="E74" s="266">
        <f>GETPIVOTDATA("Montant",$C$23,"Activite","2.3.2","categorie","2. Fournitures, produits de base, matériels")</f>
        <v>14948.21826912916</v>
      </c>
      <c r="F74" s="266"/>
      <c r="G74" s="266"/>
      <c r="H74" s="266"/>
      <c r="I74" s="277">
        <f t="shared" si="6"/>
        <v>21948.21826912916</v>
      </c>
      <c r="AT74" s="203"/>
    </row>
    <row r="75" spans="3:46" x14ac:dyDescent="0.3">
      <c r="C75" s="276" t="s">
        <v>804</v>
      </c>
      <c r="D75" s="266"/>
      <c r="E75" s="266"/>
      <c r="F75" s="266"/>
      <c r="G75" s="266"/>
      <c r="H75" s="266">
        <f>GETPIVOTDATA("Montant",$C$23,"Activite","2.3.3","categorie","6. Transferts et subventions aux homologues")</f>
        <v>100000</v>
      </c>
      <c r="I75" s="277">
        <f t="shared" si="6"/>
        <v>100000</v>
      </c>
      <c r="AT75" s="203"/>
    </row>
    <row r="76" spans="3:46" x14ac:dyDescent="0.3">
      <c r="C76" s="276" t="s">
        <v>805</v>
      </c>
      <c r="D76" s="266"/>
      <c r="E76" s="266"/>
      <c r="F76" s="266"/>
      <c r="G76" s="266"/>
      <c r="H76" s="266">
        <f>GETPIVOTDATA("Montant",$C$23,"Activite","2.3.4","categorie","6. Transferts et subventions aux homologues")</f>
        <v>100000</v>
      </c>
      <c r="I76" s="277">
        <f t="shared" si="6"/>
        <v>100000</v>
      </c>
      <c r="AT76" s="203"/>
    </row>
    <row r="77" spans="3:46" x14ac:dyDescent="0.3">
      <c r="C77" s="276" t="s">
        <v>806</v>
      </c>
      <c r="D77" s="266"/>
      <c r="E77" s="266">
        <f>GETPIVOTDATA("Montant",$C$23,"Activite","2.3.5","categorie","2. Fournitures, produits de base, matériels")</f>
        <v>5000</v>
      </c>
      <c r="F77" s="266">
        <f>GETPIVOTDATA("Montant",$C$23,"Activite","2.3.5","categorie","4. Services contractuels")</f>
        <v>3000</v>
      </c>
      <c r="G77" s="266"/>
      <c r="H77" s="266"/>
      <c r="I77" s="277">
        <f t="shared" si="6"/>
        <v>8000</v>
      </c>
      <c r="AT77" s="203"/>
    </row>
    <row r="78" spans="3:46" x14ac:dyDescent="0.3">
      <c r="C78" s="276" t="s">
        <v>828</v>
      </c>
      <c r="D78" s="266"/>
      <c r="E78" s="266">
        <f>GETPIVOTDATA("Montant",$C$23,"Activite","2.3.6","categorie","2. Fournitures, produits de base, matériels")</f>
        <v>10000</v>
      </c>
      <c r="F78" s="266"/>
      <c r="G78" s="266"/>
      <c r="H78" s="266"/>
      <c r="I78" s="277">
        <f t="shared" si="6"/>
        <v>10000</v>
      </c>
      <c r="AT78" s="203"/>
    </row>
    <row r="79" spans="3:46" ht="15" thickBot="1" x14ac:dyDescent="0.35">
      <c r="C79" s="295"/>
      <c r="D79" s="296">
        <f>SUM(D73:D78)</f>
        <v>15865</v>
      </c>
      <c r="E79" s="296">
        <f t="shared" ref="E79:H79" si="10">SUM(E73:E78)</f>
        <v>29948.21826912916</v>
      </c>
      <c r="F79" s="296">
        <f t="shared" si="10"/>
        <v>3000</v>
      </c>
      <c r="G79" s="296">
        <f t="shared" si="10"/>
        <v>0</v>
      </c>
      <c r="H79" s="296">
        <f t="shared" si="10"/>
        <v>200000</v>
      </c>
      <c r="I79" s="297">
        <f t="shared" si="6"/>
        <v>248813.21826912917</v>
      </c>
      <c r="AT79" s="203"/>
    </row>
    <row r="80" spans="3:46" s="305" customFormat="1" ht="15" thickBot="1" x14ac:dyDescent="0.35">
      <c r="C80" s="302" t="s">
        <v>807</v>
      </c>
      <c r="D80" s="303"/>
      <c r="E80" s="303">
        <f>GETPIVOTDATA("Montant",$C$23,"Activite","2.4.1","categorie","2. Fournitures, produits de base, matériels")</f>
        <v>11400</v>
      </c>
      <c r="F80" s="303"/>
      <c r="G80" s="303"/>
      <c r="H80" s="303"/>
      <c r="I80" s="304">
        <f t="shared" si="6"/>
        <v>11400</v>
      </c>
    </row>
    <row r="81" spans="3:46" x14ac:dyDescent="0.3">
      <c r="C81" s="273" t="s">
        <v>808</v>
      </c>
      <c r="D81" s="274"/>
      <c r="E81" s="274">
        <f>GETPIVOTDATA("Montant",$C$23,"Activite","3.1.1","categorie","2. Fournitures, produits de base, matériels")</f>
        <v>11000</v>
      </c>
      <c r="F81" s="274"/>
      <c r="G81" s="274"/>
      <c r="H81" s="274"/>
      <c r="I81" s="275">
        <f t="shared" si="6"/>
        <v>11000</v>
      </c>
    </row>
    <row r="82" spans="3:46" x14ac:dyDescent="0.3">
      <c r="C82" s="276" t="s">
        <v>809</v>
      </c>
      <c r="D82" s="266"/>
      <c r="E82" s="266"/>
      <c r="F82" s="266">
        <f>GETPIVOTDATA("Montant",$C$23,"Activite","3.1.2","categorie","4. Services contractuels")</f>
        <v>20000</v>
      </c>
      <c r="G82" s="266"/>
      <c r="H82" s="266"/>
      <c r="I82" s="277">
        <f t="shared" si="6"/>
        <v>20000</v>
      </c>
    </row>
    <row r="83" spans="3:46" x14ac:dyDescent="0.3">
      <c r="C83" s="276" t="s">
        <v>810</v>
      </c>
      <c r="D83" s="266">
        <f>GETPIVOTDATA("Montant",$C$23,"Activite","3.1.3","categorie","1. Personnel et autres employés")</f>
        <v>5000</v>
      </c>
      <c r="E83" s="266"/>
      <c r="F83" s="266"/>
      <c r="G83" s="266"/>
      <c r="H83" s="266"/>
      <c r="I83" s="277">
        <f t="shared" si="6"/>
        <v>5000</v>
      </c>
      <c r="AT83" s="203"/>
    </row>
    <row r="84" spans="3:46" x14ac:dyDescent="0.3">
      <c r="C84" s="276" t="s">
        <v>811</v>
      </c>
      <c r="D84" s="266">
        <f>GETPIVOTDATA("Montant",$C$23,"Activite","3.1.4","categorie","1. Personnel et autres employés")</f>
        <v>4000</v>
      </c>
      <c r="E84" s="266"/>
      <c r="F84" s="266"/>
      <c r="G84" s="266"/>
      <c r="H84" s="266"/>
      <c r="I84" s="277">
        <f t="shared" si="6"/>
        <v>4000</v>
      </c>
      <c r="AT84" s="203"/>
    </row>
    <row r="85" spans="3:46" x14ac:dyDescent="0.3">
      <c r="C85" s="276" t="s">
        <v>812</v>
      </c>
      <c r="D85" s="266"/>
      <c r="E85" s="266">
        <f>GETPIVOTDATA("Montant",$C$23,"Activite","3.1.5","categorie","2. Fournitures, produits de base, matériels")</f>
        <v>40588.520000000004</v>
      </c>
      <c r="F85" s="266">
        <f>GETPIVOTDATA("Montant",$C$23,"Activite","3.1.5","categorie","4. Services contractuels")</f>
        <v>10000</v>
      </c>
      <c r="G85" s="266"/>
      <c r="H85" s="266">
        <f>GETPIVOTDATA("Montant",$C$23,"Activite","3.1.5","categorie","6. Transferts et subventions aux homologues")</f>
        <v>30139</v>
      </c>
      <c r="I85" s="277">
        <f t="shared" si="6"/>
        <v>80727.520000000004</v>
      </c>
      <c r="AT85" s="203"/>
    </row>
    <row r="86" spans="3:46" x14ac:dyDescent="0.3">
      <c r="C86" s="276" t="s">
        <v>813</v>
      </c>
      <c r="D86" s="266"/>
      <c r="E86" s="266">
        <f>GETPIVOTDATA("Montant",$C$23,"Activite","3.1.6","categorie","2. Fournitures, produits de base, matériels")</f>
        <v>5400</v>
      </c>
      <c r="F86" s="266"/>
      <c r="G86" s="266"/>
      <c r="H86" s="266"/>
      <c r="I86" s="277">
        <f t="shared" si="6"/>
        <v>5400</v>
      </c>
      <c r="AT86" s="203"/>
    </row>
    <row r="87" spans="3:46" x14ac:dyDescent="0.3">
      <c r="C87" s="276" t="s">
        <v>814</v>
      </c>
      <c r="D87" s="266"/>
      <c r="E87" s="266">
        <f>GETPIVOTDATA("Montant",$C$23,"Activite","3.1.7","categorie","2. Fournitures, produits de base, matériels")</f>
        <v>2700</v>
      </c>
      <c r="F87" s="266"/>
      <c r="G87" s="266"/>
      <c r="H87" s="266"/>
      <c r="I87" s="277">
        <f t="shared" si="6"/>
        <v>2700</v>
      </c>
      <c r="AT87" s="203"/>
    </row>
    <row r="88" spans="3:46" x14ac:dyDescent="0.3">
      <c r="C88" s="276" t="s">
        <v>815</v>
      </c>
      <c r="D88" s="266"/>
      <c r="E88" s="266">
        <f>GETPIVOTDATA("Montant",$C$23,"Activite","3.1.8","categorie","2. Fournitures, produits de base, matériels")</f>
        <v>16573.23</v>
      </c>
      <c r="F88" s="266"/>
      <c r="G88" s="266"/>
      <c r="H88" s="266">
        <f>GETPIVOTDATA("Montant",$C$23,"Activite","3.1.8","categorie","6. Transferts et subventions aux homologues")</f>
        <v>7500</v>
      </c>
      <c r="I88" s="277">
        <f t="shared" si="6"/>
        <v>24073.23</v>
      </c>
      <c r="AT88" s="203"/>
    </row>
    <row r="89" spans="3:46" ht="15" thickBot="1" x14ac:dyDescent="0.35">
      <c r="C89" s="301"/>
      <c r="D89" s="279">
        <f>SUM(D81:D88)</f>
        <v>9000</v>
      </c>
      <c r="E89" s="279">
        <f t="shared" ref="E89:H89" si="11">SUM(E81:E88)</f>
        <v>76261.75</v>
      </c>
      <c r="F89" s="279">
        <f t="shared" si="11"/>
        <v>30000</v>
      </c>
      <c r="G89" s="279">
        <f t="shared" si="11"/>
        <v>0</v>
      </c>
      <c r="H89" s="279">
        <f t="shared" si="11"/>
        <v>37639</v>
      </c>
      <c r="I89" s="280">
        <f t="shared" si="6"/>
        <v>152900.75</v>
      </c>
      <c r="AT89" s="203"/>
    </row>
    <row r="90" spans="3:46" s="305" customFormat="1" ht="15" thickBot="1" x14ac:dyDescent="0.35">
      <c r="C90" s="302" t="s">
        <v>816</v>
      </c>
      <c r="D90" s="303"/>
      <c r="E90" s="303">
        <f>GETPIVOTDATA("Montant",$C$23,"Activite","3.2.1","categorie","2. Fournitures, produits de base, matériels")</f>
        <v>19034.849999999999</v>
      </c>
      <c r="F90" s="303"/>
      <c r="G90" s="303"/>
      <c r="H90" s="303"/>
      <c r="I90" s="304">
        <f t="shared" si="6"/>
        <v>19034.849999999999</v>
      </c>
      <c r="AT90" s="306"/>
    </row>
    <row r="91" spans="3:46" x14ac:dyDescent="0.3">
      <c r="D91"/>
      <c r="E9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K37"/>
  <sheetViews>
    <sheetView zoomScale="80" zoomScaleNormal="80" workbookViewId="0">
      <selection activeCell="J13" sqref="J13"/>
    </sheetView>
  </sheetViews>
  <sheetFormatPr defaultColWidth="8.88671875" defaultRowHeight="14.4" x14ac:dyDescent="0.3"/>
  <cols>
    <col min="2" max="2" width="13.33203125" customWidth="1"/>
    <col min="3" max="3" width="22.6640625" style="204" customWidth="1"/>
    <col min="4" max="5" width="24.33203125" style="204" hidden="1" customWidth="1"/>
    <col min="6" max="6" width="7.5546875" customWidth="1"/>
    <col min="7" max="7" width="6.44140625" style="128" customWidth="1"/>
    <col min="8" max="8" width="13.6640625" style="204" customWidth="1"/>
    <col min="9" max="9" width="6.5546875" customWidth="1"/>
    <col min="10" max="10" width="60.6640625" bestFit="1" customWidth="1"/>
    <col min="11" max="11" width="22.6640625" style="204" bestFit="1" customWidth="1"/>
    <col min="14" max="14" width="72" customWidth="1"/>
    <col min="15" max="15" width="24.33203125" customWidth="1"/>
  </cols>
  <sheetData>
    <row r="3" spans="2:11" ht="15" thickBot="1" x14ac:dyDescent="0.35">
      <c r="B3" s="202" t="s">
        <v>817</v>
      </c>
      <c r="C3" t="s">
        <v>819</v>
      </c>
      <c r="D3"/>
      <c r="E3"/>
      <c r="J3" s="202" t="s">
        <v>817</v>
      </c>
      <c r="K3" t="s">
        <v>819</v>
      </c>
    </row>
    <row r="4" spans="2:11" x14ac:dyDescent="0.3">
      <c r="B4" s="203" t="s">
        <v>790</v>
      </c>
      <c r="C4">
        <v>94500</v>
      </c>
      <c r="D4">
        <v>94500</v>
      </c>
      <c r="E4">
        <f>C4-D4</f>
        <v>0</v>
      </c>
      <c r="G4" s="229">
        <f>C4/$C$32</f>
        <v>0.11559078734819568</v>
      </c>
      <c r="H4" s="235">
        <f>G4*$K$36+C4</f>
        <v>109296.66139819122</v>
      </c>
      <c r="J4" s="203" t="s">
        <v>790</v>
      </c>
      <c r="K4">
        <v>94500</v>
      </c>
    </row>
    <row r="5" spans="2:11" x14ac:dyDescent="0.3">
      <c r="B5" s="203" t="s">
        <v>791</v>
      </c>
      <c r="C5">
        <v>44600</v>
      </c>
      <c r="D5">
        <v>44600</v>
      </c>
      <c r="E5">
        <f t="shared" ref="E5:E32" si="0">C5-D5</f>
        <v>0</v>
      </c>
      <c r="G5" s="230">
        <f t="shared" ref="G5:G32" si="1">C5/$C$32</f>
        <v>5.4553958896608752E-2</v>
      </c>
      <c r="H5" s="236">
        <f t="shared" ref="H5:H31" si="2">G5*$K$36+C5</f>
        <v>51583.397866236286</v>
      </c>
      <c r="J5" s="203" t="s">
        <v>791</v>
      </c>
      <c r="K5">
        <v>44600</v>
      </c>
    </row>
    <row r="6" spans="2:11" ht="15" thickBot="1" x14ac:dyDescent="0.35">
      <c r="B6" s="203" t="s">
        <v>792</v>
      </c>
      <c r="C6">
        <v>109282.59220203085</v>
      </c>
      <c r="D6">
        <v>112965</v>
      </c>
      <c r="E6">
        <f t="shared" si="0"/>
        <v>-3682.4077979691501</v>
      </c>
      <c r="G6" s="230">
        <f t="shared" si="1"/>
        <v>0.13367260186332841</v>
      </c>
      <c r="H6" s="236">
        <f>G6*$K$36+C6</f>
        <v>126393.88864150242</v>
      </c>
      <c r="J6" s="203" t="s">
        <v>792</v>
      </c>
      <c r="K6">
        <v>109282.59220203085</v>
      </c>
    </row>
    <row r="7" spans="2:11" x14ac:dyDescent="0.3">
      <c r="B7" s="203" t="s">
        <v>793</v>
      </c>
      <c r="C7">
        <v>12482</v>
      </c>
      <c r="D7">
        <v>12482</v>
      </c>
      <c r="E7">
        <f t="shared" si="0"/>
        <v>0</v>
      </c>
      <c r="G7" s="229">
        <f t="shared" si="1"/>
        <v>1.5267769393441041E-2</v>
      </c>
      <c r="H7" s="235">
        <f t="shared" si="2"/>
        <v>14436.411931981194</v>
      </c>
      <c r="J7" s="203" t="s">
        <v>793</v>
      </c>
      <c r="K7">
        <v>12482</v>
      </c>
    </row>
    <row r="8" spans="2:11" x14ac:dyDescent="0.3">
      <c r="B8" s="203" t="s">
        <v>794</v>
      </c>
      <c r="C8">
        <v>14620</v>
      </c>
      <c r="D8">
        <v>14620</v>
      </c>
      <c r="E8">
        <f t="shared" si="0"/>
        <v>0</v>
      </c>
      <c r="G8" s="230">
        <f t="shared" si="1"/>
        <v>1.7882934508260537E-2</v>
      </c>
      <c r="H8" s="236">
        <f t="shared" si="2"/>
        <v>16909.176609963553</v>
      </c>
      <c r="J8" s="203" t="s">
        <v>794</v>
      </c>
      <c r="K8">
        <v>14620</v>
      </c>
    </row>
    <row r="9" spans="2:11" x14ac:dyDescent="0.3">
      <c r="B9" s="203" t="s">
        <v>795</v>
      </c>
      <c r="C9">
        <v>25000</v>
      </c>
      <c r="D9">
        <v>25000</v>
      </c>
      <c r="E9">
        <f t="shared" si="0"/>
        <v>0</v>
      </c>
      <c r="G9" s="230">
        <f t="shared" si="1"/>
        <v>3.0579573372538537E-2</v>
      </c>
      <c r="H9" s="236">
        <f t="shared" si="2"/>
        <v>28914.460687352177</v>
      </c>
      <c r="J9" s="203" t="s">
        <v>795</v>
      </c>
      <c r="K9">
        <v>25000</v>
      </c>
    </row>
    <row r="10" spans="2:11" x14ac:dyDescent="0.3">
      <c r="B10" s="203" t="s">
        <v>796</v>
      </c>
      <c r="C10">
        <v>1000</v>
      </c>
      <c r="D10">
        <v>1000</v>
      </c>
      <c r="E10">
        <f t="shared" si="0"/>
        <v>0</v>
      </c>
      <c r="G10" s="230">
        <f t="shared" si="1"/>
        <v>1.2231829349015416E-3</v>
      </c>
      <c r="H10" s="236">
        <f t="shared" si="2"/>
        <v>1156.578427494087</v>
      </c>
      <c r="J10" s="203" t="s">
        <v>796</v>
      </c>
      <c r="K10">
        <v>1000</v>
      </c>
    </row>
    <row r="11" spans="2:11" x14ac:dyDescent="0.3">
      <c r="B11" s="203" t="s">
        <v>797</v>
      </c>
      <c r="C11">
        <v>24000</v>
      </c>
      <c r="D11">
        <v>24000</v>
      </c>
      <c r="E11">
        <f t="shared" si="0"/>
        <v>0</v>
      </c>
      <c r="G11" s="230">
        <f t="shared" si="1"/>
        <v>2.9356390437636996E-2</v>
      </c>
      <c r="H11" s="236">
        <f t="shared" si="2"/>
        <v>27757.882259858088</v>
      </c>
      <c r="J11" s="203" t="s">
        <v>797</v>
      </c>
      <c r="K11">
        <v>24000</v>
      </c>
    </row>
    <row r="12" spans="2:11" ht="15" thickBot="1" x14ac:dyDescent="0.35">
      <c r="B12" s="203" t="s">
        <v>798</v>
      </c>
      <c r="C12">
        <v>2828.6555909039871</v>
      </c>
      <c r="D12">
        <v>2000</v>
      </c>
      <c r="E12">
        <f t="shared" si="0"/>
        <v>828.6555909039871</v>
      </c>
      <c r="G12" s="231">
        <f t="shared" si="1"/>
        <v>3.4599632475075933E-3</v>
      </c>
      <c r="H12" s="237">
        <f t="shared" si="2"/>
        <v>3271.562035250091</v>
      </c>
      <c r="J12" s="203" t="s">
        <v>798</v>
      </c>
      <c r="K12">
        <v>2828.6555909039871</v>
      </c>
    </row>
    <row r="13" spans="2:11" x14ac:dyDescent="0.3">
      <c r="B13" s="203" t="s">
        <v>799</v>
      </c>
      <c r="C13">
        <v>10000</v>
      </c>
      <c r="D13">
        <v>10000</v>
      </c>
      <c r="E13">
        <f t="shared" si="0"/>
        <v>0</v>
      </c>
      <c r="G13" s="238">
        <f t="shared" si="1"/>
        <v>1.2231829349015415E-2</v>
      </c>
      <c r="H13" s="239">
        <f t="shared" si="2"/>
        <v>11565.78427494087</v>
      </c>
      <c r="J13" s="203" t="s">
        <v>799</v>
      </c>
      <c r="K13">
        <v>10000</v>
      </c>
    </row>
    <row r="14" spans="2:11" ht="15" thickBot="1" x14ac:dyDescent="0.35">
      <c r="B14" s="203" t="s">
        <v>800</v>
      </c>
      <c r="C14">
        <v>12307.135529637191</v>
      </c>
      <c r="D14">
        <v>15505</v>
      </c>
      <c r="E14">
        <f t="shared" si="0"/>
        <v>-3197.8644703628088</v>
      </c>
      <c r="G14" s="240">
        <f t="shared" si="1"/>
        <v>1.5053878157372658E-2</v>
      </c>
      <c r="H14" s="241">
        <f t="shared" si="2"/>
        <v>14234.167457824391</v>
      </c>
      <c r="J14" s="203" t="s">
        <v>800</v>
      </c>
      <c r="K14">
        <v>12307.135529637191</v>
      </c>
    </row>
    <row r="15" spans="2:11" ht="15" thickBot="1" x14ac:dyDescent="0.35">
      <c r="B15" s="203" t="s">
        <v>801</v>
      </c>
      <c r="C15">
        <v>34770</v>
      </c>
      <c r="D15">
        <v>34770</v>
      </c>
      <c r="E15">
        <f t="shared" si="0"/>
        <v>0</v>
      </c>
      <c r="G15" s="242">
        <f t="shared" si="1"/>
        <v>4.2530070646526599E-2</v>
      </c>
      <c r="H15" s="243">
        <f t="shared" si="2"/>
        <v>40214.231923969404</v>
      </c>
      <c r="J15" s="203" t="s">
        <v>801</v>
      </c>
      <c r="K15">
        <v>34770</v>
      </c>
    </row>
    <row r="16" spans="2:11" x14ac:dyDescent="0.3">
      <c r="B16" s="203" t="s">
        <v>802</v>
      </c>
      <c r="C16">
        <v>8865</v>
      </c>
      <c r="D16">
        <v>8865</v>
      </c>
      <c r="E16">
        <f t="shared" si="0"/>
        <v>0</v>
      </c>
      <c r="G16" s="244">
        <f t="shared" si="1"/>
        <v>1.0843516717902166E-2</v>
      </c>
      <c r="H16" s="245">
        <f t="shared" si="2"/>
        <v>10253.067759735082</v>
      </c>
      <c r="J16" s="203" t="s">
        <v>802</v>
      </c>
      <c r="K16">
        <v>8865</v>
      </c>
    </row>
    <row r="17" spans="2:11" x14ac:dyDescent="0.3">
      <c r="B17" s="203" t="s">
        <v>803</v>
      </c>
      <c r="C17">
        <v>21948.21826912916</v>
      </c>
      <c r="D17">
        <v>32250</v>
      </c>
      <c r="E17">
        <f t="shared" si="0"/>
        <v>-10301.78173087084</v>
      </c>
      <c r="G17" s="244">
        <f t="shared" si="1"/>
        <v>2.6846686038293037E-2</v>
      </c>
      <c r="H17" s="245">
        <f t="shared" si="2"/>
        <v>25384.835772006398</v>
      </c>
      <c r="J17" s="203" t="s">
        <v>803</v>
      </c>
      <c r="K17">
        <v>21948.21826912916</v>
      </c>
    </row>
    <row r="18" spans="2:11" x14ac:dyDescent="0.3">
      <c r="B18" s="203" t="s">
        <v>804</v>
      </c>
      <c r="C18">
        <v>100000</v>
      </c>
      <c r="D18">
        <v>100000</v>
      </c>
      <c r="E18">
        <f t="shared" si="0"/>
        <v>0</v>
      </c>
      <c r="G18" s="244">
        <f t="shared" si="1"/>
        <v>0.12231829349015415</v>
      </c>
      <c r="H18" s="245">
        <f t="shared" si="2"/>
        <v>115657.84274940871</v>
      </c>
      <c r="J18" s="203" t="s">
        <v>804</v>
      </c>
      <c r="K18">
        <v>100000</v>
      </c>
    </row>
    <row r="19" spans="2:11" x14ac:dyDescent="0.3">
      <c r="B19" s="203" t="s">
        <v>805</v>
      </c>
      <c r="C19">
        <v>100000</v>
      </c>
      <c r="D19">
        <v>100000</v>
      </c>
      <c r="E19">
        <f t="shared" si="0"/>
        <v>0</v>
      </c>
      <c r="G19" s="244">
        <f t="shared" si="1"/>
        <v>0.12231829349015415</v>
      </c>
      <c r="H19" s="245">
        <f t="shared" si="2"/>
        <v>115657.84274940871</v>
      </c>
      <c r="J19" s="203" t="s">
        <v>805</v>
      </c>
      <c r="K19">
        <v>100000</v>
      </c>
    </row>
    <row r="20" spans="2:11" x14ac:dyDescent="0.3">
      <c r="B20" s="203" t="s">
        <v>806</v>
      </c>
      <c r="C20">
        <v>8000</v>
      </c>
      <c r="D20">
        <v>8000</v>
      </c>
      <c r="E20">
        <f t="shared" si="0"/>
        <v>0</v>
      </c>
      <c r="G20" s="244">
        <f t="shared" si="1"/>
        <v>9.7854634792123325E-3</v>
      </c>
      <c r="H20" s="245">
        <f t="shared" si="2"/>
        <v>9252.6274199526961</v>
      </c>
      <c r="J20" s="203" t="s">
        <v>806</v>
      </c>
      <c r="K20">
        <v>8000</v>
      </c>
    </row>
    <row r="21" spans="2:11" ht="15" thickBot="1" x14ac:dyDescent="0.35">
      <c r="B21" s="203" t="s">
        <v>828</v>
      </c>
      <c r="C21">
        <v>10000</v>
      </c>
      <c r="D21">
        <v>8500</v>
      </c>
      <c r="E21">
        <f t="shared" si="0"/>
        <v>1500</v>
      </c>
      <c r="G21" s="244">
        <f t="shared" si="1"/>
        <v>1.2231829349015415E-2</v>
      </c>
      <c r="H21" s="245">
        <f t="shared" si="2"/>
        <v>11565.78427494087</v>
      </c>
      <c r="J21" s="203" t="s">
        <v>828</v>
      </c>
      <c r="K21">
        <v>10000</v>
      </c>
    </row>
    <row r="22" spans="2:11" ht="15" thickBot="1" x14ac:dyDescent="0.35">
      <c r="B22" s="203" t="s">
        <v>807</v>
      </c>
      <c r="C22">
        <v>11400</v>
      </c>
      <c r="D22">
        <v>9900</v>
      </c>
      <c r="E22">
        <f t="shared" si="0"/>
        <v>1500</v>
      </c>
      <c r="G22" s="242">
        <f t="shared" si="1"/>
        <v>1.3944285457877573E-2</v>
      </c>
      <c r="H22" s="243">
        <f t="shared" si="2"/>
        <v>13184.994073432592</v>
      </c>
      <c r="J22" s="203" t="s">
        <v>807</v>
      </c>
      <c r="K22">
        <v>11400</v>
      </c>
    </row>
    <row r="23" spans="2:11" x14ac:dyDescent="0.3">
      <c r="B23" s="203" t="s">
        <v>808</v>
      </c>
      <c r="C23">
        <v>11000</v>
      </c>
      <c r="D23">
        <v>11000</v>
      </c>
      <c r="E23">
        <f t="shared" si="0"/>
        <v>0</v>
      </c>
      <c r="G23" s="232">
        <f t="shared" si="1"/>
        <v>1.3455012283916956E-2</v>
      </c>
      <c r="H23" s="246">
        <f t="shared" si="2"/>
        <v>12722.362702434957</v>
      </c>
      <c r="J23" s="203" t="s">
        <v>808</v>
      </c>
      <c r="K23">
        <v>11000</v>
      </c>
    </row>
    <row r="24" spans="2:11" x14ac:dyDescent="0.3">
      <c r="B24" s="203" t="s">
        <v>809</v>
      </c>
      <c r="C24">
        <v>20000</v>
      </c>
      <c r="D24">
        <v>20000</v>
      </c>
      <c r="E24">
        <f t="shared" si="0"/>
        <v>0</v>
      </c>
      <c r="G24" s="233">
        <f t="shared" si="1"/>
        <v>2.446365869803083E-2</v>
      </c>
      <c r="H24" s="247">
        <f t="shared" si="2"/>
        <v>23131.56854988174</v>
      </c>
      <c r="J24" s="203" t="s">
        <v>809</v>
      </c>
      <c r="K24">
        <v>20000</v>
      </c>
    </row>
    <row r="25" spans="2:11" x14ac:dyDescent="0.3">
      <c r="B25" s="203" t="s">
        <v>810</v>
      </c>
      <c r="C25">
        <v>5000</v>
      </c>
      <c r="D25">
        <v>5000</v>
      </c>
      <c r="E25">
        <f t="shared" si="0"/>
        <v>0</v>
      </c>
      <c r="G25" s="233">
        <f t="shared" si="1"/>
        <v>6.1159146745077076E-3</v>
      </c>
      <c r="H25" s="247">
        <f t="shared" si="2"/>
        <v>5782.892137470435</v>
      </c>
      <c r="J25" s="203" t="s">
        <v>810</v>
      </c>
      <c r="K25">
        <v>5000</v>
      </c>
    </row>
    <row r="26" spans="2:11" x14ac:dyDescent="0.3">
      <c r="B26" s="203" t="s">
        <v>811</v>
      </c>
      <c r="C26">
        <v>4000</v>
      </c>
      <c r="D26">
        <v>4000</v>
      </c>
      <c r="E26">
        <f t="shared" si="0"/>
        <v>0</v>
      </c>
      <c r="G26" s="233">
        <f t="shared" si="1"/>
        <v>4.8927317396061662E-3</v>
      </c>
      <c r="H26" s="247">
        <f t="shared" si="2"/>
        <v>4626.313709976348</v>
      </c>
      <c r="J26" s="203" t="s">
        <v>811</v>
      </c>
      <c r="K26">
        <v>4000</v>
      </c>
    </row>
    <row r="27" spans="2:11" x14ac:dyDescent="0.3">
      <c r="B27" s="203" t="s">
        <v>812</v>
      </c>
      <c r="C27">
        <v>80727.520000000004</v>
      </c>
      <c r="D27">
        <v>78828</v>
      </c>
      <c r="E27">
        <f t="shared" si="0"/>
        <v>1899.5200000000041</v>
      </c>
      <c r="G27" s="233">
        <f t="shared" si="1"/>
        <v>9.8744524840922901E-2</v>
      </c>
      <c r="H27" s="247">
        <f t="shared" si="2"/>
        <v>93367.708137097463</v>
      </c>
      <c r="J27" s="203" t="s">
        <v>812</v>
      </c>
      <c r="K27">
        <v>80727.520000000004</v>
      </c>
    </row>
    <row r="28" spans="2:11" x14ac:dyDescent="0.3">
      <c r="B28" s="203" t="s">
        <v>813</v>
      </c>
      <c r="C28">
        <v>5400</v>
      </c>
      <c r="D28">
        <v>4200</v>
      </c>
      <c r="E28">
        <f t="shared" si="0"/>
        <v>1200</v>
      </c>
      <c r="G28" s="233">
        <f t="shared" si="1"/>
        <v>6.6051878484683245E-3</v>
      </c>
      <c r="H28" s="247">
        <f t="shared" si="2"/>
        <v>6245.5235084680698</v>
      </c>
      <c r="J28" s="203" t="s">
        <v>813</v>
      </c>
      <c r="K28">
        <v>5400</v>
      </c>
    </row>
    <row r="29" spans="2:11" x14ac:dyDescent="0.3">
      <c r="B29" s="203" t="s">
        <v>814</v>
      </c>
      <c r="C29">
        <v>2700</v>
      </c>
      <c r="D29">
        <v>2700</v>
      </c>
      <c r="E29">
        <f t="shared" si="0"/>
        <v>0</v>
      </c>
      <c r="G29" s="233">
        <f t="shared" si="1"/>
        <v>3.3025939242341622E-3</v>
      </c>
      <c r="H29" s="247">
        <f t="shared" si="2"/>
        <v>3122.7617542340349</v>
      </c>
      <c r="J29" s="203" t="s">
        <v>814</v>
      </c>
      <c r="K29">
        <v>2700</v>
      </c>
    </row>
    <row r="30" spans="2:11" ht="15" thickBot="1" x14ac:dyDescent="0.35">
      <c r="B30" s="203" t="s">
        <v>815</v>
      </c>
      <c r="C30">
        <v>24073.23</v>
      </c>
      <c r="D30">
        <v>19500</v>
      </c>
      <c r="E30">
        <f t="shared" si="0"/>
        <v>4573.2299999999996</v>
      </c>
      <c r="G30" s="233">
        <f t="shared" si="1"/>
        <v>2.9445964123959837E-2</v>
      </c>
      <c r="H30" s="247">
        <f t="shared" si="2"/>
        <v>27842.578498103481</v>
      </c>
      <c r="J30" s="203" t="s">
        <v>815</v>
      </c>
      <c r="K30">
        <v>24073.23</v>
      </c>
    </row>
    <row r="31" spans="2:11" ht="15" thickBot="1" x14ac:dyDescent="0.35">
      <c r="B31" s="203" t="s">
        <v>816</v>
      </c>
      <c r="C31">
        <v>19034.849999999999</v>
      </c>
      <c r="D31">
        <v>9800</v>
      </c>
      <c r="E31">
        <f t="shared" si="0"/>
        <v>9234.8499999999985</v>
      </c>
      <c r="G31" s="234">
        <f t="shared" si="1"/>
        <v>2.3283103688410606E-2</v>
      </c>
      <c r="H31" s="248">
        <f t="shared" si="2"/>
        <v>22015.296880585822</v>
      </c>
      <c r="J31" s="203" t="s">
        <v>816</v>
      </c>
      <c r="K31">
        <v>19034.849999999999</v>
      </c>
    </row>
    <row r="32" spans="2:11" x14ac:dyDescent="0.3">
      <c r="B32" s="203" t="s">
        <v>818</v>
      </c>
      <c r="C32">
        <v>817539.20159170113</v>
      </c>
      <c r="D32">
        <v>813985</v>
      </c>
      <c r="E32">
        <f t="shared" si="0"/>
        <v>3554.2015917011304</v>
      </c>
      <c r="G32" s="128">
        <f t="shared" si="1"/>
        <v>1</v>
      </c>
      <c r="J32" s="203" t="s">
        <v>518</v>
      </c>
      <c r="K32">
        <v>73653.800041073671</v>
      </c>
    </row>
    <row r="33" spans="10:11" x14ac:dyDescent="0.3">
      <c r="J33" s="203" t="s">
        <v>519</v>
      </c>
      <c r="K33">
        <v>27167</v>
      </c>
    </row>
    <row r="34" spans="10:11" x14ac:dyDescent="0.3">
      <c r="J34" s="203" t="s">
        <v>516</v>
      </c>
      <c r="K34">
        <v>293540.48000000004</v>
      </c>
    </row>
    <row r="35" spans="10:11" x14ac:dyDescent="0.3">
      <c r="J35" s="203" t="s">
        <v>517</v>
      </c>
      <c r="K35">
        <v>61959.679999999993</v>
      </c>
    </row>
    <row r="36" spans="10:11" x14ac:dyDescent="0.3">
      <c r="J36" s="203" t="s">
        <v>847</v>
      </c>
      <c r="K36">
        <v>128009.00260000001</v>
      </c>
    </row>
    <row r="37" spans="10:11" x14ac:dyDescent="0.3">
      <c r="J37" s="203" t="s">
        <v>818</v>
      </c>
      <c r="K37">
        <v>1401869.1642327749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B2:E3"/>
  <sheetViews>
    <sheetView showGridLines="0" zoomScale="70" zoomScaleNormal="70" workbookViewId="0">
      <selection activeCell="B30" sqref="B30"/>
    </sheetView>
  </sheetViews>
  <sheetFormatPr defaultColWidth="8.88671875" defaultRowHeight="14.4" x14ac:dyDescent="0.3"/>
  <cols>
    <col min="2" max="2" width="133.44140625" customWidth="1"/>
  </cols>
  <sheetData>
    <row r="2" spans="2:5" ht="36.75" customHeight="1" thickBot="1" x14ac:dyDescent="0.35">
      <c r="B2" s="471" t="s">
        <v>590</v>
      </c>
      <c r="C2" s="471"/>
      <c r="D2" s="471"/>
      <c r="E2" s="471"/>
    </row>
    <row r="3" spans="2:5" ht="361.5" customHeight="1" thickBot="1" x14ac:dyDescent="0.35">
      <c r="B3" s="175" t="s">
        <v>591</v>
      </c>
    </row>
  </sheetData>
  <sheetProtection sheet="1" objects="1" scenarios="1"/>
  <mergeCells count="1">
    <mergeCell ref="B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L271"/>
  <sheetViews>
    <sheetView showGridLines="0" showZeros="0" tabSelected="1" zoomScale="60" zoomScaleNormal="60" workbookViewId="0">
      <pane ySplit="5" topLeftCell="A6" activePane="bottomLeft" state="frozen"/>
      <selection activeCell="F3" sqref="F3"/>
      <selection pane="bottomLeft" activeCell="L7" sqref="L7"/>
    </sheetView>
  </sheetViews>
  <sheetFormatPr defaultColWidth="9.109375" defaultRowHeight="14.4" x14ac:dyDescent="0.3"/>
  <cols>
    <col min="1" max="1" width="4.33203125" style="205" customWidth="1"/>
    <col min="2" max="2" width="16.88671875" style="205" customWidth="1"/>
    <col min="3" max="3" width="45.33203125" style="205" customWidth="1"/>
    <col min="4" max="4" width="25" style="205" customWidth="1"/>
    <col min="5" max="6" width="25" style="205" hidden="1" customWidth="1"/>
    <col min="7" max="7" width="23.33203125" style="205" customWidth="1"/>
    <col min="8" max="8" width="22.44140625" style="205" customWidth="1"/>
    <col min="9" max="9" width="22.44140625" style="219" customWidth="1"/>
    <col min="10" max="10" width="58.44140625" style="250" customWidth="1"/>
    <col min="11" max="11" width="30.33203125" style="205" customWidth="1"/>
    <col min="12" max="12" width="18.88671875" style="205" customWidth="1"/>
    <col min="13" max="13" width="9.109375" style="205"/>
    <col min="14" max="14" width="17.6640625" style="205" customWidth="1"/>
    <col min="15" max="15" width="26.44140625" style="205" customWidth="1"/>
    <col min="16" max="16" width="22.44140625" style="205" customWidth="1"/>
    <col min="17" max="17" width="29.6640625" style="205" customWidth="1"/>
    <col min="18" max="18" width="23.44140625" style="205" customWidth="1"/>
    <col min="19" max="19" width="18.44140625" style="205" customWidth="1"/>
    <col min="20" max="20" width="17.44140625" style="205" customWidth="1"/>
    <col min="21" max="21" width="25.109375" style="205" customWidth="1"/>
    <col min="22" max="16384" width="9.109375" style="205"/>
  </cols>
  <sheetData>
    <row r="2" spans="1:12" ht="29.25" customHeight="1" x14ac:dyDescent="0.3">
      <c r="B2" s="480" t="s">
        <v>520</v>
      </c>
      <c r="C2" s="480"/>
      <c r="D2" s="480"/>
      <c r="E2" s="480"/>
      <c r="F2" s="206"/>
      <c r="G2" s="206"/>
      <c r="H2" s="207"/>
      <c r="I2" s="208"/>
      <c r="J2" s="249"/>
      <c r="K2" s="207"/>
    </row>
    <row r="3" spans="1:12" ht="24" customHeight="1" x14ac:dyDescent="0.3">
      <c r="B3" s="481" t="s">
        <v>366</v>
      </c>
      <c r="C3" s="481"/>
      <c r="D3" s="481"/>
      <c r="E3" s="481"/>
      <c r="F3" s="481"/>
      <c r="G3" s="481"/>
      <c r="H3" s="481"/>
      <c r="I3" s="209"/>
      <c r="J3" s="210"/>
    </row>
    <row r="4" spans="1:12" ht="6.75" customHeight="1" x14ac:dyDescent="0.3">
      <c r="D4" s="190"/>
      <c r="E4" s="190"/>
      <c r="F4" s="190"/>
      <c r="G4" s="190"/>
      <c r="I4" s="177"/>
      <c r="K4" s="211"/>
      <c r="L4" s="211"/>
    </row>
    <row r="5" spans="1:12" ht="148.5" customHeight="1" x14ac:dyDescent="0.3">
      <c r="B5" s="25" t="s">
        <v>367</v>
      </c>
      <c r="C5" s="25" t="s">
        <v>521</v>
      </c>
      <c r="D5" s="176" t="s">
        <v>522</v>
      </c>
      <c r="E5" s="176" t="s">
        <v>523</v>
      </c>
      <c r="F5" s="176" t="s">
        <v>524</v>
      </c>
      <c r="G5" s="25" t="s">
        <v>11</v>
      </c>
      <c r="H5" s="25" t="s">
        <v>525</v>
      </c>
      <c r="I5" s="25" t="s">
        <v>584</v>
      </c>
      <c r="J5" s="251" t="s">
        <v>592</v>
      </c>
      <c r="K5" s="25" t="s">
        <v>593</v>
      </c>
      <c r="L5" s="37"/>
    </row>
    <row r="6" spans="1:12" ht="52.5" customHeight="1" x14ac:dyDescent="0.3">
      <c r="B6" s="89" t="s">
        <v>368</v>
      </c>
      <c r="C6" s="482" t="s">
        <v>927</v>
      </c>
      <c r="D6" s="482"/>
      <c r="E6" s="482"/>
      <c r="F6" s="482"/>
      <c r="G6" s="482"/>
      <c r="H6" s="482"/>
      <c r="I6" s="477"/>
      <c r="J6" s="477"/>
      <c r="K6" s="482"/>
      <c r="L6" s="15"/>
    </row>
    <row r="7" spans="1:12" ht="25.5" customHeight="1" x14ac:dyDescent="0.3">
      <c r="B7" s="89" t="s">
        <v>369</v>
      </c>
      <c r="C7" s="483" t="s">
        <v>928</v>
      </c>
      <c r="D7" s="483"/>
      <c r="E7" s="483"/>
      <c r="F7" s="483"/>
      <c r="G7" s="483"/>
      <c r="H7" s="483"/>
      <c r="I7" s="479"/>
      <c r="J7" s="479"/>
      <c r="K7" s="483"/>
      <c r="L7" s="39"/>
    </row>
    <row r="8" spans="1:12" ht="46.8" x14ac:dyDescent="0.3">
      <c r="B8" s="90" t="s">
        <v>370</v>
      </c>
      <c r="C8" s="212" t="s">
        <v>788</v>
      </c>
      <c r="D8" s="16">
        <f>TCD_1!H4</f>
        <v>109296.66139819122</v>
      </c>
      <c r="E8" s="16"/>
      <c r="F8" s="16"/>
      <c r="G8" s="115">
        <f>SUM(D8:F8)</f>
        <v>109296.66139819122</v>
      </c>
      <c r="H8" s="112">
        <v>1</v>
      </c>
      <c r="I8" s="16">
        <v>96432.512041474809</v>
      </c>
      <c r="J8" s="252" t="s">
        <v>865</v>
      </c>
      <c r="K8" s="213"/>
      <c r="L8" s="40"/>
    </row>
    <row r="9" spans="1:12" ht="46.8" x14ac:dyDescent="0.3">
      <c r="B9" s="90" t="s">
        <v>371</v>
      </c>
      <c r="C9" s="212" t="s">
        <v>789</v>
      </c>
      <c r="D9" s="16">
        <f>TCD_1!H5</f>
        <v>51583.397866236286</v>
      </c>
      <c r="E9" s="16"/>
      <c r="F9" s="16"/>
      <c r="G9" s="115">
        <f t="shared" ref="G9:G15" si="0">SUM(D9:F9)</f>
        <v>51583.397866236286</v>
      </c>
      <c r="H9" s="112">
        <v>1</v>
      </c>
      <c r="I9" s="16">
        <v>57960.641717507257</v>
      </c>
      <c r="J9" s="252" t="s">
        <v>865</v>
      </c>
      <c r="K9" s="213"/>
      <c r="L9" s="40"/>
    </row>
    <row r="10" spans="1:12" ht="105.75" customHeight="1" x14ac:dyDescent="0.3">
      <c r="B10" s="90" t="s">
        <v>372</v>
      </c>
      <c r="C10" s="226" t="s">
        <v>929</v>
      </c>
      <c r="D10" s="16">
        <f>TCD_1!H6</f>
        <v>126393.88864150242</v>
      </c>
      <c r="E10" s="16"/>
      <c r="F10" s="16"/>
      <c r="G10" s="115">
        <f t="shared" si="0"/>
        <v>126393.88864150242</v>
      </c>
      <c r="H10" s="112">
        <v>1</v>
      </c>
      <c r="I10" s="16">
        <v>122426.14700156757</v>
      </c>
      <c r="J10" s="252" t="s">
        <v>880</v>
      </c>
      <c r="K10" s="213"/>
      <c r="L10" s="40"/>
    </row>
    <row r="11" spans="1:12" ht="15.6" hidden="1" x14ac:dyDescent="0.3">
      <c r="B11" s="90" t="s">
        <v>373</v>
      </c>
      <c r="C11" s="214"/>
      <c r="D11" s="16"/>
      <c r="E11" s="16"/>
      <c r="F11" s="16"/>
      <c r="G11" s="115">
        <f t="shared" si="0"/>
        <v>0</v>
      </c>
      <c r="H11" s="112"/>
      <c r="I11" s="16"/>
      <c r="J11" s="252"/>
      <c r="K11" s="213"/>
      <c r="L11" s="40"/>
    </row>
    <row r="12" spans="1:12" ht="15.6" hidden="1" x14ac:dyDescent="0.3">
      <c r="B12" s="90" t="s">
        <v>374</v>
      </c>
      <c r="C12" s="214"/>
      <c r="D12" s="16"/>
      <c r="E12" s="16"/>
      <c r="F12" s="16"/>
      <c r="G12" s="115">
        <f t="shared" si="0"/>
        <v>0</v>
      </c>
      <c r="H12" s="112"/>
      <c r="I12" s="16"/>
      <c r="J12" s="252"/>
      <c r="K12" s="213"/>
      <c r="L12" s="40"/>
    </row>
    <row r="13" spans="1:12" ht="15.6" hidden="1" x14ac:dyDescent="0.3">
      <c r="B13" s="90" t="s">
        <v>375</v>
      </c>
      <c r="C13" s="214"/>
      <c r="D13" s="16"/>
      <c r="E13" s="16"/>
      <c r="F13" s="16"/>
      <c r="G13" s="115">
        <f t="shared" si="0"/>
        <v>0</v>
      </c>
      <c r="H13" s="112"/>
      <c r="I13" s="16"/>
      <c r="J13" s="252"/>
      <c r="K13" s="213"/>
      <c r="L13" s="40"/>
    </row>
    <row r="14" spans="1:12" ht="15.6" hidden="1" x14ac:dyDescent="0.3">
      <c r="B14" s="90" t="s">
        <v>376</v>
      </c>
      <c r="C14" s="215"/>
      <c r="D14" s="17"/>
      <c r="E14" s="17"/>
      <c r="F14" s="17"/>
      <c r="G14" s="115">
        <f t="shared" si="0"/>
        <v>0</v>
      </c>
      <c r="H14" s="113"/>
      <c r="I14" s="17"/>
      <c r="J14" s="252"/>
      <c r="K14" s="216"/>
      <c r="L14" s="40"/>
    </row>
    <row r="15" spans="1:12" ht="15.6" hidden="1" x14ac:dyDescent="0.3">
      <c r="A15" s="211"/>
      <c r="B15" s="90" t="s">
        <v>377</v>
      </c>
      <c r="C15" s="215"/>
      <c r="D15" s="17"/>
      <c r="E15" s="17"/>
      <c r="F15" s="17"/>
      <c r="G15" s="115">
        <f t="shared" si="0"/>
        <v>0</v>
      </c>
      <c r="H15" s="113"/>
      <c r="I15" s="17"/>
      <c r="J15" s="252"/>
      <c r="K15" s="216"/>
    </row>
    <row r="16" spans="1:12" ht="15.6" x14ac:dyDescent="0.3">
      <c r="A16" s="211"/>
      <c r="C16" s="91" t="s">
        <v>526</v>
      </c>
      <c r="D16" s="18">
        <f>SUM(D8:D15)</f>
        <v>287273.94790592993</v>
      </c>
      <c r="E16" s="18">
        <f>SUM(E8:E15)</f>
        <v>0</v>
      </c>
      <c r="F16" s="18">
        <f>SUM(F8:F15)</f>
        <v>0</v>
      </c>
      <c r="G16" s="18">
        <f>SUM(G8:G15)</f>
        <v>287273.94790592993</v>
      </c>
      <c r="H16" s="18">
        <f>(H8*G8)+(H9*G9)+(H10*G10)+(H11*G11)+(H12*G12)+(H13*G13)+(H14*G14)+(H15*G15)</f>
        <v>287273.94790592993</v>
      </c>
      <c r="I16" s="18">
        <f>SUM(I8:I15)</f>
        <v>276819.30076054967</v>
      </c>
      <c r="J16" s="253"/>
      <c r="K16" s="216"/>
      <c r="L16" s="41"/>
    </row>
    <row r="17" spans="1:12" ht="38.25" customHeight="1" x14ac:dyDescent="0.3">
      <c r="A17" s="211"/>
      <c r="B17" s="89" t="s">
        <v>378</v>
      </c>
      <c r="C17" s="478" t="s">
        <v>930</v>
      </c>
      <c r="D17" s="478"/>
      <c r="E17" s="478"/>
      <c r="F17" s="478"/>
      <c r="G17" s="478"/>
      <c r="H17" s="478"/>
      <c r="I17" s="479"/>
      <c r="J17" s="479"/>
      <c r="K17" s="478"/>
      <c r="L17" s="39"/>
    </row>
    <row r="18" spans="1:12" ht="46.8" x14ac:dyDescent="0.3">
      <c r="A18" s="211"/>
      <c r="B18" s="90" t="s">
        <v>379</v>
      </c>
      <c r="C18" s="212" t="s">
        <v>820</v>
      </c>
      <c r="D18" s="16">
        <f>TCD_1!H7</f>
        <v>14436.411931981194</v>
      </c>
      <c r="E18" s="16"/>
      <c r="F18" s="16"/>
      <c r="G18" s="115">
        <f>SUM(D18:F18)</f>
        <v>14436.411931981194</v>
      </c>
      <c r="H18" s="112">
        <v>1</v>
      </c>
      <c r="I18" s="16">
        <v>12145.636910922905</v>
      </c>
      <c r="J18" s="252" t="s">
        <v>866</v>
      </c>
      <c r="K18" s="213"/>
      <c r="L18" s="40"/>
    </row>
    <row r="19" spans="1:12" ht="36.75" customHeight="1" x14ac:dyDescent="0.3">
      <c r="A19" s="211"/>
      <c r="B19" s="90" t="s">
        <v>380</v>
      </c>
      <c r="C19" s="212" t="s">
        <v>821</v>
      </c>
      <c r="D19" s="16">
        <f>TCD_1!H8</f>
        <v>16909.176609963553</v>
      </c>
      <c r="E19" s="16"/>
      <c r="F19" s="16"/>
      <c r="G19" s="115">
        <f t="shared" ref="G19:G25" si="1">SUM(D19:F19)</f>
        <v>16909.176609963553</v>
      </c>
      <c r="H19" s="112">
        <v>1</v>
      </c>
      <c r="I19" s="16">
        <v>11225.730440341158</v>
      </c>
      <c r="J19" s="252" t="s">
        <v>866</v>
      </c>
      <c r="K19" s="213"/>
      <c r="L19" s="40"/>
    </row>
    <row r="20" spans="1:12" ht="87.75" customHeight="1" x14ac:dyDescent="0.3">
      <c r="A20" s="211"/>
      <c r="B20" s="90" t="s">
        <v>381</v>
      </c>
      <c r="C20" s="214" t="s">
        <v>711</v>
      </c>
      <c r="D20" s="16">
        <f>TCD_1!H9</f>
        <v>28914.460687352177</v>
      </c>
      <c r="E20" s="16"/>
      <c r="F20" s="16"/>
      <c r="G20" s="115">
        <f t="shared" si="1"/>
        <v>28914.460687352177</v>
      </c>
      <c r="H20" s="112">
        <v>1</v>
      </c>
      <c r="I20" s="16">
        <v>7939.7690307504035</v>
      </c>
      <c r="J20" s="252" t="s">
        <v>867</v>
      </c>
      <c r="K20" s="213"/>
      <c r="L20" s="40"/>
    </row>
    <row r="21" spans="1:12" ht="49.5" customHeight="1" x14ac:dyDescent="0.3">
      <c r="A21" s="211"/>
      <c r="B21" s="90" t="s">
        <v>382</v>
      </c>
      <c r="C21" s="214" t="s">
        <v>712</v>
      </c>
      <c r="D21" s="16">
        <f>TCD_1!H10</f>
        <v>1156.578427494087</v>
      </c>
      <c r="E21" s="16"/>
      <c r="F21" s="16"/>
      <c r="G21" s="115">
        <f t="shared" si="1"/>
        <v>1156.578427494087</v>
      </c>
      <c r="H21" s="112">
        <v>1</v>
      </c>
      <c r="I21" s="16">
        <v>148.00583574669781</v>
      </c>
      <c r="J21" s="252" t="s">
        <v>868</v>
      </c>
      <c r="K21" s="213"/>
      <c r="L21" s="40"/>
    </row>
    <row r="22" spans="1:12" ht="69" customHeight="1" x14ac:dyDescent="0.3">
      <c r="A22" s="211"/>
      <c r="B22" s="90" t="s">
        <v>383</v>
      </c>
      <c r="C22" s="212" t="s">
        <v>822</v>
      </c>
      <c r="D22" s="16">
        <f>TCD_1!H11</f>
        <v>27757.882259858088</v>
      </c>
      <c r="E22" s="16"/>
      <c r="F22" s="16"/>
      <c r="G22" s="115">
        <f t="shared" si="1"/>
        <v>27757.882259858088</v>
      </c>
      <c r="H22" s="112">
        <v>1</v>
      </c>
      <c r="I22" s="16">
        <v>22203.633138180201</v>
      </c>
      <c r="J22" s="252" t="s">
        <v>869</v>
      </c>
      <c r="K22" s="213"/>
      <c r="L22" s="40"/>
    </row>
    <row r="23" spans="1:12" ht="37.5" customHeight="1" x14ac:dyDescent="0.3">
      <c r="A23" s="211"/>
      <c r="B23" s="90" t="s">
        <v>384</v>
      </c>
      <c r="C23" s="212" t="s">
        <v>823</v>
      </c>
      <c r="D23" s="16">
        <f>TCD_1!H12</f>
        <v>3271.562035250091</v>
      </c>
      <c r="E23" s="16"/>
      <c r="F23" s="16"/>
      <c r="G23" s="115">
        <f t="shared" si="1"/>
        <v>3271.562035250091</v>
      </c>
      <c r="H23" s="112">
        <v>1</v>
      </c>
      <c r="I23" s="16">
        <v>2624.6672623973827</v>
      </c>
      <c r="J23" s="252" t="s">
        <v>870</v>
      </c>
      <c r="K23" s="213"/>
      <c r="L23" s="40"/>
    </row>
    <row r="24" spans="1:12" ht="15.6" hidden="1" x14ac:dyDescent="0.3">
      <c r="A24" s="211"/>
      <c r="B24" s="90" t="s">
        <v>385</v>
      </c>
      <c r="C24" s="215"/>
      <c r="D24" s="17"/>
      <c r="E24" s="17"/>
      <c r="F24" s="17"/>
      <c r="G24" s="115">
        <f t="shared" si="1"/>
        <v>0</v>
      </c>
      <c r="H24" s="113"/>
      <c r="I24" s="17"/>
      <c r="J24" s="252"/>
      <c r="K24" s="216"/>
      <c r="L24" s="40"/>
    </row>
    <row r="25" spans="1:12" ht="15.6" hidden="1" x14ac:dyDescent="0.3">
      <c r="A25" s="211"/>
      <c r="B25" s="90" t="s">
        <v>386</v>
      </c>
      <c r="C25" s="215"/>
      <c r="D25" s="17"/>
      <c r="E25" s="17"/>
      <c r="F25" s="17"/>
      <c r="G25" s="115">
        <f t="shared" si="1"/>
        <v>0</v>
      </c>
      <c r="H25" s="113"/>
      <c r="I25" s="17"/>
      <c r="J25" s="252"/>
      <c r="K25" s="216"/>
      <c r="L25" s="40"/>
    </row>
    <row r="26" spans="1:12" ht="15.6" x14ac:dyDescent="0.3">
      <c r="A26" s="211"/>
      <c r="C26" s="91" t="s">
        <v>526</v>
      </c>
      <c r="D26" s="18">
        <f>SUM(D18:D25)</f>
        <v>92446.071951899197</v>
      </c>
      <c r="E26" s="18">
        <f>SUM(E18:E25)</f>
        <v>0</v>
      </c>
      <c r="F26" s="18">
        <f>SUM(F18:F25)</f>
        <v>0</v>
      </c>
      <c r="G26" s="18">
        <f>SUM(G18:G25)</f>
        <v>92446.071951899197</v>
      </c>
      <c r="H26" s="18">
        <f>(H18*G18)+(H19*G19)+(H20*G20)+(H21*G21)+(H22*G22)+(H23*G23)+(H24*G24)+(H25*G25)</f>
        <v>92446.071951899197</v>
      </c>
      <c r="I26" s="18">
        <f>SUM(I18:I25)</f>
        <v>56287.442618338755</v>
      </c>
      <c r="J26" s="253"/>
      <c r="K26" s="216"/>
      <c r="L26" s="41"/>
    </row>
    <row r="27" spans="1:12" ht="51" hidden="1" customHeight="1" x14ac:dyDescent="0.3">
      <c r="A27" s="211"/>
      <c r="B27" s="89" t="s">
        <v>387</v>
      </c>
      <c r="C27" s="472"/>
      <c r="D27" s="472"/>
      <c r="E27" s="472"/>
      <c r="F27" s="472"/>
      <c r="G27" s="472"/>
      <c r="H27" s="472"/>
      <c r="I27" s="473"/>
      <c r="J27" s="473"/>
      <c r="K27" s="472"/>
      <c r="L27" s="39"/>
    </row>
    <row r="28" spans="1:12" ht="15.6" hidden="1" x14ac:dyDescent="0.3">
      <c r="A28" s="211"/>
      <c r="B28" s="90" t="s">
        <v>388</v>
      </c>
      <c r="C28" s="212"/>
      <c r="D28" s="16"/>
      <c r="E28" s="16"/>
      <c r="F28" s="16"/>
      <c r="G28" s="115">
        <f>SUM(D28:F28)</f>
        <v>0</v>
      </c>
      <c r="H28" s="112"/>
      <c r="I28" s="16"/>
      <c r="J28" s="252"/>
      <c r="K28" s="213"/>
      <c r="L28" s="40"/>
    </row>
    <row r="29" spans="1:12" ht="15.6" hidden="1" x14ac:dyDescent="0.3">
      <c r="A29" s="211"/>
      <c r="B29" s="90" t="s">
        <v>389</v>
      </c>
      <c r="C29" s="212"/>
      <c r="D29" s="16"/>
      <c r="E29" s="16"/>
      <c r="F29" s="16"/>
      <c r="G29" s="115">
        <f t="shared" ref="G29:G35" si="2">SUM(D29:F29)</f>
        <v>0</v>
      </c>
      <c r="H29" s="112"/>
      <c r="I29" s="16"/>
      <c r="J29" s="252"/>
      <c r="K29" s="213"/>
      <c r="L29" s="40"/>
    </row>
    <row r="30" spans="1:12" ht="15.6" hidden="1" x14ac:dyDescent="0.3">
      <c r="A30" s="211"/>
      <c r="B30" s="90" t="s">
        <v>390</v>
      </c>
      <c r="C30" s="214"/>
      <c r="D30" s="16"/>
      <c r="E30" s="16"/>
      <c r="F30" s="16"/>
      <c r="G30" s="115">
        <f t="shared" si="2"/>
        <v>0</v>
      </c>
      <c r="H30" s="112"/>
      <c r="I30" s="16"/>
      <c r="J30" s="252"/>
      <c r="K30" s="213"/>
      <c r="L30" s="40"/>
    </row>
    <row r="31" spans="1:12" ht="15.6" hidden="1" x14ac:dyDescent="0.3">
      <c r="A31" s="211"/>
      <c r="B31" s="90" t="s">
        <v>391</v>
      </c>
      <c r="C31" s="214"/>
      <c r="D31" s="16"/>
      <c r="E31" s="16"/>
      <c r="F31" s="16"/>
      <c r="G31" s="115">
        <f t="shared" si="2"/>
        <v>0</v>
      </c>
      <c r="H31" s="112"/>
      <c r="I31" s="16"/>
      <c r="J31" s="252"/>
      <c r="K31" s="213"/>
      <c r="L31" s="40"/>
    </row>
    <row r="32" spans="1:12" s="211" customFormat="1" ht="15.6" hidden="1" x14ac:dyDescent="0.3">
      <c r="B32" s="90" t="s">
        <v>392</v>
      </c>
      <c r="C32" s="214"/>
      <c r="D32" s="16"/>
      <c r="E32" s="16"/>
      <c r="F32" s="16"/>
      <c r="G32" s="115">
        <f t="shared" si="2"/>
        <v>0</v>
      </c>
      <c r="H32" s="112"/>
      <c r="I32" s="16"/>
      <c r="J32" s="252"/>
      <c r="K32" s="213"/>
      <c r="L32" s="40"/>
    </row>
    <row r="33" spans="1:12" s="211" customFormat="1" ht="15.6" hidden="1" x14ac:dyDescent="0.3">
      <c r="B33" s="90" t="s">
        <v>393</v>
      </c>
      <c r="C33" s="214"/>
      <c r="D33" s="16"/>
      <c r="E33" s="16"/>
      <c r="F33" s="16"/>
      <c r="G33" s="115">
        <f t="shared" si="2"/>
        <v>0</v>
      </c>
      <c r="H33" s="112"/>
      <c r="I33" s="16"/>
      <c r="J33" s="252"/>
      <c r="K33" s="213"/>
      <c r="L33" s="40"/>
    </row>
    <row r="34" spans="1:12" s="211" customFormat="1" ht="15.6" hidden="1" x14ac:dyDescent="0.3">
      <c r="A34" s="205"/>
      <c r="B34" s="90" t="s">
        <v>394</v>
      </c>
      <c r="C34" s="215"/>
      <c r="D34" s="17"/>
      <c r="E34" s="17"/>
      <c r="F34" s="17"/>
      <c r="G34" s="115">
        <f t="shared" si="2"/>
        <v>0</v>
      </c>
      <c r="H34" s="113"/>
      <c r="I34" s="17"/>
      <c r="J34" s="252"/>
      <c r="K34" s="216"/>
      <c r="L34" s="40"/>
    </row>
    <row r="35" spans="1:12" ht="15.6" hidden="1" x14ac:dyDescent="0.3">
      <c r="B35" s="90" t="s">
        <v>395</v>
      </c>
      <c r="C35" s="215"/>
      <c r="D35" s="17"/>
      <c r="E35" s="17"/>
      <c r="F35" s="17"/>
      <c r="G35" s="115">
        <f t="shared" si="2"/>
        <v>0</v>
      </c>
      <c r="H35" s="113"/>
      <c r="I35" s="17"/>
      <c r="J35" s="252"/>
      <c r="K35" s="216"/>
      <c r="L35" s="40"/>
    </row>
    <row r="36" spans="1:12" ht="15.6" hidden="1" x14ac:dyDescent="0.3">
      <c r="C36" s="91" t="s">
        <v>526</v>
      </c>
      <c r="D36" s="21">
        <f>SUM(D28:D35)</f>
        <v>0</v>
      </c>
      <c r="E36" s="21">
        <f>SUM(E28:E35)</f>
        <v>0</v>
      </c>
      <c r="F36" s="21">
        <f>SUM(F28:F35)</f>
        <v>0</v>
      </c>
      <c r="G36" s="21">
        <f>SUM(G28:G35)</f>
        <v>0</v>
      </c>
      <c r="H36" s="18">
        <f>(H28*G28)+(H29*G29)+(H30*G30)+(H31*G31)+(H32*G32)+(H33*G33)+(H34*G34)+(H35*G35)</f>
        <v>0</v>
      </c>
      <c r="I36" s="18">
        <f>SUM(I28:I35)</f>
        <v>0</v>
      </c>
      <c r="J36" s="253"/>
      <c r="K36" s="216"/>
      <c r="L36" s="41"/>
    </row>
    <row r="37" spans="1:12" ht="51" hidden="1" customHeight="1" x14ac:dyDescent="0.3">
      <c r="B37" s="89" t="s">
        <v>396</v>
      </c>
      <c r="C37" s="472"/>
      <c r="D37" s="472"/>
      <c r="E37" s="472"/>
      <c r="F37" s="472"/>
      <c r="G37" s="472"/>
      <c r="H37" s="472"/>
      <c r="I37" s="473"/>
      <c r="J37" s="473"/>
      <c r="K37" s="472"/>
      <c r="L37" s="39"/>
    </row>
    <row r="38" spans="1:12" ht="15.6" hidden="1" x14ac:dyDescent="0.3">
      <c r="B38" s="90" t="s">
        <v>397</v>
      </c>
      <c r="C38" s="214"/>
      <c r="D38" s="16"/>
      <c r="E38" s="16"/>
      <c r="F38" s="16"/>
      <c r="G38" s="115">
        <f>SUM(D38:F38)</f>
        <v>0</v>
      </c>
      <c r="H38" s="112"/>
      <c r="I38" s="16"/>
      <c r="J38" s="252"/>
      <c r="K38" s="213"/>
      <c r="L38" s="40"/>
    </row>
    <row r="39" spans="1:12" ht="15.6" hidden="1" x14ac:dyDescent="0.3">
      <c r="B39" s="90" t="s">
        <v>398</v>
      </c>
      <c r="C39" s="214"/>
      <c r="D39" s="16"/>
      <c r="E39" s="16"/>
      <c r="F39" s="16"/>
      <c r="G39" s="115">
        <f t="shared" ref="G39:G45" si="3">SUM(D39:F39)</f>
        <v>0</v>
      </c>
      <c r="H39" s="112"/>
      <c r="I39" s="16"/>
      <c r="J39" s="252"/>
      <c r="K39" s="213"/>
      <c r="L39" s="40"/>
    </row>
    <row r="40" spans="1:12" ht="15.6" hidden="1" x14ac:dyDescent="0.3">
      <c r="B40" s="90" t="s">
        <v>399</v>
      </c>
      <c r="C40" s="214"/>
      <c r="D40" s="16"/>
      <c r="E40" s="16"/>
      <c r="F40" s="16"/>
      <c r="G40" s="115">
        <f t="shared" si="3"/>
        <v>0</v>
      </c>
      <c r="H40" s="112"/>
      <c r="I40" s="16"/>
      <c r="J40" s="252"/>
      <c r="K40" s="213"/>
      <c r="L40" s="40"/>
    </row>
    <row r="41" spans="1:12" ht="15.6" hidden="1" x14ac:dyDescent="0.3">
      <c r="B41" s="90" t="s">
        <v>400</v>
      </c>
      <c r="C41" s="214"/>
      <c r="D41" s="16"/>
      <c r="E41" s="16"/>
      <c r="F41" s="16"/>
      <c r="G41" s="115">
        <f t="shared" si="3"/>
        <v>0</v>
      </c>
      <c r="H41" s="112"/>
      <c r="I41" s="16"/>
      <c r="J41" s="252"/>
      <c r="K41" s="213"/>
      <c r="L41" s="40"/>
    </row>
    <row r="42" spans="1:12" ht="15.6" hidden="1" x14ac:dyDescent="0.3">
      <c r="B42" s="90" t="s">
        <v>401</v>
      </c>
      <c r="C42" s="214"/>
      <c r="D42" s="16"/>
      <c r="E42" s="16"/>
      <c r="F42" s="16"/>
      <c r="G42" s="115">
        <f t="shared" si="3"/>
        <v>0</v>
      </c>
      <c r="H42" s="112"/>
      <c r="I42" s="16"/>
      <c r="J42" s="252"/>
      <c r="K42" s="213"/>
      <c r="L42" s="40"/>
    </row>
    <row r="43" spans="1:12" ht="15.6" hidden="1" x14ac:dyDescent="0.3">
      <c r="A43" s="211"/>
      <c r="B43" s="90" t="s">
        <v>402</v>
      </c>
      <c r="C43" s="214"/>
      <c r="D43" s="16"/>
      <c r="E43" s="16"/>
      <c r="F43" s="16"/>
      <c r="G43" s="115">
        <f t="shared" si="3"/>
        <v>0</v>
      </c>
      <c r="H43" s="112"/>
      <c r="I43" s="16"/>
      <c r="J43" s="252"/>
      <c r="K43" s="213"/>
      <c r="L43" s="40"/>
    </row>
    <row r="44" spans="1:12" s="211" customFormat="1" ht="15.6" hidden="1" x14ac:dyDescent="0.3">
      <c r="A44" s="205"/>
      <c r="B44" s="90" t="s">
        <v>403</v>
      </c>
      <c r="C44" s="215"/>
      <c r="D44" s="17"/>
      <c r="E44" s="17"/>
      <c r="F44" s="17"/>
      <c r="G44" s="115">
        <f t="shared" si="3"/>
        <v>0</v>
      </c>
      <c r="H44" s="113"/>
      <c r="I44" s="17"/>
      <c r="J44" s="252"/>
      <c r="K44" s="216"/>
      <c r="L44" s="40"/>
    </row>
    <row r="45" spans="1:12" ht="15.6" hidden="1" x14ac:dyDescent="0.3">
      <c r="B45" s="90" t="s">
        <v>404</v>
      </c>
      <c r="C45" s="215"/>
      <c r="D45" s="17"/>
      <c r="E45" s="17"/>
      <c r="F45" s="17"/>
      <c r="G45" s="115">
        <f t="shared" si="3"/>
        <v>0</v>
      </c>
      <c r="H45" s="113"/>
      <c r="I45" s="17"/>
      <c r="J45" s="252"/>
      <c r="K45" s="216"/>
      <c r="L45" s="40"/>
    </row>
    <row r="46" spans="1:12" ht="15.6" hidden="1" x14ac:dyDescent="0.3">
      <c r="C46" s="91" t="s">
        <v>526</v>
      </c>
      <c r="D46" s="18">
        <f>SUM(D38:D45)</f>
        <v>0</v>
      </c>
      <c r="E46" s="18">
        <f>SUM(E38:E45)</f>
        <v>0</v>
      </c>
      <c r="F46" s="18">
        <f>SUM(F38:F45)</f>
        <v>0</v>
      </c>
      <c r="G46" s="18">
        <f>SUM(G38:G45)</f>
        <v>0</v>
      </c>
      <c r="H46" s="18">
        <f>(H38*G38)+(H39*G39)+(H40*G40)+(H41*G41)+(H42*G42)+(H43*G43)+(H44*G44)+(H45*G45)</f>
        <v>0</v>
      </c>
      <c r="I46" s="18">
        <f>SUM(I38:I45)</f>
        <v>0</v>
      </c>
      <c r="J46" s="253"/>
      <c r="K46" s="216"/>
      <c r="L46" s="41"/>
    </row>
    <row r="47" spans="1:12" ht="15.6" x14ac:dyDescent="0.3">
      <c r="B47" s="10"/>
      <c r="C47" s="217"/>
      <c r="D47" s="9"/>
      <c r="E47" s="9"/>
      <c r="F47" s="9"/>
      <c r="G47" s="9"/>
      <c r="H47" s="9"/>
      <c r="I47" s="9"/>
      <c r="J47" s="254"/>
      <c r="K47" s="9"/>
      <c r="L47" s="40"/>
    </row>
    <row r="48" spans="1:12" ht="51" customHeight="1" x14ac:dyDescent="0.3">
      <c r="B48" s="91" t="s">
        <v>405</v>
      </c>
      <c r="C48" s="476" t="s">
        <v>931</v>
      </c>
      <c r="D48" s="476"/>
      <c r="E48" s="476"/>
      <c r="F48" s="476"/>
      <c r="G48" s="476"/>
      <c r="H48" s="476"/>
      <c r="I48" s="477"/>
      <c r="J48" s="477"/>
      <c r="K48" s="476"/>
      <c r="L48" s="15"/>
    </row>
    <row r="49" spans="1:12" ht="51" customHeight="1" x14ac:dyDescent="0.3">
      <c r="B49" s="89" t="s">
        <v>406</v>
      </c>
      <c r="C49" s="478" t="s">
        <v>932</v>
      </c>
      <c r="D49" s="478"/>
      <c r="E49" s="478"/>
      <c r="F49" s="478"/>
      <c r="G49" s="478"/>
      <c r="H49" s="478"/>
      <c r="I49" s="479"/>
      <c r="J49" s="479"/>
      <c r="K49" s="478"/>
      <c r="L49" s="39"/>
    </row>
    <row r="50" spans="1:12" ht="85.5" customHeight="1" x14ac:dyDescent="0.3">
      <c r="B50" s="90" t="s">
        <v>407</v>
      </c>
      <c r="C50" s="214" t="s">
        <v>824</v>
      </c>
      <c r="D50" s="16">
        <f>TCD_1!H13</f>
        <v>11565.78427494087</v>
      </c>
      <c r="E50" s="16"/>
      <c r="F50" s="16"/>
      <c r="G50" s="115">
        <f>SUM(D50:F50)</f>
        <v>11565.78427494087</v>
      </c>
      <c r="H50" s="112">
        <v>0.8</v>
      </c>
      <c r="I50" s="16">
        <v>19976.148953747655</v>
      </c>
      <c r="J50" s="252" t="s">
        <v>881</v>
      </c>
      <c r="K50" s="213"/>
      <c r="L50" s="40"/>
    </row>
    <row r="51" spans="1:12" ht="87.75" customHeight="1" x14ac:dyDescent="0.3">
      <c r="B51" s="90" t="s">
        <v>408</v>
      </c>
      <c r="C51" s="214" t="s">
        <v>825</v>
      </c>
      <c r="D51" s="16">
        <f>TCD_1!H14</f>
        <v>14234.167457824391</v>
      </c>
      <c r="E51" s="16"/>
      <c r="F51" s="16"/>
      <c r="G51" s="115">
        <f t="shared" ref="G51:G57" si="4">SUM(D51:F51)</f>
        <v>14234.167457824391</v>
      </c>
      <c r="H51" s="112">
        <v>0.5</v>
      </c>
      <c r="I51" s="16">
        <v>10728.201683183332</v>
      </c>
      <c r="J51" s="308" t="s">
        <v>900</v>
      </c>
      <c r="K51" s="213"/>
      <c r="L51" s="40"/>
    </row>
    <row r="52" spans="1:12" ht="15.6" hidden="1" x14ac:dyDescent="0.3">
      <c r="B52" s="90" t="s">
        <v>409</v>
      </c>
      <c r="C52" s="212"/>
      <c r="D52" s="16"/>
      <c r="E52" s="16"/>
      <c r="F52" s="16"/>
      <c r="G52" s="115">
        <f t="shared" si="4"/>
        <v>0</v>
      </c>
      <c r="H52" s="112"/>
      <c r="I52" s="16"/>
      <c r="J52" s="252"/>
      <c r="K52" s="213"/>
      <c r="L52" s="40"/>
    </row>
    <row r="53" spans="1:12" ht="15.6" hidden="1" x14ac:dyDescent="0.3">
      <c r="B53" s="90" t="s">
        <v>410</v>
      </c>
      <c r="C53" s="214"/>
      <c r="D53" s="16"/>
      <c r="E53" s="16"/>
      <c r="F53" s="16"/>
      <c r="G53" s="115">
        <f t="shared" si="4"/>
        <v>0</v>
      </c>
      <c r="H53" s="112"/>
      <c r="I53" s="16"/>
      <c r="J53" s="252"/>
      <c r="K53" s="213"/>
      <c r="L53" s="40"/>
    </row>
    <row r="54" spans="1:12" ht="15.6" hidden="1" x14ac:dyDescent="0.3">
      <c r="B54" s="90" t="s">
        <v>411</v>
      </c>
      <c r="C54" s="214"/>
      <c r="D54" s="16"/>
      <c r="E54" s="16"/>
      <c r="F54" s="16"/>
      <c r="G54" s="115">
        <f t="shared" si="4"/>
        <v>0</v>
      </c>
      <c r="H54" s="112"/>
      <c r="I54" s="16"/>
      <c r="J54" s="252"/>
      <c r="K54" s="213"/>
      <c r="L54" s="40"/>
    </row>
    <row r="55" spans="1:12" ht="15.6" hidden="1" x14ac:dyDescent="0.3">
      <c r="B55" s="90" t="s">
        <v>412</v>
      </c>
      <c r="C55" s="214"/>
      <c r="D55" s="16"/>
      <c r="E55" s="16"/>
      <c r="F55" s="16"/>
      <c r="G55" s="115">
        <f t="shared" si="4"/>
        <v>0</v>
      </c>
      <c r="H55" s="112"/>
      <c r="I55" s="16"/>
      <c r="J55" s="252"/>
      <c r="K55" s="213"/>
      <c r="L55" s="40"/>
    </row>
    <row r="56" spans="1:12" ht="15.6" hidden="1" x14ac:dyDescent="0.3">
      <c r="A56" s="211"/>
      <c r="B56" s="90" t="s">
        <v>413</v>
      </c>
      <c r="C56" s="215"/>
      <c r="D56" s="16"/>
      <c r="E56" s="17"/>
      <c r="F56" s="17"/>
      <c r="G56" s="115">
        <f t="shared" si="4"/>
        <v>0</v>
      </c>
      <c r="H56" s="113"/>
      <c r="I56" s="17"/>
      <c r="J56" s="252"/>
      <c r="K56" s="216"/>
      <c r="L56" s="40"/>
    </row>
    <row r="57" spans="1:12" s="211" customFormat="1" ht="15.6" hidden="1" x14ac:dyDescent="0.3">
      <c r="B57" s="90" t="s">
        <v>414</v>
      </c>
      <c r="C57" s="215"/>
      <c r="D57" s="16"/>
      <c r="E57" s="17"/>
      <c r="F57" s="17"/>
      <c r="G57" s="115">
        <f t="shared" si="4"/>
        <v>0</v>
      </c>
      <c r="H57" s="113"/>
      <c r="I57" s="17"/>
      <c r="J57" s="252"/>
      <c r="K57" s="216"/>
      <c r="L57" s="40"/>
    </row>
    <row r="58" spans="1:12" s="211" customFormat="1" ht="15.6" x14ac:dyDescent="0.3">
      <c r="A58" s="205"/>
      <c r="B58" s="205"/>
      <c r="C58" s="91" t="s">
        <v>526</v>
      </c>
      <c r="D58" s="18">
        <f>SUM(D50:D57)</f>
        <v>25799.951732765261</v>
      </c>
      <c r="E58" s="18">
        <f>SUM(E50:E57)</f>
        <v>0</v>
      </c>
      <c r="F58" s="18">
        <f>SUM(F50:F57)</f>
        <v>0</v>
      </c>
      <c r="G58" s="21">
        <f>SUM(G50:G57)</f>
        <v>25799.951732765261</v>
      </c>
      <c r="H58" s="18">
        <f>(H50*G50)+(H51*G51)+(H52*G52)+(H53*G53)+(H54*G54)+(H55*G55)+(H56*G56)+(H57*G57)</f>
        <v>16369.711148864892</v>
      </c>
      <c r="I58" s="18">
        <f>SUM(I50:I57)</f>
        <v>30704.350636930987</v>
      </c>
      <c r="J58" s="253"/>
      <c r="K58" s="216"/>
      <c r="L58" s="41"/>
    </row>
    <row r="59" spans="1:12" ht="51" customHeight="1" x14ac:dyDescent="0.3">
      <c r="B59" s="89" t="s">
        <v>415</v>
      </c>
      <c r="C59" s="472"/>
      <c r="D59" s="472"/>
      <c r="E59" s="472"/>
      <c r="F59" s="472"/>
      <c r="G59" s="472"/>
      <c r="H59" s="472"/>
      <c r="I59" s="473"/>
      <c r="J59" s="473"/>
      <c r="K59" s="472"/>
      <c r="L59" s="39"/>
    </row>
    <row r="60" spans="1:12" ht="96" customHeight="1" x14ac:dyDescent="0.3">
      <c r="B60" s="90" t="s">
        <v>416</v>
      </c>
      <c r="C60" s="214" t="s">
        <v>826</v>
      </c>
      <c r="D60" s="16">
        <f>TCD_1!H15</f>
        <v>40214.231923969404</v>
      </c>
      <c r="E60" s="16"/>
      <c r="F60" s="16"/>
      <c r="G60" s="115">
        <f>SUM(D60:F60)</f>
        <v>40214.231923969404</v>
      </c>
      <c r="H60" s="261">
        <v>1</v>
      </c>
      <c r="I60" s="16">
        <v>42762.531263782279</v>
      </c>
      <c r="J60" s="260" t="s">
        <v>888</v>
      </c>
      <c r="K60" s="213"/>
      <c r="L60" s="40"/>
    </row>
    <row r="61" spans="1:12" ht="15.6" hidden="1" x14ac:dyDescent="0.3">
      <c r="B61" s="90" t="s">
        <v>417</v>
      </c>
      <c r="C61" s="214"/>
      <c r="D61" s="16"/>
      <c r="E61" s="16"/>
      <c r="F61" s="16"/>
      <c r="G61" s="115">
        <f t="shared" ref="G61:G67" si="5">SUM(D61:F61)</f>
        <v>0</v>
      </c>
      <c r="H61" s="112"/>
      <c r="I61" s="16"/>
      <c r="J61" s="252"/>
      <c r="K61" s="213"/>
      <c r="L61" s="40"/>
    </row>
    <row r="62" spans="1:12" ht="15.6" hidden="1" x14ac:dyDescent="0.3">
      <c r="B62" s="90" t="s">
        <v>418</v>
      </c>
      <c r="C62" s="214"/>
      <c r="D62" s="16"/>
      <c r="E62" s="16"/>
      <c r="F62" s="16"/>
      <c r="G62" s="115">
        <f t="shared" si="5"/>
        <v>0</v>
      </c>
      <c r="H62" s="112"/>
      <c r="I62" s="16"/>
      <c r="J62" s="252"/>
      <c r="K62" s="213"/>
      <c r="L62" s="40"/>
    </row>
    <row r="63" spans="1:12" ht="15.6" hidden="1" x14ac:dyDescent="0.3">
      <c r="B63" s="90" t="s">
        <v>419</v>
      </c>
      <c r="C63" s="214"/>
      <c r="D63" s="16"/>
      <c r="E63" s="16"/>
      <c r="F63" s="16"/>
      <c r="G63" s="115">
        <f t="shared" si="5"/>
        <v>0</v>
      </c>
      <c r="H63" s="112"/>
      <c r="I63" s="16"/>
      <c r="J63" s="252"/>
      <c r="K63" s="213"/>
      <c r="L63" s="40"/>
    </row>
    <row r="64" spans="1:12" ht="15.6" hidden="1" x14ac:dyDescent="0.3">
      <c r="B64" s="90" t="s">
        <v>420</v>
      </c>
      <c r="C64" s="214"/>
      <c r="D64" s="16"/>
      <c r="E64" s="16"/>
      <c r="F64" s="16"/>
      <c r="G64" s="115">
        <f t="shared" si="5"/>
        <v>0</v>
      </c>
      <c r="H64" s="112"/>
      <c r="I64" s="16"/>
      <c r="J64" s="252"/>
      <c r="K64" s="213"/>
      <c r="L64" s="40"/>
    </row>
    <row r="65" spans="1:12" ht="15.6" hidden="1" x14ac:dyDescent="0.3">
      <c r="B65" s="90" t="s">
        <v>421</v>
      </c>
      <c r="C65" s="214"/>
      <c r="D65" s="16"/>
      <c r="E65" s="16"/>
      <c r="F65" s="16"/>
      <c r="G65" s="115">
        <f t="shared" si="5"/>
        <v>0</v>
      </c>
      <c r="H65" s="112"/>
      <c r="I65" s="16"/>
      <c r="J65" s="252"/>
      <c r="K65" s="213"/>
      <c r="L65" s="40"/>
    </row>
    <row r="66" spans="1:12" ht="15.6" hidden="1" x14ac:dyDescent="0.3">
      <c r="B66" s="90" t="s">
        <v>422</v>
      </c>
      <c r="C66" s="215"/>
      <c r="D66" s="17"/>
      <c r="E66" s="17"/>
      <c r="F66" s="17"/>
      <c r="G66" s="115">
        <f t="shared" si="5"/>
        <v>0</v>
      </c>
      <c r="H66" s="113"/>
      <c r="I66" s="17"/>
      <c r="J66" s="252"/>
      <c r="K66" s="216"/>
      <c r="L66" s="40"/>
    </row>
    <row r="67" spans="1:12" ht="15.6" hidden="1" x14ac:dyDescent="0.3">
      <c r="B67" s="90" t="s">
        <v>423</v>
      </c>
      <c r="C67" s="215"/>
      <c r="D67" s="17"/>
      <c r="E67" s="17"/>
      <c r="F67" s="17"/>
      <c r="G67" s="115">
        <f t="shared" si="5"/>
        <v>0</v>
      </c>
      <c r="H67" s="113"/>
      <c r="I67" s="17"/>
      <c r="J67" s="252"/>
      <c r="K67" s="216"/>
      <c r="L67" s="40"/>
    </row>
    <row r="68" spans="1:12" ht="15.6" x14ac:dyDescent="0.3">
      <c r="C68" s="91" t="s">
        <v>526</v>
      </c>
      <c r="D68" s="21">
        <f>SUM(D60:D67)</f>
        <v>40214.231923969404</v>
      </c>
      <c r="E68" s="21">
        <f>SUM(E60:E67)</f>
        <v>0</v>
      </c>
      <c r="F68" s="21">
        <f>SUM(F60:F67)</f>
        <v>0</v>
      </c>
      <c r="G68" s="21">
        <f>SUM(G60:G67)</f>
        <v>40214.231923969404</v>
      </c>
      <c r="H68" s="18">
        <f>(H60*G60)+(H61*G61)+(H62*G62)+(H63*G63)+(H64*G64)+(H65*G65)+(H66*G66)+(H67*G67)</f>
        <v>40214.231923969404</v>
      </c>
      <c r="I68" s="18">
        <f>SUM(I60:I67)</f>
        <v>42762.531263782279</v>
      </c>
      <c r="J68" s="253"/>
      <c r="K68" s="216"/>
      <c r="L68" s="41"/>
    </row>
    <row r="69" spans="1:12" ht="15.6" x14ac:dyDescent="0.3">
      <c r="B69" s="89" t="s">
        <v>424</v>
      </c>
      <c r="C69" s="478" t="s">
        <v>933</v>
      </c>
      <c r="D69" s="478"/>
      <c r="E69" s="478"/>
      <c r="F69" s="478"/>
      <c r="G69" s="478"/>
      <c r="H69" s="478"/>
      <c r="I69" s="479"/>
      <c r="J69" s="479"/>
      <c r="K69" s="478"/>
      <c r="L69" s="39"/>
    </row>
    <row r="70" spans="1:12" ht="52.5" customHeight="1" x14ac:dyDescent="0.3">
      <c r="B70" s="90" t="s">
        <v>425</v>
      </c>
      <c r="C70" s="212" t="s">
        <v>855</v>
      </c>
      <c r="D70" s="16">
        <f>TCD_1!H16</f>
        <v>10253.067759735082</v>
      </c>
      <c r="E70" s="16"/>
      <c r="F70" s="16"/>
      <c r="G70" s="115">
        <f>SUM(D70:F70)</f>
        <v>10253.067759735082</v>
      </c>
      <c r="H70" s="112">
        <v>1</v>
      </c>
      <c r="I70" s="16">
        <v>7092.9850080625783</v>
      </c>
      <c r="J70" s="252" t="s">
        <v>882</v>
      </c>
      <c r="K70" s="213"/>
      <c r="L70" s="40"/>
    </row>
    <row r="71" spans="1:12" ht="60.75" customHeight="1" x14ac:dyDescent="0.3">
      <c r="B71" s="90" t="s">
        <v>426</v>
      </c>
      <c r="C71" s="212" t="s">
        <v>856</v>
      </c>
      <c r="D71" s="16">
        <f>TCD_1!H17</f>
        <v>25384.835772006398</v>
      </c>
      <c r="E71" s="16"/>
      <c r="F71" s="16"/>
      <c r="G71" s="115">
        <f t="shared" ref="G71:G77" si="6">SUM(D71:F71)</f>
        <v>25384.835772006398</v>
      </c>
      <c r="H71" s="112">
        <v>0.7</v>
      </c>
      <c r="I71" s="16">
        <v>5911.4338976119689</v>
      </c>
      <c r="J71" s="252" t="s">
        <v>883</v>
      </c>
      <c r="K71" s="213"/>
      <c r="L71" s="40"/>
    </row>
    <row r="72" spans="1:12" ht="73.5" customHeight="1" x14ac:dyDescent="0.3">
      <c r="B72" s="90" t="s">
        <v>427</v>
      </c>
      <c r="C72" s="212" t="s">
        <v>857</v>
      </c>
      <c r="D72" s="16">
        <f>TCD_1!H18</f>
        <v>115657.84274940871</v>
      </c>
      <c r="E72" s="16"/>
      <c r="F72" s="16"/>
      <c r="G72" s="115">
        <f t="shared" si="6"/>
        <v>115657.84274940871</v>
      </c>
      <c r="H72" s="112">
        <v>1</v>
      </c>
      <c r="I72" s="16">
        <v>24772.183947020501</v>
      </c>
      <c r="J72" s="252" t="s">
        <v>884</v>
      </c>
      <c r="K72" s="213"/>
      <c r="L72" s="40"/>
    </row>
    <row r="73" spans="1:12" ht="70.5" customHeight="1" x14ac:dyDescent="0.3">
      <c r="A73" s="211"/>
      <c r="B73" s="90" t="s">
        <v>428</v>
      </c>
      <c r="C73" s="212" t="s">
        <v>858</v>
      </c>
      <c r="D73" s="16">
        <f>TCD_1!H19</f>
        <v>115657.84274940871</v>
      </c>
      <c r="E73" s="16"/>
      <c r="F73" s="16"/>
      <c r="G73" s="115">
        <f t="shared" si="6"/>
        <v>115657.84274940871</v>
      </c>
      <c r="H73" s="112">
        <v>1</v>
      </c>
      <c r="I73" s="16">
        <v>14800.583574669783</v>
      </c>
      <c r="J73" s="252" t="s">
        <v>885</v>
      </c>
      <c r="K73" s="213"/>
      <c r="L73" s="40"/>
    </row>
    <row r="74" spans="1:12" s="211" customFormat="1" ht="62.4" x14ac:dyDescent="0.3">
      <c r="A74" s="205"/>
      <c r="B74" s="90" t="s">
        <v>429</v>
      </c>
      <c r="C74" s="212" t="s">
        <v>829</v>
      </c>
      <c r="D74" s="16">
        <f>TCD_1!H20</f>
        <v>9252.6274199526961</v>
      </c>
      <c r="E74" s="16"/>
      <c r="F74" s="16"/>
      <c r="G74" s="115">
        <f t="shared" si="6"/>
        <v>9252.6274199526961</v>
      </c>
      <c r="H74" s="112">
        <v>1</v>
      </c>
      <c r="I74" s="16">
        <v>1184.0466859735825</v>
      </c>
      <c r="J74" s="252" t="s">
        <v>886</v>
      </c>
      <c r="K74" s="213"/>
      <c r="L74" s="40"/>
    </row>
    <row r="75" spans="1:12" ht="93.6" x14ac:dyDescent="0.3">
      <c r="B75" s="90" t="s">
        <v>430</v>
      </c>
      <c r="C75" s="226" t="s">
        <v>830</v>
      </c>
      <c r="D75" s="16">
        <f>TCD_1!H21</f>
        <v>11565.78427494087</v>
      </c>
      <c r="E75" s="16"/>
      <c r="F75" s="16"/>
      <c r="G75" s="115">
        <f t="shared" si="6"/>
        <v>11565.78427494087</v>
      </c>
      <c r="H75" s="112">
        <v>1</v>
      </c>
      <c r="I75" s="16">
        <v>2913.4789707224518</v>
      </c>
      <c r="J75" s="255" t="s">
        <v>887</v>
      </c>
      <c r="K75" s="213"/>
      <c r="L75" s="40"/>
    </row>
    <row r="76" spans="1:12" ht="15.6" hidden="1" x14ac:dyDescent="0.3">
      <c r="B76" s="90" t="s">
        <v>431</v>
      </c>
      <c r="C76" s="226"/>
      <c r="D76" s="16"/>
      <c r="E76" s="17"/>
      <c r="F76" s="17"/>
      <c r="G76" s="115">
        <f t="shared" si="6"/>
        <v>0</v>
      </c>
      <c r="H76" s="113"/>
      <c r="I76" s="17"/>
      <c r="J76" s="252"/>
      <c r="K76" s="216"/>
      <c r="L76" s="40"/>
    </row>
    <row r="77" spans="1:12" ht="15.6" hidden="1" x14ac:dyDescent="0.3">
      <c r="B77" s="90" t="s">
        <v>432</v>
      </c>
      <c r="C77" s="215"/>
      <c r="D77" s="17"/>
      <c r="E77" s="17"/>
      <c r="F77" s="17"/>
      <c r="G77" s="115">
        <f t="shared" si="6"/>
        <v>0</v>
      </c>
      <c r="H77" s="113"/>
      <c r="I77" s="17"/>
      <c r="J77" s="252"/>
      <c r="K77" s="216"/>
      <c r="L77" s="40"/>
    </row>
    <row r="78" spans="1:12" ht="15.6" x14ac:dyDescent="0.3">
      <c r="C78" s="91" t="s">
        <v>526</v>
      </c>
      <c r="D78" s="21">
        <f>SUM(D70:D77)</f>
        <v>287772.0007254525</v>
      </c>
      <c r="E78" s="21">
        <f>SUM(E70:E77)</f>
        <v>0</v>
      </c>
      <c r="F78" s="21">
        <f>SUM(F70:F77)</f>
        <v>0</v>
      </c>
      <c r="G78" s="21">
        <f>SUM(G70:G77)</f>
        <v>287772.0007254525</v>
      </c>
      <c r="H78" s="18">
        <f>(H70*G70)+(H71*G71)+(H72*G72)+(H73*G73)+(H74*G74)+(H75*G75)+(H76*G76)+(H77*G77)</f>
        <v>280156.54999385052</v>
      </c>
      <c r="I78" s="18">
        <f>SUM(I70:I77)</f>
        <v>56674.71208406087</v>
      </c>
      <c r="J78" s="253"/>
      <c r="K78" s="216"/>
      <c r="L78" s="41"/>
    </row>
    <row r="79" spans="1:12" ht="51" customHeight="1" x14ac:dyDescent="0.3">
      <c r="B79" s="89" t="s">
        <v>433</v>
      </c>
      <c r="C79" s="478" t="s">
        <v>934</v>
      </c>
      <c r="D79" s="478"/>
      <c r="E79" s="478"/>
      <c r="F79" s="478"/>
      <c r="G79" s="478"/>
      <c r="H79" s="478"/>
      <c r="I79" s="479"/>
      <c r="J79" s="479"/>
      <c r="K79" s="478"/>
      <c r="L79" s="39"/>
    </row>
    <row r="80" spans="1:12" ht="31.2" x14ac:dyDescent="0.3">
      <c r="B80" s="90" t="s">
        <v>434</v>
      </c>
      <c r="C80" s="212" t="s">
        <v>827</v>
      </c>
      <c r="D80" s="16">
        <f>TCD_1!H22</f>
        <v>13184.994073432592</v>
      </c>
      <c r="E80" s="16"/>
      <c r="F80" s="16"/>
      <c r="G80" s="115">
        <f>SUM(D80:F80)</f>
        <v>13184.994073432592</v>
      </c>
      <c r="H80" s="112">
        <v>1</v>
      </c>
      <c r="I80" s="16">
        <v>10321.491324563149</v>
      </c>
      <c r="J80" s="308" t="s">
        <v>901</v>
      </c>
      <c r="K80" s="213"/>
      <c r="L80" s="40"/>
    </row>
    <row r="81" spans="2:12" ht="15.6" hidden="1" x14ac:dyDescent="0.3">
      <c r="B81" s="90" t="s">
        <v>435</v>
      </c>
      <c r="C81" s="214"/>
      <c r="D81" s="16"/>
      <c r="E81" s="16"/>
      <c r="F81" s="16"/>
      <c r="G81" s="115">
        <f t="shared" ref="G81:G87" si="7">SUM(D81:F81)</f>
        <v>0</v>
      </c>
      <c r="H81" s="112"/>
      <c r="I81" s="16"/>
      <c r="J81" s="252"/>
      <c r="K81" s="213"/>
      <c r="L81" s="40"/>
    </row>
    <row r="82" spans="2:12" ht="15.6" hidden="1" x14ac:dyDescent="0.3">
      <c r="B82" s="90" t="s">
        <v>436</v>
      </c>
      <c r="C82" s="214"/>
      <c r="D82" s="16"/>
      <c r="E82" s="16"/>
      <c r="F82" s="16"/>
      <c r="G82" s="115">
        <f t="shared" si="7"/>
        <v>0</v>
      </c>
      <c r="H82" s="112"/>
      <c r="I82" s="16"/>
      <c r="J82" s="252"/>
      <c r="K82" s="213"/>
      <c r="L82" s="40"/>
    </row>
    <row r="83" spans="2:12" ht="15.6" hidden="1" x14ac:dyDescent="0.3">
      <c r="B83" s="90" t="s">
        <v>437</v>
      </c>
      <c r="C83" s="214"/>
      <c r="D83" s="16"/>
      <c r="E83" s="16"/>
      <c r="F83" s="16"/>
      <c r="G83" s="115">
        <f t="shared" si="7"/>
        <v>0</v>
      </c>
      <c r="H83" s="112"/>
      <c r="I83" s="16"/>
      <c r="J83" s="252"/>
      <c r="K83" s="213"/>
      <c r="L83" s="40"/>
    </row>
    <row r="84" spans="2:12" ht="15.6" hidden="1" x14ac:dyDescent="0.3">
      <c r="B84" s="90" t="s">
        <v>438</v>
      </c>
      <c r="C84" s="214"/>
      <c r="D84" s="16"/>
      <c r="E84" s="16"/>
      <c r="F84" s="16"/>
      <c r="G84" s="115">
        <f t="shared" si="7"/>
        <v>0</v>
      </c>
      <c r="H84" s="112"/>
      <c r="I84" s="16"/>
      <c r="J84" s="252"/>
      <c r="K84" s="213"/>
      <c r="L84" s="40"/>
    </row>
    <row r="85" spans="2:12" ht="15.6" hidden="1" x14ac:dyDescent="0.3">
      <c r="B85" s="90" t="s">
        <v>439</v>
      </c>
      <c r="C85" s="214"/>
      <c r="D85" s="16"/>
      <c r="E85" s="16"/>
      <c r="F85" s="16"/>
      <c r="G85" s="115">
        <f t="shared" si="7"/>
        <v>0</v>
      </c>
      <c r="H85" s="112"/>
      <c r="I85" s="16"/>
      <c r="J85" s="252"/>
      <c r="K85" s="213"/>
      <c r="L85" s="40"/>
    </row>
    <row r="86" spans="2:12" ht="15.6" hidden="1" x14ac:dyDescent="0.3">
      <c r="B86" s="90" t="s">
        <v>440</v>
      </c>
      <c r="C86" s="215"/>
      <c r="D86" s="17"/>
      <c r="E86" s="17"/>
      <c r="F86" s="17"/>
      <c r="G86" s="115">
        <f t="shared" si="7"/>
        <v>0</v>
      </c>
      <c r="H86" s="113"/>
      <c r="I86" s="17"/>
      <c r="J86" s="252"/>
      <c r="K86" s="216"/>
      <c r="L86" s="40"/>
    </row>
    <row r="87" spans="2:12" ht="15.6" hidden="1" x14ac:dyDescent="0.3">
      <c r="B87" s="90" t="s">
        <v>441</v>
      </c>
      <c r="C87" s="215"/>
      <c r="D87" s="17"/>
      <c r="E87" s="17"/>
      <c r="F87" s="17"/>
      <c r="G87" s="115">
        <f t="shared" si="7"/>
        <v>0</v>
      </c>
      <c r="H87" s="113"/>
      <c r="I87" s="17"/>
      <c r="J87" s="252"/>
      <c r="K87" s="216"/>
      <c r="L87" s="40"/>
    </row>
    <row r="88" spans="2:12" ht="15.6" x14ac:dyDescent="0.3">
      <c r="C88" s="91" t="s">
        <v>526</v>
      </c>
      <c r="D88" s="18">
        <f>SUM(D80:D87)</f>
        <v>13184.994073432592</v>
      </c>
      <c r="E88" s="18">
        <f>SUM(E80:E87)</f>
        <v>0</v>
      </c>
      <c r="F88" s="18">
        <f>SUM(F80:F87)</f>
        <v>0</v>
      </c>
      <c r="G88" s="18">
        <f>SUM(G80:G87)</f>
        <v>13184.994073432592</v>
      </c>
      <c r="H88" s="18">
        <f>(H80*G80)+(H81*G81)+(H82*G82)+(H83*G83)+(H84*G84)+(H85*G85)+(H86*G86)+(H87*G87)</f>
        <v>13184.994073432592</v>
      </c>
      <c r="I88" s="18">
        <f>SUM(I80:I87)</f>
        <v>10321.491324563149</v>
      </c>
      <c r="J88" s="253"/>
      <c r="K88" s="216"/>
      <c r="L88" s="41"/>
    </row>
    <row r="89" spans="2:12" ht="15.75" customHeight="1" x14ac:dyDescent="0.3">
      <c r="B89" s="6"/>
      <c r="C89" s="10"/>
      <c r="D89" s="23"/>
      <c r="E89" s="23"/>
      <c r="F89" s="23"/>
      <c r="G89" s="23"/>
      <c r="H89" s="23"/>
      <c r="I89" s="23"/>
      <c r="J89" s="254"/>
      <c r="K89" s="10"/>
      <c r="L89" s="3"/>
    </row>
    <row r="90" spans="2:12" ht="51" customHeight="1" x14ac:dyDescent="0.3">
      <c r="B90" s="91" t="s">
        <v>442</v>
      </c>
      <c r="C90" s="476" t="s">
        <v>935</v>
      </c>
      <c r="D90" s="476"/>
      <c r="E90" s="476"/>
      <c r="F90" s="476"/>
      <c r="G90" s="476"/>
      <c r="H90" s="476"/>
      <c r="I90" s="477"/>
      <c r="J90" s="477"/>
      <c r="K90" s="476"/>
      <c r="L90" s="15"/>
    </row>
    <row r="91" spans="2:12" ht="51" customHeight="1" x14ac:dyDescent="0.3">
      <c r="B91" s="89" t="s">
        <v>443</v>
      </c>
      <c r="C91" s="478" t="s">
        <v>936</v>
      </c>
      <c r="D91" s="478"/>
      <c r="E91" s="478"/>
      <c r="F91" s="478"/>
      <c r="G91" s="478"/>
      <c r="H91" s="478"/>
      <c r="I91" s="479"/>
      <c r="J91" s="479"/>
      <c r="K91" s="478"/>
      <c r="L91" s="39"/>
    </row>
    <row r="92" spans="2:12" ht="46.8" x14ac:dyDescent="0.3">
      <c r="B92" s="90" t="s">
        <v>444</v>
      </c>
      <c r="C92" s="212" t="s">
        <v>835</v>
      </c>
      <c r="D92" s="16">
        <f>TCD_1!H23</f>
        <v>12722.362702434957</v>
      </c>
      <c r="E92" s="16"/>
      <c r="F92" s="16"/>
      <c r="G92" s="115">
        <f>SUM(D92:F92)</f>
        <v>12722.362702434957</v>
      </c>
      <c r="H92" s="112">
        <v>1</v>
      </c>
      <c r="I92" s="16">
        <v>1628.0641932136762</v>
      </c>
      <c r="J92" s="252" t="s">
        <v>871</v>
      </c>
      <c r="K92" s="213"/>
      <c r="L92" s="40"/>
    </row>
    <row r="93" spans="2:12" ht="46.8" x14ac:dyDescent="0.3">
      <c r="B93" s="90" t="s">
        <v>445</v>
      </c>
      <c r="C93" s="212" t="s">
        <v>837</v>
      </c>
      <c r="D93" s="16">
        <f>TCD_1!H24</f>
        <v>23131.56854988174</v>
      </c>
      <c r="E93" s="16"/>
      <c r="F93" s="16"/>
      <c r="G93" s="115">
        <f t="shared" ref="G93:G99" si="8">SUM(D93:F93)</f>
        <v>23131.56854988174</v>
      </c>
      <c r="H93" s="112">
        <v>1</v>
      </c>
      <c r="I93" s="16">
        <v>11528.87164779472</v>
      </c>
      <c r="J93" s="252" t="s">
        <v>872</v>
      </c>
      <c r="K93" s="213"/>
      <c r="L93" s="40"/>
    </row>
    <row r="94" spans="2:12" ht="46.8" x14ac:dyDescent="0.3">
      <c r="B94" s="90" t="s">
        <v>446</v>
      </c>
      <c r="C94" s="212" t="s">
        <v>838</v>
      </c>
      <c r="D94" s="16">
        <f>TCD_1!H25</f>
        <v>5782.892137470435</v>
      </c>
      <c r="E94" s="16"/>
      <c r="F94" s="16"/>
      <c r="G94" s="115">
        <f t="shared" si="8"/>
        <v>5782.892137470435</v>
      </c>
      <c r="H94" s="112">
        <v>1</v>
      </c>
      <c r="I94" s="16">
        <v>4519.3619300810187</v>
      </c>
      <c r="J94" s="252" t="s">
        <v>873</v>
      </c>
      <c r="K94" s="213"/>
      <c r="L94" s="40"/>
    </row>
    <row r="95" spans="2:12" ht="46.8" x14ac:dyDescent="0.3">
      <c r="B95" s="90" t="s">
        <v>447</v>
      </c>
      <c r="C95" s="212" t="s">
        <v>836</v>
      </c>
      <c r="D95" s="16">
        <f>TCD_1!H26</f>
        <v>4626.313709976348</v>
      </c>
      <c r="E95" s="16"/>
      <c r="F95" s="16"/>
      <c r="G95" s="115">
        <f t="shared" si="8"/>
        <v>4626.313709976348</v>
      </c>
      <c r="H95" s="307">
        <v>0.8</v>
      </c>
      <c r="I95" s="16">
        <v>776.61854742055084</v>
      </c>
      <c r="J95" s="252" t="s">
        <v>874</v>
      </c>
      <c r="K95" s="213"/>
      <c r="L95" s="40"/>
    </row>
    <row r="96" spans="2:12" ht="69" customHeight="1" x14ac:dyDescent="0.3">
      <c r="B96" s="90" t="s">
        <v>448</v>
      </c>
      <c r="C96" s="212" t="s">
        <v>839</v>
      </c>
      <c r="D96" s="16">
        <f>TCD_1!H27</f>
        <v>93367.708137097463</v>
      </c>
      <c r="E96" s="16"/>
      <c r="F96" s="16"/>
      <c r="G96" s="115">
        <f t="shared" si="8"/>
        <v>93367.708137097463</v>
      </c>
      <c r="H96" s="112">
        <v>1</v>
      </c>
      <c r="I96" s="16">
        <v>20632.937543247528</v>
      </c>
      <c r="J96" s="252" t="s">
        <v>875</v>
      </c>
      <c r="K96" s="213"/>
      <c r="L96" s="40"/>
    </row>
    <row r="97" spans="2:12" ht="54.75" customHeight="1" x14ac:dyDescent="0.3">
      <c r="B97" s="90" t="s">
        <v>449</v>
      </c>
      <c r="C97" s="212" t="s">
        <v>840</v>
      </c>
      <c r="D97" s="16">
        <f>TCD_1!H28</f>
        <v>6245.5235084680698</v>
      </c>
      <c r="E97" s="16"/>
      <c r="F97" s="16"/>
      <c r="G97" s="115">
        <f t="shared" si="8"/>
        <v>6245.5235084680698</v>
      </c>
      <c r="H97" s="112">
        <v>1</v>
      </c>
      <c r="I97" s="16">
        <v>621.62451013613088</v>
      </c>
      <c r="J97" s="252" t="s">
        <v>876</v>
      </c>
      <c r="K97" s="213"/>
      <c r="L97" s="40"/>
    </row>
    <row r="98" spans="2:12" ht="88.5" customHeight="1" x14ac:dyDescent="0.3">
      <c r="B98" s="90" t="s">
        <v>450</v>
      </c>
      <c r="C98" s="215" t="s">
        <v>833</v>
      </c>
      <c r="D98" s="16">
        <f>TCD_1!H29</f>
        <v>3122.7617542340349</v>
      </c>
      <c r="E98" s="17"/>
      <c r="F98" s="17"/>
      <c r="G98" s="115">
        <f t="shared" si="8"/>
        <v>3122.7617542340349</v>
      </c>
      <c r="H98" s="112">
        <v>1</v>
      </c>
      <c r="I98" s="17">
        <v>1448.4391611610786</v>
      </c>
      <c r="J98" s="252" t="s">
        <v>877</v>
      </c>
      <c r="K98" s="216"/>
      <c r="L98" s="40"/>
    </row>
    <row r="99" spans="2:12" ht="106.5" customHeight="1" x14ac:dyDescent="0.3">
      <c r="B99" s="90" t="s">
        <v>451</v>
      </c>
      <c r="C99" s="215" t="s">
        <v>834</v>
      </c>
      <c r="D99" s="16">
        <f>TCD_1!H30</f>
        <v>27842.578498103481</v>
      </c>
      <c r="E99" s="17"/>
      <c r="F99" s="17"/>
      <c r="G99" s="115">
        <f t="shared" si="8"/>
        <v>27842.578498103481</v>
      </c>
      <c r="H99" s="112">
        <v>1</v>
      </c>
      <c r="I99" s="17">
        <v>8634.0351749663114</v>
      </c>
      <c r="J99" s="255" t="s">
        <v>878</v>
      </c>
      <c r="K99" s="216"/>
      <c r="L99" s="40"/>
    </row>
    <row r="100" spans="2:12" ht="15.6" x14ac:dyDescent="0.3">
      <c r="C100" s="91" t="s">
        <v>526</v>
      </c>
      <c r="D100" s="18">
        <f>SUM(D92:D99)</f>
        <v>176841.70899766652</v>
      </c>
      <c r="E100" s="18">
        <f>SUM(E92:E99)</f>
        <v>0</v>
      </c>
      <c r="F100" s="18">
        <f>SUM(F92:F99)</f>
        <v>0</v>
      </c>
      <c r="G100" s="21">
        <f>SUM(G92:G99)</f>
        <v>176841.70899766652</v>
      </c>
      <c r="H100" s="18">
        <f>(H92*G92)+(H93*G93)+(H94*G94)+(H95*G95)+(H96*G96)+(H97*G97)+(H98*G98)+(H99*G99)</f>
        <v>175916.44625567124</v>
      </c>
      <c r="I100" s="18">
        <f>SUM(I92:I99)</f>
        <v>49789.95270802101</v>
      </c>
      <c r="J100" s="253"/>
      <c r="K100" s="216"/>
      <c r="L100" s="41"/>
    </row>
    <row r="101" spans="2:12" ht="51" customHeight="1" x14ac:dyDescent="0.3">
      <c r="B101" s="89" t="s">
        <v>452</v>
      </c>
      <c r="C101" s="474" t="s">
        <v>937</v>
      </c>
      <c r="D101" s="474"/>
      <c r="E101" s="474"/>
      <c r="F101" s="474"/>
      <c r="G101" s="474"/>
      <c r="H101" s="474"/>
      <c r="I101" s="475"/>
      <c r="J101" s="475"/>
      <c r="K101" s="474"/>
      <c r="L101" s="39"/>
    </row>
    <row r="102" spans="2:12" ht="31.2" x14ac:dyDescent="0.3">
      <c r="B102" s="90" t="s">
        <v>453</v>
      </c>
      <c r="C102" s="212" t="s">
        <v>859</v>
      </c>
      <c r="D102" s="16">
        <f>TCD_1!H31</f>
        <v>22015.296880585822</v>
      </c>
      <c r="E102" s="16"/>
      <c r="F102" s="16"/>
      <c r="G102" s="115">
        <f>SUM(D102:F102)</f>
        <v>22015.296880585822</v>
      </c>
      <c r="H102" s="112">
        <v>1</v>
      </c>
      <c r="I102" s="16">
        <v>7381.5913302103636</v>
      </c>
      <c r="J102" s="308" t="s">
        <v>906</v>
      </c>
      <c r="K102" s="213"/>
      <c r="L102" s="40"/>
    </row>
    <row r="103" spans="2:12" ht="15.6" hidden="1" x14ac:dyDescent="0.3">
      <c r="B103" s="90" t="s">
        <v>454</v>
      </c>
      <c r="C103" s="212"/>
      <c r="D103" s="16"/>
      <c r="E103" s="16"/>
      <c r="F103" s="16"/>
      <c r="G103" s="115">
        <f t="shared" ref="G103:G109" si="9">SUM(D103:F103)</f>
        <v>0</v>
      </c>
      <c r="H103" s="112"/>
      <c r="I103" s="16"/>
      <c r="J103" s="252"/>
      <c r="K103" s="213"/>
      <c r="L103" s="40"/>
    </row>
    <row r="104" spans="2:12" ht="15.6" hidden="1" x14ac:dyDescent="0.3">
      <c r="B104" s="90" t="s">
        <v>455</v>
      </c>
      <c r="C104" s="214"/>
      <c r="D104" s="16"/>
      <c r="E104" s="16"/>
      <c r="F104" s="16"/>
      <c r="G104" s="115">
        <f t="shared" si="9"/>
        <v>0</v>
      </c>
      <c r="H104" s="112"/>
      <c r="I104" s="16"/>
      <c r="J104" s="252"/>
      <c r="K104" s="213"/>
      <c r="L104" s="40"/>
    </row>
    <row r="105" spans="2:12" ht="15.6" hidden="1" x14ac:dyDescent="0.3">
      <c r="B105" s="90" t="s">
        <v>456</v>
      </c>
      <c r="C105" s="214"/>
      <c r="D105" s="16"/>
      <c r="E105" s="16"/>
      <c r="F105" s="16"/>
      <c r="G105" s="115">
        <f t="shared" si="9"/>
        <v>0</v>
      </c>
      <c r="H105" s="112"/>
      <c r="I105" s="16"/>
      <c r="J105" s="252"/>
      <c r="K105" s="213"/>
      <c r="L105" s="40"/>
    </row>
    <row r="106" spans="2:12" ht="15.6" hidden="1" x14ac:dyDescent="0.3">
      <c r="B106" s="90" t="s">
        <v>457</v>
      </c>
      <c r="C106" s="214"/>
      <c r="D106" s="16"/>
      <c r="E106" s="16"/>
      <c r="F106" s="16"/>
      <c r="G106" s="115">
        <f t="shared" si="9"/>
        <v>0</v>
      </c>
      <c r="H106" s="112"/>
      <c r="I106" s="16"/>
      <c r="J106" s="252"/>
      <c r="K106" s="213"/>
      <c r="L106" s="40"/>
    </row>
    <row r="107" spans="2:12" ht="15.6" hidden="1" x14ac:dyDescent="0.3">
      <c r="B107" s="90" t="s">
        <v>458</v>
      </c>
      <c r="C107" s="214"/>
      <c r="D107" s="16"/>
      <c r="E107" s="16"/>
      <c r="F107" s="16"/>
      <c r="G107" s="115">
        <f t="shared" si="9"/>
        <v>0</v>
      </c>
      <c r="H107" s="112"/>
      <c r="I107" s="16"/>
      <c r="J107" s="252"/>
      <c r="K107" s="213"/>
      <c r="L107" s="40"/>
    </row>
    <row r="108" spans="2:12" ht="15.6" hidden="1" x14ac:dyDescent="0.3">
      <c r="B108" s="90" t="s">
        <v>459</v>
      </c>
      <c r="C108" s="215"/>
      <c r="D108" s="17"/>
      <c r="E108" s="17"/>
      <c r="F108" s="17"/>
      <c r="G108" s="115">
        <f t="shared" si="9"/>
        <v>0</v>
      </c>
      <c r="H108" s="113"/>
      <c r="I108" s="17"/>
      <c r="J108" s="252"/>
      <c r="K108" s="216"/>
      <c r="L108" s="40"/>
    </row>
    <row r="109" spans="2:12" ht="15.6" hidden="1" x14ac:dyDescent="0.3">
      <c r="B109" s="90" t="s">
        <v>460</v>
      </c>
      <c r="C109" s="215"/>
      <c r="D109" s="17"/>
      <c r="E109" s="17"/>
      <c r="F109" s="17"/>
      <c r="G109" s="115">
        <f t="shared" si="9"/>
        <v>0</v>
      </c>
      <c r="H109" s="113"/>
      <c r="I109" s="17"/>
      <c r="J109" s="252"/>
      <c r="K109" s="216"/>
      <c r="L109" s="40"/>
    </row>
    <row r="110" spans="2:12" ht="15.6" x14ac:dyDescent="0.3">
      <c r="C110" s="91" t="s">
        <v>526</v>
      </c>
      <c r="D110" s="18">
        <f>SUM(D102:D109)</f>
        <v>22015.296880585822</v>
      </c>
      <c r="E110" s="18">
        <f>SUM(E102:E109)</f>
        <v>0</v>
      </c>
      <c r="F110" s="18">
        <f>SUM(F102:F109)</f>
        <v>0</v>
      </c>
      <c r="G110" s="18">
        <f>SUM(G102:G109)</f>
        <v>22015.296880585822</v>
      </c>
      <c r="H110" s="18">
        <f>(H102*G102)+(H103*G103)+(H104*G104)+(H105*G105)+(H106*G106)+(H107*G107)+(H108*G108)+(H109*G109)</f>
        <v>22015.296880585822</v>
      </c>
      <c r="I110" s="18">
        <f>SUM(I102:I109)</f>
        <v>7381.5913302103636</v>
      </c>
      <c r="J110" s="253"/>
      <c r="K110" s="216"/>
      <c r="L110" s="41"/>
    </row>
    <row r="111" spans="2:12" ht="51" hidden="1" customHeight="1" x14ac:dyDescent="0.3">
      <c r="B111" s="142" t="s">
        <v>461</v>
      </c>
      <c r="C111" s="472"/>
      <c r="D111" s="472"/>
      <c r="E111" s="472"/>
      <c r="F111" s="472"/>
      <c r="G111" s="472"/>
      <c r="H111" s="472"/>
      <c r="I111" s="473"/>
      <c r="J111" s="473"/>
      <c r="K111" s="472"/>
      <c r="L111" s="39"/>
    </row>
    <row r="112" spans="2:12" ht="15.6" hidden="1" x14ac:dyDescent="0.3">
      <c r="B112" s="90" t="s">
        <v>462</v>
      </c>
      <c r="C112" s="214"/>
      <c r="D112" s="16"/>
      <c r="E112" s="16"/>
      <c r="F112" s="16"/>
      <c r="G112" s="115">
        <f>SUM(D112:F112)</f>
        <v>0</v>
      </c>
      <c r="H112" s="112"/>
      <c r="I112" s="16"/>
      <c r="J112" s="252"/>
      <c r="K112" s="213"/>
      <c r="L112" s="40"/>
    </row>
    <row r="113" spans="2:12" ht="15.6" hidden="1" x14ac:dyDescent="0.3">
      <c r="B113" s="90" t="s">
        <v>463</v>
      </c>
      <c r="C113" s="214"/>
      <c r="D113" s="16"/>
      <c r="E113" s="16"/>
      <c r="F113" s="16"/>
      <c r="G113" s="115">
        <f t="shared" ref="G113:G119" si="10">SUM(D113:F113)</f>
        <v>0</v>
      </c>
      <c r="H113" s="112"/>
      <c r="I113" s="16"/>
      <c r="J113" s="252"/>
      <c r="K113" s="213"/>
      <c r="L113" s="40"/>
    </row>
    <row r="114" spans="2:12" ht="15.6" hidden="1" x14ac:dyDescent="0.3">
      <c r="B114" s="90" t="s">
        <v>464</v>
      </c>
      <c r="C114" s="214"/>
      <c r="D114" s="16"/>
      <c r="E114" s="16"/>
      <c r="F114" s="16"/>
      <c r="G114" s="115">
        <f t="shared" si="10"/>
        <v>0</v>
      </c>
      <c r="H114" s="112"/>
      <c r="I114" s="16"/>
      <c r="J114" s="252"/>
      <c r="K114" s="213"/>
      <c r="L114" s="40"/>
    </row>
    <row r="115" spans="2:12" ht="15.6" hidden="1" x14ac:dyDescent="0.3">
      <c r="B115" s="90" t="s">
        <v>465</v>
      </c>
      <c r="C115" s="214"/>
      <c r="D115" s="16"/>
      <c r="E115" s="16"/>
      <c r="F115" s="16"/>
      <c r="G115" s="115">
        <f t="shared" si="10"/>
        <v>0</v>
      </c>
      <c r="H115" s="112"/>
      <c r="I115" s="16"/>
      <c r="J115" s="252"/>
      <c r="K115" s="213"/>
      <c r="L115" s="40"/>
    </row>
    <row r="116" spans="2:12" ht="15.6" hidden="1" x14ac:dyDescent="0.3">
      <c r="B116" s="90" t="s">
        <v>466</v>
      </c>
      <c r="C116" s="214"/>
      <c r="D116" s="16"/>
      <c r="E116" s="16"/>
      <c r="F116" s="16"/>
      <c r="G116" s="115">
        <f t="shared" si="10"/>
        <v>0</v>
      </c>
      <c r="H116" s="112"/>
      <c r="I116" s="16"/>
      <c r="J116" s="252"/>
      <c r="K116" s="213"/>
      <c r="L116" s="40"/>
    </row>
    <row r="117" spans="2:12" ht="15.6" hidden="1" x14ac:dyDescent="0.3">
      <c r="B117" s="90" t="s">
        <v>467</v>
      </c>
      <c r="C117" s="214"/>
      <c r="D117" s="16"/>
      <c r="E117" s="16"/>
      <c r="F117" s="16"/>
      <c r="G117" s="115">
        <f t="shared" si="10"/>
        <v>0</v>
      </c>
      <c r="H117" s="112"/>
      <c r="I117" s="16"/>
      <c r="J117" s="252"/>
      <c r="K117" s="213"/>
      <c r="L117" s="40"/>
    </row>
    <row r="118" spans="2:12" ht="15.6" hidden="1" x14ac:dyDescent="0.3">
      <c r="B118" s="90" t="s">
        <v>468</v>
      </c>
      <c r="C118" s="215"/>
      <c r="D118" s="17"/>
      <c r="E118" s="17"/>
      <c r="F118" s="17"/>
      <c r="G118" s="115">
        <f t="shared" si="10"/>
        <v>0</v>
      </c>
      <c r="H118" s="113"/>
      <c r="I118" s="17"/>
      <c r="J118" s="252"/>
      <c r="K118" s="216"/>
      <c r="L118" s="40"/>
    </row>
    <row r="119" spans="2:12" ht="15.6" hidden="1" x14ac:dyDescent="0.3">
      <c r="B119" s="90" t="s">
        <v>469</v>
      </c>
      <c r="C119" s="215"/>
      <c r="D119" s="17"/>
      <c r="E119" s="17"/>
      <c r="F119" s="17"/>
      <c r="G119" s="115">
        <f t="shared" si="10"/>
        <v>0</v>
      </c>
      <c r="H119" s="113"/>
      <c r="I119" s="17"/>
      <c r="J119" s="252"/>
      <c r="K119" s="216"/>
      <c r="L119" s="40"/>
    </row>
    <row r="120" spans="2:12" ht="15.6" hidden="1" x14ac:dyDescent="0.3">
      <c r="C120" s="91" t="s">
        <v>526</v>
      </c>
      <c r="D120" s="21">
        <f>SUM(D112:D119)</f>
        <v>0</v>
      </c>
      <c r="E120" s="21">
        <f>SUM(E112:E119)</f>
        <v>0</v>
      </c>
      <c r="F120" s="21">
        <f>SUM(F112:F119)</f>
        <v>0</v>
      </c>
      <c r="G120" s="21">
        <f>SUM(G112:G119)</f>
        <v>0</v>
      </c>
      <c r="H120" s="18">
        <f>(H112*G112)+(H113*G113)+(H114*G114)+(H115*G115)+(H116*G116)+(H117*G117)+(H118*G118)+(H119*G119)</f>
        <v>0</v>
      </c>
      <c r="I120" s="18">
        <f>SUM(I112:I119)</f>
        <v>0</v>
      </c>
      <c r="J120" s="253"/>
      <c r="K120" s="216"/>
      <c r="L120" s="41"/>
    </row>
    <row r="121" spans="2:12" ht="51" hidden="1" customHeight="1" x14ac:dyDescent="0.3">
      <c r="B121" s="142" t="s">
        <v>470</v>
      </c>
      <c r="C121" s="472"/>
      <c r="D121" s="472"/>
      <c r="E121" s="472"/>
      <c r="F121" s="472"/>
      <c r="G121" s="472"/>
      <c r="H121" s="472"/>
      <c r="I121" s="473"/>
      <c r="J121" s="473"/>
      <c r="K121" s="472"/>
      <c r="L121" s="39"/>
    </row>
    <row r="122" spans="2:12" ht="15.6" hidden="1" x14ac:dyDescent="0.3">
      <c r="B122" s="90" t="s">
        <v>471</v>
      </c>
      <c r="C122" s="214"/>
      <c r="D122" s="16"/>
      <c r="E122" s="16"/>
      <c r="F122" s="16"/>
      <c r="G122" s="115">
        <f>SUM(D122:F122)</f>
        <v>0</v>
      </c>
      <c r="H122" s="112"/>
      <c r="I122" s="16"/>
      <c r="J122" s="252"/>
      <c r="K122" s="213"/>
      <c r="L122" s="40"/>
    </row>
    <row r="123" spans="2:12" ht="15.6" hidden="1" x14ac:dyDescent="0.3">
      <c r="B123" s="90" t="s">
        <v>472</v>
      </c>
      <c r="C123" s="214"/>
      <c r="D123" s="16"/>
      <c r="E123" s="16"/>
      <c r="F123" s="16"/>
      <c r="G123" s="115">
        <f t="shared" ref="G123:G129" si="11">SUM(D123:F123)</f>
        <v>0</v>
      </c>
      <c r="H123" s="112"/>
      <c r="I123" s="16"/>
      <c r="J123" s="252"/>
      <c r="K123" s="213"/>
      <c r="L123" s="40"/>
    </row>
    <row r="124" spans="2:12" ht="15.6" hidden="1" x14ac:dyDescent="0.3">
      <c r="B124" s="90" t="s">
        <v>473</v>
      </c>
      <c r="C124" s="214"/>
      <c r="D124" s="16"/>
      <c r="E124" s="16"/>
      <c r="F124" s="16"/>
      <c r="G124" s="115">
        <f t="shared" si="11"/>
        <v>0</v>
      </c>
      <c r="H124" s="112"/>
      <c r="I124" s="16"/>
      <c r="J124" s="252"/>
      <c r="K124" s="213"/>
      <c r="L124" s="40"/>
    </row>
    <row r="125" spans="2:12" ht="15.6" hidden="1" x14ac:dyDescent="0.3">
      <c r="B125" s="90" t="s">
        <v>474</v>
      </c>
      <c r="C125" s="214"/>
      <c r="D125" s="16"/>
      <c r="E125" s="16"/>
      <c r="F125" s="16"/>
      <c r="G125" s="115">
        <f t="shared" si="11"/>
        <v>0</v>
      </c>
      <c r="H125" s="112"/>
      <c r="I125" s="16"/>
      <c r="J125" s="252"/>
      <c r="K125" s="213"/>
      <c r="L125" s="40"/>
    </row>
    <row r="126" spans="2:12" ht="15.6" hidden="1" x14ac:dyDescent="0.3">
      <c r="B126" s="90" t="s">
        <v>475</v>
      </c>
      <c r="C126" s="214"/>
      <c r="D126" s="16"/>
      <c r="E126" s="16"/>
      <c r="F126" s="16"/>
      <c r="G126" s="115">
        <f t="shared" si="11"/>
        <v>0</v>
      </c>
      <c r="H126" s="112"/>
      <c r="I126" s="16"/>
      <c r="J126" s="252"/>
      <c r="K126" s="213"/>
      <c r="L126" s="40"/>
    </row>
    <row r="127" spans="2:12" ht="15.6" hidden="1" x14ac:dyDescent="0.3">
      <c r="B127" s="90" t="s">
        <v>476</v>
      </c>
      <c r="C127" s="214"/>
      <c r="D127" s="16"/>
      <c r="E127" s="16"/>
      <c r="F127" s="16"/>
      <c r="G127" s="115">
        <f t="shared" si="11"/>
        <v>0</v>
      </c>
      <c r="H127" s="112"/>
      <c r="I127" s="16"/>
      <c r="J127" s="252"/>
      <c r="K127" s="213"/>
      <c r="L127" s="40"/>
    </row>
    <row r="128" spans="2:12" ht="15.6" hidden="1" x14ac:dyDescent="0.3">
      <c r="B128" s="90" t="s">
        <v>477</v>
      </c>
      <c r="C128" s="215"/>
      <c r="D128" s="17"/>
      <c r="E128" s="17"/>
      <c r="F128" s="17"/>
      <c r="G128" s="115">
        <f t="shared" si="11"/>
        <v>0</v>
      </c>
      <c r="H128" s="113"/>
      <c r="I128" s="17"/>
      <c r="J128" s="252"/>
      <c r="K128" s="216"/>
      <c r="L128" s="40"/>
    </row>
    <row r="129" spans="2:12" ht="15.6" hidden="1" x14ac:dyDescent="0.3">
      <c r="B129" s="90" t="s">
        <v>478</v>
      </c>
      <c r="C129" s="215"/>
      <c r="D129" s="17"/>
      <c r="E129" s="17"/>
      <c r="F129" s="17"/>
      <c r="G129" s="115">
        <f t="shared" si="11"/>
        <v>0</v>
      </c>
      <c r="H129" s="113"/>
      <c r="I129" s="17"/>
      <c r="J129" s="252"/>
      <c r="K129" s="216"/>
      <c r="L129" s="40"/>
    </row>
    <row r="130" spans="2:12" ht="15.6" hidden="1" x14ac:dyDescent="0.3">
      <c r="C130" s="91" t="s">
        <v>526</v>
      </c>
      <c r="D130" s="18">
        <f>SUM(D122:D129)</f>
        <v>0</v>
      </c>
      <c r="E130" s="18">
        <f>SUM(E122:E129)</f>
        <v>0</v>
      </c>
      <c r="F130" s="18">
        <f>SUM(F122:F129)</f>
        <v>0</v>
      </c>
      <c r="G130" s="18">
        <f>SUM(G122:G129)</f>
        <v>0</v>
      </c>
      <c r="H130" s="18">
        <f>(H122*G122)+(H123*G123)+(H124*G124)+(H125*G125)+(H126*G126)+(H127*G127)+(H128*G128)+(H129*G129)</f>
        <v>0</v>
      </c>
      <c r="I130" s="18">
        <f>SUM(I122:I129)</f>
        <v>0</v>
      </c>
      <c r="J130" s="253"/>
      <c r="K130" s="216"/>
      <c r="L130" s="41"/>
    </row>
    <row r="131" spans="2:12" ht="15.75" hidden="1" customHeight="1" x14ac:dyDescent="0.3">
      <c r="B131" s="6"/>
      <c r="C131" s="10"/>
      <c r="D131" s="23"/>
      <c r="E131" s="23"/>
      <c r="F131" s="23"/>
      <c r="G131" s="23"/>
      <c r="H131" s="23"/>
      <c r="I131" s="23"/>
      <c r="J131" s="254"/>
      <c r="K131" s="62"/>
      <c r="L131" s="3"/>
    </row>
    <row r="132" spans="2:12" ht="51" hidden="1" customHeight="1" x14ac:dyDescent="0.3">
      <c r="B132" s="91" t="s">
        <v>479</v>
      </c>
      <c r="C132" s="476"/>
      <c r="D132" s="476"/>
      <c r="E132" s="476"/>
      <c r="F132" s="476"/>
      <c r="G132" s="476"/>
      <c r="H132" s="476"/>
      <c r="I132" s="477"/>
      <c r="J132" s="477"/>
      <c r="K132" s="476"/>
      <c r="L132" s="15"/>
    </row>
    <row r="133" spans="2:12" ht="51" hidden="1" customHeight="1" x14ac:dyDescent="0.3">
      <c r="B133" s="89" t="s">
        <v>480</v>
      </c>
      <c r="C133" s="472"/>
      <c r="D133" s="472"/>
      <c r="E133" s="472"/>
      <c r="F133" s="472"/>
      <c r="G133" s="472"/>
      <c r="H133" s="472"/>
      <c r="I133" s="473"/>
      <c r="J133" s="473"/>
      <c r="K133" s="472"/>
      <c r="L133" s="39"/>
    </row>
    <row r="134" spans="2:12" ht="15.6" hidden="1" x14ac:dyDescent="0.3">
      <c r="B134" s="90" t="s">
        <v>481</v>
      </c>
      <c r="C134" s="214"/>
      <c r="D134" s="16"/>
      <c r="E134" s="16"/>
      <c r="F134" s="16"/>
      <c r="G134" s="115">
        <f>SUM(D134:F134)</f>
        <v>0</v>
      </c>
      <c r="H134" s="112"/>
      <c r="I134" s="16"/>
      <c r="J134" s="252"/>
      <c r="K134" s="213"/>
      <c r="L134" s="40"/>
    </row>
    <row r="135" spans="2:12" ht="15.6" hidden="1" x14ac:dyDescent="0.3">
      <c r="B135" s="90" t="s">
        <v>482</v>
      </c>
      <c r="C135" s="214"/>
      <c r="D135" s="16"/>
      <c r="E135" s="16"/>
      <c r="F135" s="16"/>
      <c r="G135" s="115">
        <f t="shared" ref="G135:G141" si="12">SUM(D135:F135)</f>
        <v>0</v>
      </c>
      <c r="H135" s="112"/>
      <c r="I135" s="16"/>
      <c r="J135" s="252"/>
      <c r="K135" s="213"/>
      <c r="L135" s="40"/>
    </row>
    <row r="136" spans="2:12" ht="15.6" hidden="1" x14ac:dyDescent="0.3">
      <c r="B136" s="90" t="s">
        <v>483</v>
      </c>
      <c r="C136" s="214"/>
      <c r="D136" s="16"/>
      <c r="E136" s="16"/>
      <c r="F136" s="16"/>
      <c r="G136" s="115">
        <f t="shared" si="12"/>
        <v>0</v>
      </c>
      <c r="H136" s="112"/>
      <c r="I136" s="16"/>
      <c r="J136" s="252"/>
      <c r="K136" s="213"/>
      <c r="L136" s="40"/>
    </row>
    <row r="137" spans="2:12" ht="15.6" hidden="1" x14ac:dyDescent="0.3">
      <c r="B137" s="90" t="s">
        <v>484</v>
      </c>
      <c r="C137" s="214"/>
      <c r="D137" s="16"/>
      <c r="E137" s="16"/>
      <c r="F137" s="16"/>
      <c r="G137" s="115">
        <f t="shared" si="12"/>
        <v>0</v>
      </c>
      <c r="H137" s="112"/>
      <c r="I137" s="16"/>
      <c r="J137" s="252"/>
      <c r="K137" s="213"/>
      <c r="L137" s="40"/>
    </row>
    <row r="138" spans="2:12" ht="15.6" hidden="1" x14ac:dyDescent="0.3">
      <c r="B138" s="90" t="s">
        <v>485</v>
      </c>
      <c r="C138" s="214"/>
      <c r="D138" s="16"/>
      <c r="E138" s="16"/>
      <c r="F138" s="16"/>
      <c r="G138" s="115">
        <f t="shared" si="12"/>
        <v>0</v>
      </c>
      <c r="H138" s="112"/>
      <c r="I138" s="16"/>
      <c r="J138" s="252"/>
      <c r="K138" s="213"/>
      <c r="L138" s="40"/>
    </row>
    <row r="139" spans="2:12" ht="15.6" hidden="1" x14ac:dyDescent="0.3">
      <c r="B139" s="90" t="s">
        <v>486</v>
      </c>
      <c r="C139" s="214"/>
      <c r="D139" s="16"/>
      <c r="E139" s="16"/>
      <c r="F139" s="16"/>
      <c r="G139" s="115">
        <f t="shared" si="12"/>
        <v>0</v>
      </c>
      <c r="H139" s="112"/>
      <c r="I139" s="16"/>
      <c r="J139" s="252"/>
      <c r="K139" s="213"/>
      <c r="L139" s="40"/>
    </row>
    <row r="140" spans="2:12" ht="15.6" hidden="1" x14ac:dyDescent="0.3">
      <c r="B140" s="90" t="s">
        <v>487</v>
      </c>
      <c r="C140" s="215"/>
      <c r="D140" s="17"/>
      <c r="E140" s="17"/>
      <c r="F140" s="17"/>
      <c r="G140" s="115">
        <f t="shared" si="12"/>
        <v>0</v>
      </c>
      <c r="H140" s="113"/>
      <c r="I140" s="17"/>
      <c r="J140" s="252"/>
      <c r="K140" s="216"/>
      <c r="L140" s="40"/>
    </row>
    <row r="141" spans="2:12" ht="15.6" hidden="1" x14ac:dyDescent="0.3">
      <c r="B141" s="90" t="s">
        <v>488</v>
      </c>
      <c r="C141" s="215"/>
      <c r="D141" s="17"/>
      <c r="E141" s="17"/>
      <c r="F141" s="17"/>
      <c r="G141" s="115">
        <f t="shared" si="12"/>
        <v>0</v>
      </c>
      <c r="H141" s="113"/>
      <c r="I141" s="17"/>
      <c r="J141" s="252"/>
      <c r="K141" s="216"/>
      <c r="L141" s="40"/>
    </row>
    <row r="142" spans="2:12" ht="15.6" hidden="1" x14ac:dyDescent="0.3">
      <c r="C142" s="91" t="s">
        <v>526</v>
      </c>
      <c r="D142" s="18">
        <f>SUM(D134:D141)</f>
        <v>0</v>
      </c>
      <c r="E142" s="18">
        <f>SUM(E134:E141)</f>
        <v>0</v>
      </c>
      <c r="F142" s="18">
        <f>SUM(F134:F141)</f>
        <v>0</v>
      </c>
      <c r="G142" s="21">
        <f>SUM(G134:G141)</f>
        <v>0</v>
      </c>
      <c r="H142" s="18">
        <f>(H134*G134)+(H135*G135)+(H136*G136)+(H137*G137)+(H138*G138)+(H139*G139)+(H140*G140)+(H141*G141)</f>
        <v>0</v>
      </c>
      <c r="I142" s="18">
        <f>SUM(I134:I141)</f>
        <v>0</v>
      </c>
      <c r="J142" s="253"/>
      <c r="K142" s="216"/>
      <c r="L142" s="41"/>
    </row>
    <row r="143" spans="2:12" ht="51" hidden="1" customHeight="1" x14ac:dyDescent="0.3">
      <c r="B143" s="89" t="s">
        <v>489</v>
      </c>
      <c r="C143" s="472"/>
      <c r="D143" s="472"/>
      <c r="E143" s="472"/>
      <c r="F143" s="472"/>
      <c r="G143" s="472"/>
      <c r="H143" s="472"/>
      <c r="I143" s="473"/>
      <c r="J143" s="473"/>
      <c r="K143" s="472"/>
      <c r="L143" s="39"/>
    </row>
    <row r="144" spans="2:12" ht="15.6" hidden="1" x14ac:dyDescent="0.3">
      <c r="B144" s="90" t="s">
        <v>490</v>
      </c>
      <c r="C144" s="214"/>
      <c r="D144" s="16"/>
      <c r="E144" s="16"/>
      <c r="F144" s="16"/>
      <c r="G144" s="115">
        <f>SUM(D144:F144)</f>
        <v>0</v>
      </c>
      <c r="H144" s="112"/>
      <c r="I144" s="16"/>
      <c r="J144" s="252"/>
      <c r="K144" s="213"/>
      <c r="L144" s="40"/>
    </row>
    <row r="145" spans="2:12" ht="15.6" hidden="1" x14ac:dyDescent="0.3">
      <c r="B145" s="90" t="s">
        <v>491</v>
      </c>
      <c r="C145" s="214"/>
      <c r="D145" s="16"/>
      <c r="E145" s="16"/>
      <c r="F145" s="16"/>
      <c r="G145" s="115">
        <f t="shared" ref="G145:G151" si="13">SUM(D145:F145)</f>
        <v>0</v>
      </c>
      <c r="H145" s="112"/>
      <c r="I145" s="16"/>
      <c r="J145" s="252"/>
      <c r="K145" s="213"/>
      <c r="L145" s="40"/>
    </row>
    <row r="146" spans="2:12" ht="15.6" hidden="1" x14ac:dyDescent="0.3">
      <c r="B146" s="90" t="s">
        <v>492</v>
      </c>
      <c r="C146" s="214"/>
      <c r="D146" s="16"/>
      <c r="E146" s="16"/>
      <c r="F146" s="16"/>
      <c r="G146" s="115">
        <f t="shared" si="13"/>
        <v>0</v>
      </c>
      <c r="H146" s="112"/>
      <c r="I146" s="16"/>
      <c r="J146" s="252"/>
      <c r="K146" s="213"/>
      <c r="L146" s="40"/>
    </row>
    <row r="147" spans="2:12" ht="15.6" hidden="1" x14ac:dyDescent="0.3">
      <c r="B147" s="90" t="s">
        <v>493</v>
      </c>
      <c r="C147" s="214"/>
      <c r="D147" s="16"/>
      <c r="E147" s="16"/>
      <c r="F147" s="16"/>
      <c r="G147" s="115">
        <f t="shared" si="13"/>
        <v>0</v>
      </c>
      <c r="H147" s="112"/>
      <c r="I147" s="16"/>
      <c r="J147" s="252"/>
      <c r="K147" s="213"/>
      <c r="L147" s="40"/>
    </row>
    <row r="148" spans="2:12" ht="15.6" hidden="1" x14ac:dyDescent="0.3">
      <c r="B148" s="90" t="s">
        <v>494</v>
      </c>
      <c r="C148" s="214"/>
      <c r="D148" s="16"/>
      <c r="E148" s="16"/>
      <c r="F148" s="16"/>
      <c r="G148" s="115">
        <f t="shared" si="13"/>
        <v>0</v>
      </c>
      <c r="H148" s="112"/>
      <c r="I148" s="16"/>
      <c r="J148" s="252"/>
      <c r="K148" s="213"/>
      <c r="L148" s="40"/>
    </row>
    <row r="149" spans="2:12" ht="15.6" hidden="1" x14ac:dyDescent="0.3">
      <c r="B149" s="90" t="s">
        <v>495</v>
      </c>
      <c r="C149" s="214"/>
      <c r="D149" s="16"/>
      <c r="E149" s="16"/>
      <c r="F149" s="16"/>
      <c r="G149" s="115">
        <f t="shared" si="13"/>
        <v>0</v>
      </c>
      <c r="H149" s="112"/>
      <c r="I149" s="16"/>
      <c r="J149" s="252"/>
      <c r="K149" s="213"/>
      <c r="L149" s="40"/>
    </row>
    <row r="150" spans="2:12" ht="15.6" hidden="1" x14ac:dyDescent="0.3">
      <c r="B150" s="90" t="s">
        <v>496</v>
      </c>
      <c r="C150" s="215"/>
      <c r="D150" s="17"/>
      <c r="E150" s="17"/>
      <c r="F150" s="17"/>
      <c r="G150" s="115">
        <f t="shared" si="13"/>
        <v>0</v>
      </c>
      <c r="H150" s="113"/>
      <c r="I150" s="17"/>
      <c r="J150" s="252"/>
      <c r="K150" s="216"/>
      <c r="L150" s="40"/>
    </row>
    <row r="151" spans="2:12" ht="15.6" hidden="1" x14ac:dyDescent="0.3">
      <c r="B151" s="90" t="s">
        <v>497</v>
      </c>
      <c r="C151" s="215"/>
      <c r="D151" s="17"/>
      <c r="E151" s="17"/>
      <c r="F151" s="17"/>
      <c r="G151" s="115">
        <f t="shared" si="13"/>
        <v>0</v>
      </c>
      <c r="H151" s="113"/>
      <c r="I151" s="17"/>
      <c r="J151" s="252"/>
      <c r="K151" s="216"/>
      <c r="L151" s="40"/>
    </row>
    <row r="152" spans="2:12" ht="15.6" hidden="1" x14ac:dyDescent="0.3">
      <c r="C152" s="91" t="s">
        <v>526</v>
      </c>
      <c r="D152" s="21">
        <f>SUM(D144:D151)</f>
        <v>0</v>
      </c>
      <c r="E152" s="21">
        <f>SUM(E144:E151)</f>
        <v>0</v>
      </c>
      <c r="F152" s="21">
        <f>SUM(F144:F151)</f>
        <v>0</v>
      </c>
      <c r="G152" s="21">
        <f>SUM(G144:G151)</f>
        <v>0</v>
      </c>
      <c r="H152" s="18">
        <f>(H144*G144)+(H145*G145)+(H146*G146)+(H147*G147)+(H148*G148)+(H149*G149)+(H150*G150)+(H151*G151)</f>
        <v>0</v>
      </c>
      <c r="I152" s="18">
        <f>SUM(I144:I151)</f>
        <v>0</v>
      </c>
      <c r="J152" s="253"/>
      <c r="K152" s="216"/>
      <c r="L152" s="41"/>
    </row>
    <row r="153" spans="2:12" ht="51" hidden="1" customHeight="1" x14ac:dyDescent="0.3">
      <c r="B153" s="89" t="s">
        <v>498</v>
      </c>
      <c r="C153" s="472"/>
      <c r="D153" s="472"/>
      <c r="E153" s="472"/>
      <c r="F153" s="472"/>
      <c r="G153" s="472"/>
      <c r="H153" s="472"/>
      <c r="I153" s="473"/>
      <c r="J153" s="473"/>
      <c r="K153" s="472"/>
      <c r="L153" s="39"/>
    </row>
    <row r="154" spans="2:12" ht="15.6" hidden="1" x14ac:dyDescent="0.3">
      <c r="B154" s="90" t="s">
        <v>499</v>
      </c>
      <c r="C154" s="214"/>
      <c r="D154" s="16"/>
      <c r="E154" s="16"/>
      <c r="F154" s="16"/>
      <c r="G154" s="115">
        <f>SUM(D154:F154)</f>
        <v>0</v>
      </c>
      <c r="H154" s="112"/>
      <c r="I154" s="16"/>
      <c r="J154" s="252"/>
      <c r="K154" s="213"/>
      <c r="L154" s="40"/>
    </row>
    <row r="155" spans="2:12" ht="15.6" hidden="1" x14ac:dyDescent="0.3">
      <c r="B155" s="90" t="s">
        <v>500</v>
      </c>
      <c r="C155" s="214"/>
      <c r="D155" s="16"/>
      <c r="E155" s="16"/>
      <c r="F155" s="16"/>
      <c r="G155" s="115">
        <f t="shared" ref="G155:G161" si="14">SUM(D155:F155)</f>
        <v>0</v>
      </c>
      <c r="H155" s="112"/>
      <c r="I155" s="16"/>
      <c r="J155" s="252"/>
      <c r="K155" s="213"/>
      <c r="L155" s="40"/>
    </row>
    <row r="156" spans="2:12" ht="15.6" hidden="1" x14ac:dyDescent="0.3">
      <c r="B156" s="90" t="s">
        <v>501</v>
      </c>
      <c r="C156" s="214"/>
      <c r="D156" s="16"/>
      <c r="E156" s="16"/>
      <c r="F156" s="16"/>
      <c r="G156" s="115">
        <f t="shared" si="14"/>
        <v>0</v>
      </c>
      <c r="H156" s="112"/>
      <c r="I156" s="16"/>
      <c r="J156" s="252"/>
      <c r="K156" s="213"/>
      <c r="L156" s="40"/>
    </row>
    <row r="157" spans="2:12" ht="15.6" hidden="1" x14ac:dyDescent="0.3">
      <c r="B157" s="90" t="s">
        <v>502</v>
      </c>
      <c r="C157" s="214"/>
      <c r="D157" s="16"/>
      <c r="E157" s="16"/>
      <c r="F157" s="16"/>
      <c r="G157" s="115">
        <f t="shared" si="14"/>
        <v>0</v>
      </c>
      <c r="H157" s="112"/>
      <c r="I157" s="16"/>
      <c r="J157" s="252"/>
      <c r="K157" s="213"/>
      <c r="L157" s="40"/>
    </row>
    <row r="158" spans="2:12" ht="15.6" hidden="1" x14ac:dyDescent="0.3">
      <c r="B158" s="90" t="s">
        <v>503</v>
      </c>
      <c r="C158" s="214"/>
      <c r="D158" s="16"/>
      <c r="E158" s="16"/>
      <c r="F158" s="16"/>
      <c r="G158" s="115">
        <f t="shared" si="14"/>
        <v>0</v>
      </c>
      <c r="H158" s="112"/>
      <c r="I158" s="16"/>
      <c r="J158" s="252"/>
      <c r="K158" s="213"/>
      <c r="L158" s="40"/>
    </row>
    <row r="159" spans="2:12" ht="15.6" hidden="1" x14ac:dyDescent="0.3">
      <c r="B159" s="90" t="s">
        <v>504</v>
      </c>
      <c r="C159" s="214"/>
      <c r="D159" s="16"/>
      <c r="E159" s="16"/>
      <c r="F159" s="16"/>
      <c r="G159" s="115">
        <f t="shared" si="14"/>
        <v>0</v>
      </c>
      <c r="H159" s="112"/>
      <c r="I159" s="16"/>
      <c r="J159" s="252"/>
      <c r="K159" s="213"/>
      <c r="L159" s="40"/>
    </row>
    <row r="160" spans="2:12" ht="15.6" hidden="1" x14ac:dyDescent="0.3">
      <c r="B160" s="90" t="s">
        <v>505</v>
      </c>
      <c r="C160" s="215"/>
      <c r="D160" s="17"/>
      <c r="E160" s="17"/>
      <c r="F160" s="17"/>
      <c r="G160" s="115">
        <f t="shared" si="14"/>
        <v>0</v>
      </c>
      <c r="H160" s="113"/>
      <c r="I160" s="17"/>
      <c r="J160" s="252"/>
      <c r="K160" s="216"/>
      <c r="L160" s="40"/>
    </row>
    <row r="161" spans="2:12" ht="15.6" hidden="1" x14ac:dyDescent="0.3">
      <c r="B161" s="90" t="s">
        <v>506</v>
      </c>
      <c r="C161" s="215"/>
      <c r="D161" s="17"/>
      <c r="E161" s="17"/>
      <c r="F161" s="17"/>
      <c r="G161" s="115">
        <f t="shared" si="14"/>
        <v>0</v>
      </c>
      <c r="H161" s="113"/>
      <c r="I161" s="17"/>
      <c r="J161" s="252"/>
      <c r="K161" s="216"/>
      <c r="L161" s="40"/>
    </row>
    <row r="162" spans="2:12" ht="15.6" hidden="1" x14ac:dyDescent="0.3">
      <c r="C162" s="91" t="s">
        <v>526</v>
      </c>
      <c r="D162" s="21">
        <f>SUM(D154:D161)</f>
        <v>0</v>
      </c>
      <c r="E162" s="21">
        <f>SUM(E154:E161)</f>
        <v>0</v>
      </c>
      <c r="F162" s="21">
        <f>SUM(F154:F161)</f>
        <v>0</v>
      </c>
      <c r="G162" s="21">
        <f>SUM(G154:G161)</f>
        <v>0</v>
      </c>
      <c r="H162" s="18">
        <f>(H154*G154)+(H155*G155)+(H156*G156)+(H157*G157)+(H158*G158)+(H159*G159)+(H160*G160)+(H161*G161)</f>
        <v>0</v>
      </c>
      <c r="I162" s="18">
        <f>SUM(I154:I161)</f>
        <v>0</v>
      </c>
      <c r="J162" s="253"/>
      <c r="K162" s="216"/>
      <c r="L162" s="41"/>
    </row>
    <row r="163" spans="2:12" ht="51" hidden="1" customHeight="1" x14ac:dyDescent="0.3">
      <c r="B163" s="89" t="s">
        <v>507</v>
      </c>
      <c r="C163" s="472"/>
      <c r="D163" s="472"/>
      <c r="E163" s="472"/>
      <c r="F163" s="472"/>
      <c r="G163" s="472"/>
      <c r="H163" s="472"/>
      <c r="I163" s="473"/>
      <c r="J163" s="473"/>
      <c r="K163" s="472"/>
      <c r="L163" s="39"/>
    </row>
    <row r="164" spans="2:12" ht="15.6" hidden="1" x14ac:dyDescent="0.3">
      <c r="B164" s="90" t="s">
        <v>508</v>
      </c>
      <c r="C164" s="214"/>
      <c r="D164" s="16"/>
      <c r="E164" s="16"/>
      <c r="F164" s="16"/>
      <c r="G164" s="115">
        <f>SUM(D164:F164)</f>
        <v>0</v>
      </c>
      <c r="H164" s="112"/>
      <c r="I164" s="16"/>
      <c r="J164" s="252"/>
      <c r="K164" s="213"/>
      <c r="L164" s="40"/>
    </row>
    <row r="165" spans="2:12" ht="15.6" hidden="1" x14ac:dyDescent="0.3">
      <c r="B165" s="90" t="s">
        <v>509</v>
      </c>
      <c r="C165" s="214"/>
      <c r="D165" s="16"/>
      <c r="E165" s="16"/>
      <c r="F165" s="16"/>
      <c r="G165" s="115">
        <f t="shared" ref="G165:G171" si="15">SUM(D165:F165)</f>
        <v>0</v>
      </c>
      <c r="H165" s="112"/>
      <c r="I165" s="16"/>
      <c r="J165" s="252"/>
      <c r="K165" s="213"/>
      <c r="L165" s="40"/>
    </row>
    <row r="166" spans="2:12" ht="15.6" hidden="1" x14ac:dyDescent="0.3">
      <c r="B166" s="90" t="s">
        <v>510</v>
      </c>
      <c r="C166" s="214"/>
      <c r="D166" s="16"/>
      <c r="E166" s="16"/>
      <c r="F166" s="16"/>
      <c r="G166" s="115">
        <f t="shared" si="15"/>
        <v>0</v>
      </c>
      <c r="H166" s="112"/>
      <c r="I166" s="16"/>
      <c r="J166" s="252"/>
      <c r="K166" s="213"/>
      <c r="L166" s="40"/>
    </row>
    <row r="167" spans="2:12" ht="15.6" hidden="1" x14ac:dyDescent="0.3">
      <c r="B167" s="90" t="s">
        <v>511</v>
      </c>
      <c r="C167" s="214"/>
      <c r="D167" s="16"/>
      <c r="E167" s="16"/>
      <c r="F167" s="16"/>
      <c r="G167" s="115">
        <f t="shared" si="15"/>
        <v>0</v>
      </c>
      <c r="H167" s="112"/>
      <c r="I167" s="16"/>
      <c r="J167" s="252"/>
      <c r="K167" s="213"/>
      <c r="L167" s="40"/>
    </row>
    <row r="168" spans="2:12" ht="15.6" hidden="1" x14ac:dyDescent="0.3">
      <c r="B168" s="90" t="s">
        <v>512</v>
      </c>
      <c r="C168" s="214"/>
      <c r="D168" s="16"/>
      <c r="E168" s="16"/>
      <c r="F168" s="16"/>
      <c r="G168" s="115">
        <f>SUM(D168:F168)</f>
        <v>0</v>
      </c>
      <c r="H168" s="112"/>
      <c r="I168" s="16"/>
      <c r="J168" s="252"/>
      <c r="K168" s="213"/>
      <c r="L168" s="40"/>
    </row>
    <row r="169" spans="2:12" ht="15.6" hidden="1" x14ac:dyDescent="0.3">
      <c r="B169" s="90" t="s">
        <v>513</v>
      </c>
      <c r="C169" s="214"/>
      <c r="D169" s="16"/>
      <c r="E169" s="16"/>
      <c r="F169" s="16"/>
      <c r="G169" s="115">
        <f t="shared" si="15"/>
        <v>0</v>
      </c>
      <c r="H169" s="112"/>
      <c r="I169" s="16"/>
      <c r="J169" s="252"/>
      <c r="K169" s="213"/>
      <c r="L169" s="40"/>
    </row>
    <row r="170" spans="2:12" ht="15.6" hidden="1" x14ac:dyDescent="0.3">
      <c r="B170" s="90" t="s">
        <v>514</v>
      </c>
      <c r="C170" s="215"/>
      <c r="D170" s="17"/>
      <c r="E170" s="17"/>
      <c r="F170" s="17"/>
      <c r="G170" s="115">
        <f t="shared" si="15"/>
        <v>0</v>
      </c>
      <c r="H170" s="113"/>
      <c r="I170" s="17"/>
      <c r="J170" s="252"/>
      <c r="K170" s="216"/>
      <c r="L170" s="40"/>
    </row>
    <row r="171" spans="2:12" ht="15.6" hidden="1" x14ac:dyDescent="0.3">
      <c r="B171" s="90" t="s">
        <v>515</v>
      </c>
      <c r="C171" s="215"/>
      <c r="D171" s="17"/>
      <c r="E171" s="17"/>
      <c r="F171" s="17"/>
      <c r="G171" s="115">
        <f t="shared" si="15"/>
        <v>0</v>
      </c>
      <c r="H171" s="113"/>
      <c r="I171" s="17"/>
      <c r="J171" s="252"/>
      <c r="K171" s="216"/>
      <c r="L171" s="40"/>
    </row>
    <row r="172" spans="2:12" ht="15.6" hidden="1" x14ac:dyDescent="0.3">
      <c r="C172" s="91" t="s">
        <v>526</v>
      </c>
      <c r="D172" s="18">
        <f>SUM(D164:D171)</f>
        <v>0</v>
      </c>
      <c r="E172" s="18">
        <f>SUM(E164:E171)</f>
        <v>0</v>
      </c>
      <c r="F172" s="18">
        <f>SUM(F164:F171)</f>
        <v>0</v>
      </c>
      <c r="G172" s="18">
        <f>SUM(G164:G171)</f>
        <v>0</v>
      </c>
      <c r="H172" s="18">
        <f>(H164*G164)+(H165*G165)+(H166*G166)+(H167*G167)+(H168*G168)+(H169*G169)+(H170*G170)+(H171*G171)</f>
        <v>0</v>
      </c>
      <c r="I172" s="18">
        <f>SUM(I164:I171)</f>
        <v>0</v>
      </c>
      <c r="J172" s="253"/>
      <c r="K172" s="216"/>
      <c r="L172" s="41"/>
    </row>
    <row r="173" spans="2:12" ht="15.75" customHeight="1" x14ac:dyDescent="0.3">
      <c r="B173" s="6"/>
      <c r="C173" s="10"/>
      <c r="D173" s="23"/>
      <c r="E173" s="23"/>
      <c r="F173" s="23"/>
      <c r="G173" s="23"/>
      <c r="H173" s="23"/>
      <c r="I173" s="23"/>
      <c r="J173" s="254"/>
      <c r="K173" s="10"/>
      <c r="L173" s="3"/>
    </row>
    <row r="174" spans="2:12" ht="15.75" customHeight="1" x14ac:dyDescent="0.3">
      <c r="B174" s="6"/>
      <c r="C174" s="10"/>
      <c r="D174" s="23"/>
      <c r="E174" s="23"/>
      <c r="F174" s="23"/>
      <c r="G174" s="23"/>
      <c r="H174" s="23"/>
      <c r="I174" s="23"/>
      <c r="J174" s="254"/>
      <c r="K174" s="10"/>
      <c r="L174" s="3"/>
    </row>
    <row r="175" spans="2:12" ht="93.6" x14ac:dyDescent="0.3">
      <c r="B175" s="91" t="s">
        <v>516</v>
      </c>
      <c r="C175" s="14" t="s">
        <v>841</v>
      </c>
      <c r="D175" s="29">
        <f>SUM('BU CWW'!K9:K13,'BU CWW'!K15,'BU CWW'!K23:K33,'BU CWW'!K43:K48,'BU CWW'!K166)</f>
        <v>321542.32000000007</v>
      </c>
      <c r="E175" s="29"/>
      <c r="F175" s="29"/>
      <c r="G175" s="103">
        <f>SUM(D175:F175)</f>
        <v>321542.32000000007</v>
      </c>
      <c r="H175" s="312">
        <v>0.8</v>
      </c>
      <c r="I175" s="29">
        <v>264524.76939186332</v>
      </c>
      <c r="J175" s="309" t="s">
        <v>902</v>
      </c>
      <c r="K175" s="309"/>
      <c r="L175" s="41"/>
    </row>
    <row r="176" spans="2:12" ht="78" x14ac:dyDescent="0.3">
      <c r="B176" s="91" t="s">
        <v>517</v>
      </c>
      <c r="C176" s="14" t="s">
        <v>842</v>
      </c>
      <c r="D176" s="29">
        <f>SUM('BU CWW'!K167:K168,'BU CWW'!K172:K174)</f>
        <v>33957.839999999997</v>
      </c>
      <c r="E176" s="29"/>
      <c r="F176" s="29"/>
      <c r="G176" s="103">
        <f>SUM(D176:F176)</f>
        <v>33957.839999999997</v>
      </c>
      <c r="H176" s="114">
        <v>0.5</v>
      </c>
      <c r="I176" s="29">
        <v>50062.762428371519</v>
      </c>
      <c r="J176" s="308" t="s">
        <v>905</v>
      </c>
      <c r="K176" s="218"/>
      <c r="L176" s="41"/>
    </row>
    <row r="177" spans="2:12" ht="64.5" customHeight="1" x14ac:dyDescent="0.3">
      <c r="B177" s="91" t="s">
        <v>518</v>
      </c>
      <c r="C177" s="107" t="s">
        <v>843</v>
      </c>
      <c r="D177" s="29">
        <f>SUM('BU CWW'!K40:K42,'BU CWW'!K56,'BU CWW'!K147:K152)</f>
        <v>73653.800041073671</v>
      </c>
      <c r="E177" s="29"/>
      <c r="F177" s="29"/>
      <c r="G177" s="103">
        <f>SUM(D177:F177)</f>
        <v>73653.800041073671</v>
      </c>
      <c r="H177" s="114">
        <v>1</v>
      </c>
      <c r="I177" s="29">
        <v>30213.00956882607</v>
      </c>
      <c r="J177" s="308" t="s">
        <v>903</v>
      </c>
      <c r="K177" s="218"/>
      <c r="L177" s="41"/>
    </row>
    <row r="178" spans="2:12" ht="62.4" x14ac:dyDescent="0.3">
      <c r="B178" s="108" t="s">
        <v>519</v>
      </c>
      <c r="C178" s="227" t="s">
        <v>844</v>
      </c>
      <c r="D178" s="29">
        <f>'BU CWW'!K50+'BU CWW'!K154</f>
        <v>27167</v>
      </c>
      <c r="E178" s="29"/>
      <c r="F178" s="29"/>
      <c r="G178" s="103">
        <f>SUM(D178:F178)</f>
        <v>27167</v>
      </c>
      <c r="H178" s="114">
        <v>1</v>
      </c>
      <c r="I178" s="29">
        <v>0</v>
      </c>
      <c r="J178" s="308" t="s">
        <v>904</v>
      </c>
      <c r="K178" s="218"/>
      <c r="L178" s="41"/>
    </row>
    <row r="179" spans="2:12" ht="38.25" customHeight="1" x14ac:dyDescent="0.3">
      <c r="B179" s="6"/>
      <c r="C179" s="109" t="s">
        <v>527</v>
      </c>
      <c r="D179" s="116">
        <f>SUM(D175:D178)</f>
        <v>456320.96004107373</v>
      </c>
      <c r="E179" s="116">
        <f>SUM(E175:E178)</f>
        <v>0</v>
      </c>
      <c r="F179" s="116">
        <f>SUM(F175:F178)</f>
        <v>0</v>
      </c>
      <c r="G179" s="116">
        <f>SUM(G175:G178)</f>
        <v>456320.96004107373</v>
      </c>
      <c r="H179" s="18">
        <f>(H175*G175)+(H176*G176)+(H177*G177)+(H178*G178)</f>
        <v>375033.57604107377</v>
      </c>
      <c r="I179" s="18">
        <f>SUM(I175:I178)</f>
        <v>344800.54138906091</v>
      </c>
      <c r="J179" s="253"/>
      <c r="K179" s="14"/>
      <c r="L179" s="12"/>
    </row>
    <row r="180" spans="2:12" ht="15.75" customHeight="1" x14ac:dyDescent="0.3">
      <c r="B180" s="6"/>
      <c r="C180" s="10"/>
      <c r="D180" s="23"/>
      <c r="E180" s="23"/>
      <c r="F180" s="23"/>
      <c r="G180" s="23"/>
      <c r="H180" s="23"/>
      <c r="I180" s="23"/>
      <c r="J180" s="254"/>
      <c r="K180" s="10"/>
      <c r="L180" s="12"/>
    </row>
    <row r="181" spans="2:12" ht="15.75" customHeight="1" x14ac:dyDescent="0.3">
      <c r="B181" s="6"/>
      <c r="C181" s="10"/>
      <c r="D181" s="23"/>
      <c r="E181" s="23"/>
      <c r="F181" s="23"/>
      <c r="G181" s="23"/>
      <c r="H181" s="23"/>
      <c r="I181" s="467">
        <f>I58+I68+I78+I88+I100+I110+I179+I16+I26</f>
        <v>875541.91411551798</v>
      </c>
      <c r="J181" s="254"/>
      <c r="K181" s="10"/>
      <c r="L181" s="12"/>
    </row>
    <row r="182" spans="2:12" ht="15.75" customHeight="1" x14ac:dyDescent="0.3">
      <c r="B182" s="6"/>
      <c r="C182" s="10"/>
      <c r="D182" s="23"/>
      <c r="E182" s="23"/>
      <c r="F182" s="23"/>
      <c r="G182" s="23"/>
      <c r="H182" s="23"/>
      <c r="I182" s="23"/>
      <c r="J182" s="254"/>
      <c r="K182" s="10"/>
      <c r="L182" s="12"/>
    </row>
    <row r="183" spans="2:12" ht="15.75" customHeight="1" x14ac:dyDescent="0.3">
      <c r="B183" s="6"/>
      <c r="C183" s="10"/>
      <c r="D183" s="23"/>
      <c r="E183" s="23"/>
      <c r="F183" s="23"/>
      <c r="G183" s="23"/>
      <c r="H183" s="23"/>
      <c r="I183" s="467">
        <f>I181*0.07</f>
        <v>61287.933988086268</v>
      </c>
      <c r="J183" s="254"/>
      <c r="K183" s="10"/>
      <c r="L183" s="12"/>
    </row>
    <row r="184" spans="2:12" ht="15.75" customHeight="1" x14ac:dyDescent="0.3">
      <c r="B184" s="6"/>
      <c r="C184" s="10"/>
      <c r="D184" s="23"/>
      <c r="E184" s="23"/>
      <c r="F184" s="23"/>
      <c r="G184" s="23"/>
      <c r="H184" s="23"/>
      <c r="I184" s="467">
        <f>I181+I183</f>
        <v>936829.84810360428</v>
      </c>
      <c r="J184" s="254"/>
      <c r="K184" s="10"/>
      <c r="L184" s="12"/>
    </row>
    <row r="185" spans="2:12" ht="15.75" customHeight="1" x14ac:dyDescent="0.3">
      <c r="B185" s="6"/>
      <c r="C185" s="10"/>
      <c r="D185" s="23"/>
      <c r="E185" s="23"/>
      <c r="F185" s="23"/>
      <c r="G185" s="23"/>
      <c r="H185" s="23"/>
      <c r="I185" s="23"/>
      <c r="J185" s="254"/>
      <c r="K185" s="10"/>
      <c r="L185" s="12"/>
    </row>
    <row r="186" spans="2:12" ht="15.75" customHeight="1" thickBot="1" x14ac:dyDescent="0.35">
      <c r="B186" s="6"/>
      <c r="C186" s="10"/>
      <c r="D186" s="23"/>
      <c r="E186" s="23"/>
      <c r="F186" s="23"/>
      <c r="G186" s="23"/>
      <c r="H186" s="23"/>
      <c r="I186" s="23"/>
      <c r="J186" s="254"/>
      <c r="K186" s="10"/>
      <c r="L186" s="12"/>
    </row>
    <row r="187" spans="2:12" ht="15.6" x14ac:dyDescent="0.3">
      <c r="B187" s="6"/>
      <c r="C187" s="493" t="s">
        <v>536</v>
      </c>
      <c r="D187" s="494"/>
      <c r="E187" s="494"/>
      <c r="F187" s="494"/>
      <c r="G187" s="495"/>
      <c r="H187" s="12"/>
      <c r="I187" s="155"/>
      <c r="J187" s="256"/>
      <c r="K187" s="12"/>
    </row>
    <row r="188" spans="2:12" ht="54.75" customHeight="1" x14ac:dyDescent="0.3">
      <c r="B188" s="6"/>
      <c r="C188" s="170"/>
      <c r="D188" s="178" t="str">
        <f>D5</f>
        <v>Organisation recipiendiaire 1 (budget en USD)</v>
      </c>
      <c r="E188" s="178" t="str">
        <f t="shared" ref="E188:F188" si="16">E5</f>
        <v>Organisation recipiendiaire 2 (budget en USD)</v>
      </c>
      <c r="F188" s="178" t="str">
        <f t="shared" si="16"/>
        <v>Organisation recipiendiaire 3 (budget en USD)</v>
      </c>
      <c r="G188" s="171" t="s">
        <v>11</v>
      </c>
      <c r="H188" s="10"/>
      <c r="I188" s="23"/>
      <c r="J188" s="254"/>
      <c r="K188" s="12"/>
    </row>
    <row r="189" spans="2:12" ht="41.25" customHeight="1" x14ac:dyDescent="0.3">
      <c r="B189" s="13"/>
      <c r="C189" s="104" t="s">
        <v>528</v>
      </c>
      <c r="D189" s="92">
        <f>SUM(D16,D26,D36,D46,D58,D68,D78,D88,D100,D110,D120,D130,D142,D152,D162,D172,D175,D176,D177,D178)</f>
        <v>1401869.1642327751</v>
      </c>
      <c r="E189" s="92">
        <f>SUM(E16,E26,E36,E46,E58,E68,E78,E88,E100,E110,E120,E130,E142,E152,E162,E172,E175,E176,E177,E178)</f>
        <v>0</v>
      </c>
      <c r="F189" s="92">
        <f>SUM(F16,F26,F36,F46,F58,F68,F78,F88,F100,F110,F120,F130,F142,F152,F162,F172,F175,F176,F177,F178)</f>
        <v>0</v>
      </c>
      <c r="G189" s="105">
        <f>SUM(D189:F189)</f>
        <v>1401869.1642327751</v>
      </c>
      <c r="H189" s="10"/>
      <c r="I189" s="23"/>
      <c r="J189" s="254"/>
      <c r="K189" s="13"/>
    </row>
    <row r="190" spans="2:12" ht="51.75" customHeight="1" x14ac:dyDescent="0.3">
      <c r="B190" s="4"/>
      <c r="C190" s="162" t="s">
        <v>529</v>
      </c>
      <c r="D190" s="92">
        <f>D189*0.07</f>
        <v>98130.841496294262</v>
      </c>
      <c r="E190" s="92">
        <f>E189*0.07</f>
        <v>0</v>
      </c>
      <c r="F190" s="92">
        <f>F189*0.07</f>
        <v>0</v>
      </c>
      <c r="G190" s="105">
        <f>G189*0.07</f>
        <v>98130.841496294262</v>
      </c>
      <c r="H190" s="4"/>
      <c r="I190" s="156"/>
      <c r="J190" s="254"/>
      <c r="K190" s="1"/>
    </row>
    <row r="191" spans="2:12" ht="51.75" customHeight="1" thickBot="1" x14ac:dyDescent="0.35">
      <c r="B191" s="4"/>
      <c r="C191" s="8" t="s">
        <v>11</v>
      </c>
      <c r="D191" s="95">
        <f>SUM(D189:D190)</f>
        <v>1500000.0057290695</v>
      </c>
      <c r="E191" s="95">
        <f>SUM(E189:E190)</f>
        <v>0</v>
      </c>
      <c r="F191" s="95">
        <f>SUM(F189:F190)</f>
        <v>0</v>
      </c>
      <c r="G191" s="106">
        <f>SUM(G189:G190)</f>
        <v>1500000.0057290695</v>
      </c>
      <c r="H191" s="4"/>
      <c r="I191" s="156"/>
      <c r="J191" s="254"/>
      <c r="K191" s="1"/>
    </row>
    <row r="192" spans="2:12" ht="42" customHeight="1" x14ac:dyDescent="0.3">
      <c r="B192" s="4"/>
      <c r="K192" s="3"/>
      <c r="L192" s="1"/>
    </row>
    <row r="193" spans="2:12" s="211" customFormat="1" ht="29.25" customHeight="1" thickBot="1" x14ac:dyDescent="0.35">
      <c r="B193" s="10"/>
      <c r="C193" s="6"/>
      <c r="D193" s="31"/>
      <c r="E193" s="31"/>
      <c r="F193" s="31"/>
      <c r="G193" s="31"/>
      <c r="H193" s="31"/>
      <c r="I193" s="157"/>
      <c r="J193" s="257"/>
      <c r="K193" s="12"/>
      <c r="L193" s="13"/>
    </row>
    <row r="194" spans="2:12" ht="23.25" customHeight="1" x14ac:dyDescent="0.3">
      <c r="B194" s="1"/>
      <c r="C194" s="485" t="s">
        <v>530</v>
      </c>
      <c r="D194" s="486"/>
      <c r="E194" s="487"/>
      <c r="F194" s="487"/>
      <c r="G194" s="487"/>
      <c r="H194" s="488"/>
      <c r="I194" s="158"/>
      <c r="J194" s="258"/>
      <c r="K194" s="1"/>
    </row>
    <row r="195" spans="2:12" ht="51.75" customHeight="1" x14ac:dyDescent="0.3">
      <c r="B195" s="1"/>
      <c r="C195" s="27"/>
      <c r="D195" s="178" t="str">
        <f>D5</f>
        <v>Organisation recipiendiaire 1 (budget en USD)</v>
      </c>
      <c r="E195" s="178" t="str">
        <f t="shared" ref="E195:F195" si="17">E5</f>
        <v>Organisation recipiendiaire 2 (budget en USD)</v>
      </c>
      <c r="F195" s="178" t="str">
        <f t="shared" si="17"/>
        <v>Organisation recipiendiaire 3 (budget en USD)</v>
      </c>
      <c r="G195" s="172" t="s">
        <v>11</v>
      </c>
      <c r="H195" s="173" t="s">
        <v>9</v>
      </c>
      <c r="I195" s="158"/>
      <c r="J195" s="258"/>
      <c r="K195" s="1"/>
    </row>
    <row r="196" spans="2:12" ht="55.5" customHeight="1" x14ac:dyDescent="0.3">
      <c r="B196" s="1"/>
      <c r="C196" s="26" t="s">
        <v>531</v>
      </c>
      <c r="D196" s="93">
        <f>$D$191*H196</f>
        <v>525000.00200517429</v>
      </c>
      <c r="E196" s="94">
        <f>$E$191*H196</f>
        <v>0</v>
      </c>
      <c r="F196" s="94">
        <f>$F$191*H196</f>
        <v>0</v>
      </c>
      <c r="G196" s="94">
        <f>SUM(D196:F196)</f>
        <v>525000.00200517429</v>
      </c>
      <c r="H196" s="125">
        <v>0.35</v>
      </c>
      <c r="I196" s="155"/>
      <c r="J196" s="256"/>
      <c r="K196" s="1"/>
    </row>
    <row r="197" spans="2:12" ht="57.75" customHeight="1" x14ac:dyDescent="0.3">
      <c r="B197" s="484"/>
      <c r="C197" s="110" t="s">
        <v>532</v>
      </c>
      <c r="D197" s="93">
        <f>$D$191*H197</f>
        <v>525000.00200517429</v>
      </c>
      <c r="E197" s="94">
        <f>$E$191*H197</f>
        <v>0</v>
      </c>
      <c r="F197" s="94">
        <f>$F$191*H197</f>
        <v>0</v>
      </c>
      <c r="G197" s="111">
        <f>SUM(D197:F197)</f>
        <v>525000.00200517429</v>
      </c>
      <c r="H197" s="126">
        <v>0.35</v>
      </c>
      <c r="I197" s="155"/>
      <c r="J197" s="256"/>
    </row>
    <row r="198" spans="2:12" ht="57.75" customHeight="1" x14ac:dyDescent="0.3">
      <c r="B198" s="484"/>
      <c r="C198" s="110" t="s">
        <v>533</v>
      </c>
      <c r="D198" s="93">
        <f>$D$191*H198</f>
        <v>450000.00171872083</v>
      </c>
      <c r="E198" s="94">
        <f>$E$191*H198</f>
        <v>0</v>
      </c>
      <c r="F198" s="94">
        <f>$F$191*H198</f>
        <v>0</v>
      </c>
      <c r="G198" s="111">
        <f>SUM(D198:F198)</f>
        <v>450000.00171872083</v>
      </c>
      <c r="H198" s="127">
        <v>0.3</v>
      </c>
      <c r="I198" s="159"/>
      <c r="J198" s="256"/>
    </row>
    <row r="199" spans="2:12" ht="38.25" customHeight="1" thickBot="1" x14ac:dyDescent="0.35">
      <c r="B199" s="484"/>
      <c r="C199" s="8" t="s">
        <v>11</v>
      </c>
      <c r="D199" s="95">
        <f>SUM(D196:D198)</f>
        <v>1500000.0057290695</v>
      </c>
      <c r="E199" s="95">
        <f>SUM(E196:E198)</f>
        <v>0</v>
      </c>
      <c r="F199" s="95">
        <f>SUM(F196:F198)</f>
        <v>0</v>
      </c>
      <c r="G199" s="95">
        <f>SUM(G196:G198)</f>
        <v>1500000.0057290695</v>
      </c>
      <c r="H199" s="96">
        <f>SUM(H196:H198)</f>
        <v>1</v>
      </c>
      <c r="I199" s="160"/>
      <c r="J199" s="258"/>
    </row>
    <row r="200" spans="2:12" ht="21.75" customHeight="1" thickBot="1" x14ac:dyDescent="0.35">
      <c r="B200" s="484"/>
      <c r="C200" s="2"/>
      <c r="D200" s="7"/>
      <c r="E200" s="7"/>
      <c r="F200" s="7"/>
      <c r="G200" s="7"/>
      <c r="H200" s="7"/>
      <c r="I200" s="161"/>
      <c r="J200" s="257"/>
    </row>
    <row r="201" spans="2:12" ht="49.5" customHeight="1" x14ac:dyDescent="0.3">
      <c r="B201" s="484"/>
      <c r="C201" s="97" t="s">
        <v>585</v>
      </c>
      <c r="D201" s="98">
        <f>SUM(H16,H26,H36,H46,H58,H68,H78,H88,H100,H110,H120,H130,H142,H152,H162,H172,H179)*1.07</f>
        <v>1393793.584007547</v>
      </c>
      <c r="E201" s="31"/>
      <c r="F201" s="31"/>
      <c r="G201" s="31"/>
      <c r="H201" s="163" t="s">
        <v>587</v>
      </c>
      <c r="I201" s="164">
        <f>SUM(I179,I172,I162,I152,I142,I130,I120,I110,I100,I88,I78,I68,I58,I46,I36,I26,I16)</f>
        <v>875541.9141155181</v>
      </c>
    </row>
    <row r="202" spans="2:12" ht="28.5" customHeight="1" thickBot="1" x14ac:dyDescent="0.35">
      <c r="B202" s="484"/>
      <c r="C202" s="99" t="s">
        <v>534</v>
      </c>
      <c r="D202" s="220">
        <f>D201/G191</f>
        <v>0.92919571912274679</v>
      </c>
      <c r="E202" s="221"/>
      <c r="F202" s="221"/>
      <c r="G202" s="221"/>
      <c r="H202" s="222" t="s">
        <v>588</v>
      </c>
      <c r="I202" s="223">
        <f>I201/G189</f>
        <v>0.62455322968366378</v>
      </c>
      <c r="J202" s="259"/>
    </row>
    <row r="203" spans="2:12" ht="28.5" customHeight="1" x14ac:dyDescent="0.3">
      <c r="B203" s="484"/>
      <c r="C203" s="491"/>
      <c r="D203" s="492"/>
      <c r="E203" s="36"/>
      <c r="F203" s="36"/>
      <c r="G203" s="36"/>
    </row>
    <row r="204" spans="2:12" ht="28.5" customHeight="1" x14ac:dyDescent="0.3">
      <c r="B204" s="484"/>
      <c r="C204" s="99" t="s">
        <v>586</v>
      </c>
      <c r="D204" s="224">
        <f>SUM(D177:F178)*1.07</f>
        <v>107878.25604394883</v>
      </c>
      <c r="E204" s="225"/>
      <c r="F204" s="225"/>
      <c r="G204" s="225"/>
    </row>
    <row r="205" spans="2:12" ht="23.25" customHeight="1" x14ac:dyDescent="0.3">
      <c r="B205" s="484"/>
      <c r="C205" s="99" t="s">
        <v>535</v>
      </c>
      <c r="D205" s="220">
        <f>D204/G191</f>
        <v>7.1918837087947204E-2</v>
      </c>
      <c r="E205" s="225"/>
      <c r="F205" s="225"/>
      <c r="G205" s="225"/>
    </row>
    <row r="206" spans="2:12" ht="66.75" customHeight="1" thickBot="1" x14ac:dyDescent="0.35">
      <c r="B206" s="484"/>
      <c r="C206" s="489" t="s">
        <v>576</v>
      </c>
      <c r="D206" s="490"/>
      <c r="E206" s="32"/>
      <c r="F206" s="32"/>
      <c r="G206" s="32"/>
      <c r="I206" s="177"/>
    </row>
    <row r="207" spans="2:12" ht="55.5" customHeight="1" x14ac:dyDescent="0.3">
      <c r="B207" s="484"/>
      <c r="L207" s="211"/>
    </row>
    <row r="208" spans="2:12" ht="42.75" customHeight="1" x14ac:dyDescent="0.3">
      <c r="B208" s="484"/>
    </row>
    <row r="209" spans="2:2" ht="21.75" customHeight="1" x14ac:dyDescent="0.3">
      <c r="B209" s="484"/>
    </row>
    <row r="210" spans="2:2" ht="21.75" customHeight="1" x14ac:dyDescent="0.3">
      <c r="B210" s="484"/>
    </row>
    <row r="211" spans="2:2" ht="23.25" customHeight="1" x14ac:dyDescent="0.3">
      <c r="B211" s="484"/>
    </row>
    <row r="212" spans="2:2" ht="23.25" customHeight="1" x14ac:dyDescent="0.3"/>
    <row r="213" spans="2:2" ht="21.75" customHeight="1" x14ac:dyDescent="0.3"/>
    <row r="214" spans="2:2" ht="16.5" customHeight="1" x14ac:dyDescent="0.3"/>
    <row r="215" spans="2:2" ht="29.25" customHeight="1" x14ac:dyDescent="0.3"/>
    <row r="216" spans="2:2" ht="24.75" customHeight="1" x14ac:dyDescent="0.3"/>
    <row r="217" spans="2:2" ht="33" customHeight="1" x14ac:dyDescent="0.3"/>
    <row r="219" spans="2:2" ht="15" customHeight="1" x14ac:dyDescent="0.3"/>
    <row r="220" spans="2:2" ht="25.5" customHeight="1" x14ac:dyDescent="0.3"/>
    <row r="271" spans="1:1" x14ac:dyDescent="0.3">
      <c r="A271" s="205" t="s">
        <v>583</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B2:E2"/>
    <mergeCell ref="B3:H3"/>
    <mergeCell ref="C27:K27"/>
    <mergeCell ref="C6:K6"/>
    <mergeCell ref="C7:K7"/>
    <mergeCell ref="C17:K17"/>
    <mergeCell ref="C48:K48"/>
    <mergeCell ref="C49:K49"/>
    <mergeCell ref="C59:K59"/>
    <mergeCell ref="C69:K69"/>
    <mergeCell ref="C79:K79"/>
    <mergeCell ref="C143:K143"/>
    <mergeCell ref="C133:K133"/>
    <mergeCell ref="C101:K101"/>
    <mergeCell ref="C90:K90"/>
    <mergeCell ref="C91:K91"/>
    <mergeCell ref="C111:K111"/>
    <mergeCell ref="C132:K132"/>
    <mergeCell ref="C121:K121"/>
  </mergeCells>
  <conditionalFormatting sqref="D202">
    <cfRule type="cellIs" dxfId="25" priority="46" operator="lessThan">
      <formula>0.15</formula>
    </cfRule>
  </conditionalFormatting>
  <conditionalFormatting sqref="D205">
    <cfRule type="cellIs" dxfId="24" priority="44" operator="lessThan">
      <formula>0.05</formula>
    </cfRule>
  </conditionalFormatting>
  <conditionalFormatting sqref="H199:J199">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400-000000000000}"/>
    <dataValidation allowBlank="1" showInputMessage="1" showErrorMessage="1" prompt="M&amp;E Budget Cannot be Less than 5%_x000a_" sqref="E205:G205" xr:uid="{00000000-0002-0000-0400-000001000000}"/>
    <dataValidation allowBlank="1" showInputMessage="1" showErrorMessage="1" prompt="Insert *text* description of Outcome here" sqref="C6:K6 C48:K48 C90:K90 C132:K132" xr:uid="{00000000-0002-0000-0400-000002000000}"/>
    <dataValidation allowBlank="1" showInputMessage="1" showErrorMessage="1" prompt="Insert *text* description of Output here" sqref="C7 C17 C27 C37 C49 C59 C69 C79 C91 C101 C111 C121 C133 C143 C153 C163" xr:uid="{00000000-0002-0000-0400-000003000000}"/>
    <dataValidation allowBlank="1" showInputMessage="1" showErrorMessage="1" prompt="Insert *text* description of Activity here" sqref="C8 C18 C28 C38 C50 C60 C70 C80 C92 C102 C112 C122 C134 C144 C154 C164" xr:uid="{00000000-0002-0000-0400-000004000000}"/>
    <dataValidation allowBlank="1" showErrorMessage="1" prompt="% Towards Gender Equality and Women's Empowerment Must be Higher than 15%_x000a_" sqref="D204:G204 D202" xr:uid="{00000000-0002-0000-0400-000005000000}"/>
  </dataValidations>
  <pageMargins left="0.7" right="0.7" top="0.75" bottom="0.75" header="0.3" footer="0.3"/>
  <pageSetup scale="38" fitToHeight="0" orientation="landscape" r:id="rId1"/>
  <rowBreaks count="1" manualBreakCount="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1:N244"/>
  <sheetViews>
    <sheetView showGridLines="0" showZeros="0" zoomScale="80" zoomScaleNormal="80" workbookViewId="0">
      <pane ySplit="4" topLeftCell="A5" activePane="bottomLeft" state="frozen"/>
      <selection activeCell="F3" sqref="F3"/>
      <selection pane="bottomLeft" activeCell="C24" sqref="C24"/>
    </sheetView>
  </sheetViews>
  <sheetFormatPr defaultColWidth="9.109375" defaultRowHeight="15.6" x14ac:dyDescent="0.3"/>
  <cols>
    <col min="1" max="1" width="4.44140625" style="44" customWidth="1"/>
    <col min="2" max="2" width="3.33203125" style="44" customWidth="1"/>
    <col min="3" max="3" width="51.44140625" style="44" customWidth="1"/>
    <col min="4" max="4" width="34.33203125" style="45" customWidth="1"/>
    <col min="5" max="5" width="35" style="45" customWidth="1"/>
    <col min="6" max="6" width="34" style="45" customWidth="1"/>
    <col min="7" max="7" width="25.6640625" style="44" customWidth="1"/>
    <col min="8" max="8" width="21.44140625" style="44" customWidth="1"/>
    <col min="9" max="9" width="16.88671875" style="44" customWidth="1"/>
    <col min="10" max="10" width="19.44140625" style="44" customWidth="1"/>
    <col min="11" max="11" width="19" style="44" customWidth="1"/>
    <col min="12" max="12" width="26" style="44" customWidth="1"/>
    <col min="13" max="13" width="21.109375" style="44" customWidth="1"/>
    <col min="14" max="14" width="7" style="44" customWidth="1"/>
    <col min="15" max="15" width="24.33203125" style="44" customWidth="1"/>
    <col min="16" max="16" width="26.44140625" style="44" customWidth="1"/>
    <col min="17" max="17" width="30.109375" style="44" customWidth="1"/>
    <col min="18" max="18" width="33" style="44" customWidth="1"/>
    <col min="19" max="20" width="22.6640625" style="44" customWidth="1"/>
    <col min="21" max="21" width="23.44140625" style="44" customWidth="1"/>
    <col min="22" max="22" width="32.109375" style="44" customWidth="1"/>
    <col min="23" max="23" width="9.109375" style="44"/>
    <col min="24" max="24" width="17.6640625" style="44" customWidth="1"/>
    <col min="25" max="25" width="26.44140625" style="44" customWidth="1"/>
    <col min="26" max="26" width="22.44140625" style="44" customWidth="1"/>
    <col min="27" max="27" width="29.6640625" style="44" customWidth="1"/>
    <col min="28" max="28" width="23.44140625" style="44" customWidth="1"/>
    <col min="29" max="29" width="18.44140625" style="44" customWidth="1"/>
    <col min="30" max="30" width="17.44140625" style="44" customWidth="1"/>
    <col min="31" max="31" width="25.109375" style="44" customWidth="1"/>
    <col min="32" max="16384" width="9.109375" style="44"/>
  </cols>
  <sheetData>
    <row r="1" spans="2:13" ht="33.75" customHeight="1" x14ac:dyDescent="0.85">
      <c r="C1" s="471" t="s">
        <v>520</v>
      </c>
      <c r="D1" s="471"/>
      <c r="E1" s="471"/>
      <c r="F1" s="471"/>
      <c r="G1" s="33"/>
      <c r="H1" s="34"/>
      <c r="I1" s="34"/>
      <c r="L1" s="20"/>
      <c r="M1" s="5"/>
    </row>
    <row r="2" spans="2:13" ht="25.5" customHeight="1" x14ac:dyDescent="0.35">
      <c r="C2" s="496" t="s">
        <v>577</v>
      </c>
      <c r="D2" s="496"/>
      <c r="E2" s="496"/>
      <c r="F2" s="496"/>
      <c r="L2" s="20"/>
      <c r="M2" s="5"/>
    </row>
    <row r="3" spans="2:13" ht="9.75" customHeight="1" x14ac:dyDescent="0.3">
      <c r="C3" s="38"/>
      <c r="D3" s="38"/>
      <c r="E3" s="38"/>
      <c r="F3" s="38"/>
      <c r="L3" s="20"/>
      <c r="M3" s="5"/>
    </row>
    <row r="4" spans="2:13" ht="33.75" customHeight="1" x14ac:dyDescent="0.3">
      <c r="C4" s="38"/>
      <c r="D4" s="178" t="str">
        <f>'1) Tableau budgétaire 1'!D5</f>
        <v>Organisation recipiendiaire 1 (budget en USD)</v>
      </c>
      <c r="E4" s="178" t="str">
        <f>'1) Tableau budgétaire 1'!E5</f>
        <v>Organisation recipiendiaire 2 (budget en USD)</v>
      </c>
      <c r="F4" s="178" t="str">
        <f>'1) Tableau budgétaire 1'!F5</f>
        <v>Organisation recipiendiaire 3 (budget en USD)</v>
      </c>
      <c r="G4" s="172" t="s">
        <v>11</v>
      </c>
      <c r="L4" s="20"/>
      <c r="M4" s="5"/>
    </row>
    <row r="5" spans="2:13" ht="24" customHeight="1" x14ac:dyDescent="0.3">
      <c r="B5" s="497" t="s">
        <v>537</v>
      </c>
      <c r="C5" s="498"/>
      <c r="D5" s="498"/>
      <c r="E5" s="498"/>
      <c r="F5" s="498"/>
      <c r="G5" s="499"/>
      <c r="L5" s="20"/>
      <c r="M5" s="5"/>
    </row>
    <row r="6" spans="2:13" ht="22.5" customHeight="1" x14ac:dyDescent="0.3">
      <c r="C6" s="497" t="s">
        <v>538</v>
      </c>
      <c r="D6" s="498"/>
      <c r="E6" s="498"/>
      <c r="F6" s="498"/>
      <c r="G6" s="499"/>
      <c r="L6" s="20"/>
      <c r="M6" s="5"/>
    </row>
    <row r="7" spans="2:13" ht="24.75" customHeight="1" thickBot="1" x14ac:dyDescent="0.35">
      <c r="C7" s="54" t="s">
        <v>539</v>
      </c>
      <c r="D7" s="55">
        <f>'1) Tableau budgétaire 1'!D16</f>
        <v>287273.94790592993</v>
      </c>
      <c r="E7" s="55">
        <f>'1) Tableau budgétaire 1'!E16</f>
        <v>0</v>
      </c>
      <c r="F7" s="55">
        <f>'1) Tableau budgétaire 1'!F16</f>
        <v>0</v>
      </c>
      <c r="G7" s="56">
        <f>SUM(D7:F7)</f>
        <v>287273.94790592993</v>
      </c>
      <c r="L7" s="20"/>
      <c r="M7" s="5"/>
    </row>
    <row r="8" spans="2:13" ht="21.75" customHeight="1" x14ac:dyDescent="0.3">
      <c r="C8" s="52" t="s">
        <v>540</v>
      </c>
      <c r="D8" s="86">
        <f>TCD_2!D61+TCD_2!F12</f>
        <v>232560.50966473599</v>
      </c>
      <c r="E8" s="87"/>
      <c r="F8" s="87"/>
      <c r="G8" s="53">
        <f t="shared" ref="G8:G15" si="0">SUM(D8:F8)</f>
        <v>232560.50966473599</v>
      </c>
    </row>
    <row r="9" spans="2:13" x14ac:dyDescent="0.3">
      <c r="C9" s="42" t="s">
        <v>541</v>
      </c>
      <c r="D9" s="88">
        <f>TCD_2!E61</f>
        <v>29000</v>
      </c>
      <c r="E9" s="17"/>
      <c r="F9" s="17"/>
      <c r="G9" s="51">
        <f t="shared" si="0"/>
        <v>29000</v>
      </c>
    </row>
    <row r="10" spans="2:13" ht="15.75" customHeight="1" x14ac:dyDescent="0.3">
      <c r="C10" s="42" t="s">
        <v>542</v>
      </c>
      <c r="D10" s="88">
        <f>TCD_2!G12</f>
        <v>1106.7306448209008</v>
      </c>
      <c r="E10" s="88"/>
      <c r="F10" s="88"/>
      <c r="G10" s="51">
        <f t="shared" si="0"/>
        <v>1106.7306448209008</v>
      </c>
    </row>
    <row r="11" spans="2:13" x14ac:dyDescent="0.3">
      <c r="C11" s="43" t="s">
        <v>543</v>
      </c>
      <c r="D11" s="88"/>
      <c r="E11" s="88"/>
      <c r="F11" s="88"/>
      <c r="G11" s="51">
        <f t="shared" si="0"/>
        <v>0</v>
      </c>
    </row>
    <row r="12" spans="2:13" x14ac:dyDescent="0.3">
      <c r="C12" s="42" t="s">
        <v>544</v>
      </c>
      <c r="D12" s="88">
        <f>TCD_2!H12+TCD_2!G61</f>
        <v>18896.080766995539</v>
      </c>
      <c r="E12" s="88"/>
      <c r="F12" s="88"/>
      <c r="G12" s="51">
        <f t="shared" si="0"/>
        <v>18896.080766995539</v>
      </c>
    </row>
    <row r="13" spans="2:13" ht="21.75" customHeight="1" x14ac:dyDescent="0.3">
      <c r="C13" s="42" t="s">
        <v>545</v>
      </c>
      <c r="D13" s="88"/>
      <c r="E13" s="88"/>
      <c r="F13" s="88"/>
      <c r="G13" s="51">
        <f t="shared" si="0"/>
        <v>0</v>
      </c>
    </row>
    <row r="14" spans="2:13" ht="36.75" customHeight="1" x14ac:dyDescent="0.3">
      <c r="C14" s="42" t="s">
        <v>546</v>
      </c>
      <c r="D14" s="88">
        <f>TCD_2!I12</f>
        <v>5710.626829377492</v>
      </c>
      <c r="E14" s="88"/>
      <c r="F14" s="88"/>
      <c r="G14" s="51">
        <f t="shared" si="0"/>
        <v>5710.626829377492</v>
      </c>
    </row>
    <row r="15" spans="2:13" ht="15.75" customHeight="1" x14ac:dyDescent="0.3">
      <c r="C15" s="46" t="s">
        <v>14</v>
      </c>
      <c r="D15" s="57">
        <f>SUM(D8:D14)</f>
        <v>287273.94790592993</v>
      </c>
      <c r="E15" s="57">
        <f>SUM(E8:E14)</f>
        <v>0</v>
      </c>
      <c r="F15" s="57">
        <f>SUM(F8:F14)</f>
        <v>0</v>
      </c>
      <c r="G15" s="117">
        <f t="shared" si="0"/>
        <v>287273.94790592993</v>
      </c>
    </row>
    <row r="16" spans="2:13" s="45" customFormat="1" x14ac:dyDescent="0.3">
      <c r="C16" s="58"/>
      <c r="D16" s="59"/>
      <c r="E16" s="59"/>
      <c r="F16" s="59"/>
      <c r="G16" s="118"/>
    </row>
    <row r="17" spans="3:7" x14ac:dyDescent="0.3">
      <c r="C17" s="497" t="s">
        <v>547</v>
      </c>
      <c r="D17" s="498"/>
      <c r="E17" s="498"/>
      <c r="F17" s="498"/>
      <c r="G17" s="499"/>
    </row>
    <row r="18" spans="3:7" ht="27" customHeight="1" thickBot="1" x14ac:dyDescent="0.35">
      <c r="C18" s="54" t="s">
        <v>548</v>
      </c>
      <c r="D18" s="55">
        <f>'1) Tableau budgétaire 1'!D26</f>
        <v>92446.071951899197</v>
      </c>
      <c r="E18" s="55">
        <f>'1) Tableau budgétaire 1'!E26</f>
        <v>0</v>
      </c>
      <c r="F18" s="55">
        <f>'1) Tableau budgétaire 1'!F26</f>
        <v>0</v>
      </c>
      <c r="G18" s="56">
        <f t="shared" ref="G18:G26" si="1">SUM(D18:F18)</f>
        <v>92446.071951899197</v>
      </c>
    </row>
    <row r="19" spans="3:7" x14ac:dyDescent="0.3">
      <c r="C19" s="52" t="s">
        <v>540</v>
      </c>
      <c r="D19" s="86">
        <f>TCD_2!F13+TCD_2!D68</f>
        <v>21279.21157553434</v>
      </c>
      <c r="E19" s="87"/>
      <c r="F19" s="87"/>
      <c r="G19" s="53">
        <f t="shared" si="1"/>
        <v>21279.21157553434</v>
      </c>
    </row>
    <row r="20" spans="3:7" x14ac:dyDescent="0.3">
      <c r="C20" s="42" t="s">
        <v>541</v>
      </c>
      <c r="D20" s="88">
        <f>TCD_2!E68</f>
        <v>20502</v>
      </c>
      <c r="E20" s="17"/>
      <c r="F20" s="17"/>
      <c r="G20" s="51">
        <f t="shared" si="1"/>
        <v>20502</v>
      </c>
    </row>
    <row r="21" spans="3:7" ht="31.2" x14ac:dyDescent="0.3">
      <c r="C21" s="42" t="s">
        <v>542</v>
      </c>
      <c r="D21" s="88">
        <f>TCD_2!G13</f>
        <v>356.1509895634112</v>
      </c>
      <c r="E21" s="88"/>
      <c r="F21" s="88"/>
      <c r="G21" s="51">
        <f t="shared" si="1"/>
        <v>356.1509895634112</v>
      </c>
    </row>
    <row r="22" spans="3:7" x14ac:dyDescent="0.3">
      <c r="C22" s="43" t="s">
        <v>543</v>
      </c>
      <c r="D22" s="88">
        <f>TCD_2!F68</f>
        <v>22828.655590903989</v>
      </c>
      <c r="E22" s="88"/>
      <c r="F22" s="88"/>
      <c r="G22" s="51">
        <f t="shared" si="1"/>
        <v>22828.655590903989</v>
      </c>
    </row>
    <row r="23" spans="3:7" x14ac:dyDescent="0.3">
      <c r="C23" s="42" t="s">
        <v>544</v>
      </c>
      <c r="D23" s="88">
        <f>TCD_2!H13</f>
        <v>642.34793148697668</v>
      </c>
      <c r="E23" s="88"/>
      <c r="F23" s="88"/>
      <c r="G23" s="51">
        <f t="shared" si="1"/>
        <v>642.34793148697668</v>
      </c>
    </row>
    <row r="24" spans="3:7" x14ac:dyDescent="0.3">
      <c r="C24" s="42" t="s">
        <v>545</v>
      </c>
      <c r="D24" s="88">
        <f>TCD_2!H68</f>
        <v>25000</v>
      </c>
      <c r="E24" s="88"/>
      <c r="F24" s="88"/>
      <c r="G24" s="51">
        <f t="shared" si="1"/>
        <v>25000</v>
      </c>
    </row>
    <row r="25" spans="3:7" ht="31.2" x14ac:dyDescent="0.3">
      <c r="C25" s="42" t="s">
        <v>546</v>
      </c>
      <c r="D25" s="88">
        <f>TCD_2!I13</f>
        <v>1837.7058644104777</v>
      </c>
      <c r="E25" s="88"/>
      <c r="F25" s="88"/>
      <c r="G25" s="51">
        <f t="shared" si="1"/>
        <v>1837.7058644104777</v>
      </c>
    </row>
    <row r="26" spans="3:7" x14ac:dyDescent="0.3">
      <c r="C26" s="46" t="s">
        <v>14</v>
      </c>
      <c r="D26" s="57">
        <f>SUM(D19:D25)</f>
        <v>92446.071951899197</v>
      </c>
      <c r="E26" s="57">
        <f>SUM(E19:E25)</f>
        <v>0</v>
      </c>
      <c r="F26" s="57">
        <f>SUM(F19:F25)</f>
        <v>0</v>
      </c>
      <c r="G26" s="51">
        <f t="shared" si="1"/>
        <v>92446.071951899197</v>
      </c>
    </row>
    <row r="27" spans="3:7" s="45" customFormat="1" x14ac:dyDescent="0.3">
      <c r="C27" s="58"/>
      <c r="D27" s="59"/>
      <c r="E27" s="59"/>
      <c r="F27" s="59"/>
      <c r="G27" s="60"/>
    </row>
    <row r="28" spans="3:7" x14ac:dyDescent="0.3">
      <c r="C28" s="497" t="s">
        <v>549</v>
      </c>
      <c r="D28" s="498"/>
      <c r="E28" s="498"/>
      <c r="F28" s="498"/>
      <c r="G28" s="499"/>
    </row>
    <row r="29" spans="3:7" ht="21.75" customHeight="1" thickBot="1" x14ac:dyDescent="0.35">
      <c r="C29" s="54" t="s">
        <v>550</v>
      </c>
      <c r="D29" s="55">
        <f>'1) Tableau budgétaire 1'!D36</f>
        <v>0</v>
      </c>
      <c r="E29" s="55">
        <f>'1) Tableau budgétaire 1'!E36</f>
        <v>0</v>
      </c>
      <c r="F29" s="55">
        <f>'1) Tableau budgétaire 1'!F36</f>
        <v>0</v>
      </c>
      <c r="G29" s="56">
        <f t="shared" ref="G29:G37" si="2">SUM(D29:F29)</f>
        <v>0</v>
      </c>
    </row>
    <row r="30" spans="3:7" x14ac:dyDescent="0.3">
      <c r="C30" s="52" t="s">
        <v>540</v>
      </c>
      <c r="D30" s="86"/>
      <c r="E30" s="87"/>
      <c r="F30" s="87"/>
      <c r="G30" s="53">
        <f t="shared" si="2"/>
        <v>0</v>
      </c>
    </row>
    <row r="31" spans="3:7" s="45" customFormat="1" ht="15.75" customHeight="1" x14ac:dyDescent="0.3">
      <c r="C31" s="42" t="s">
        <v>541</v>
      </c>
      <c r="D31" s="88"/>
      <c r="E31" s="17"/>
      <c r="F31" s="17"/>
      <c r="G31" s="51">
        <f t="shared" si="2"/>
        <v>0</v>
      </c>
    </row>
    <row r="32" spans="3:7" s="45" customFormat="1" ht="31.2" x14ac:dyDescent="0.3">
      <c r="C32" s="42" t="s">
        <v>542</v>
      </c>
      <c r="D32" s="88"/>
      <c r="E32" s="88"/>
      <c r="F32" s="88"/>
      <c r="G32" s="51">
        <f t="shared" si="2"/>
        <v>0</v>
      </c>
    </row>
    <row r="33" spans="3:7" s="45" customFormat="1" x14ac:dyDescent="0.3">
      <c r="C33" s="43" t="s">
        <v>543</v>
      </c>
      <c r="D33" s="88">
        <v>0</v>
      </c>
      <c r="E33" s="88"/>
      <c r="F33" s="88"/>
      <c r="G33" s="51">
        <f t="shared" si="2"/>
        <v>0</v>
      </c>
    </row>
    <row r="34" spans="3:7" x14ac:dyDescent="0.3">
      <c r="C34" s="42" t="s">
        <v>544</v>
      </c>
      <c r="D34" s="88">
        <v>0</v>
      </c>
      <c r="E34" s="88"/>
      <c r="F34" s="88"/>
      <c r="G34" s="51">
        <f t="shared" si="2"/>
        <v>0</v>
      </c>
    </row>
    <row r="35" spans="3:7" x14ac:dyDescent="0.3">
      <c r="C35" s="42" t="s">
        <v>545</v>
      </c>
      <c r="D35" s="88"/>
      <c r="E35" s="88"/>
      <c r="F35" s="88"/>
      <c r="G35" s="51">
        <f t="shared" si="2"/>
        <v>0</v>
      </c>
    </row>
    <row r="36" spans="3:7" ht="31.2" x14ac:dyDescent="0.3">
      <c r="C36" s="42" t="s">
        <v>546</v>
      </c>
      <c r="D36" s="88"/>
      <c r="E36" s="88"/>
      <c r="F36" s="88"/>
      <c r="G36" s="51">
        <f t="shared" si="2"/>
        <v>0</v>
      </c>
    </row>
    <row r="37" spans="3:7" x14ac:dyDescent="0.3">
      <c r="C37" s="129" t="s">
        <v>14</v>
      </c>
      <c r="D37" s="130">
        <f>SUM(D30:D36)</f>
        <v>0</v>
      </c>
      <c r="E37" s="130">
        <f>SUM(E30:E36)</f>
        <v>0</v>
      </c>
      <c r="F37" s="130">
        <f>SUM(F30:F36)</f>
        <v>0</v>
      </c>
      <c r="G37" s="131">
        <f t="shared" si="2"/>
        <v>0</v>
      </c>
    </row>
    <row r="38" spans="3:7" x14ac:dyDescent="0.3">
      <c r="C38" s="132"/>
      <c r="D38" s="133"/>
      <c r="E38" s="133"/>
      <c r="F38" s="133"/>
      <c r="G38" s="134"/>
    </row>
    <row r="39" spans="3:7" s="45" customFormat="1" x14ac:dyDescent="0.3">
      <c r="C39" s="500" t="s">
        <v>551</v>
      </c>
      <c r="D39" s="501"/>
      <c r="E39" s="501"/>
      <c r="F39" s="501"/>
      <c r="G39" s="502"/>
    </row>
    <row r="40" spans="3:7" ht="20.25" customHeight="1" thickBot="1" x14ac:dyDescent="0.35">
      <c r="C40" s="54" t="s">
        <v>552</v>
      </c>
      <c r="D40" s="55">
        <f>'1) Tableau budgétaire 1'!D46</f>
        <v>0</v>
      </c>
      <c r="E40" s="55">
        <f>'1) Tableau budgétaire 1'!E46</f>
        <v>0</v>
      </c>
      <c r="F40" s="55">
        <f>'1) Tableau budgétaire 1'!F46</f>
        <v>0</v>
      </c>
      <c r="G40" s="56">
        <f t="shared" ref="G40:G48" si="3">SUM(D40:F40)</f>
        <v>0</v>
      </c>
    </row>
    <row r="41" spans="3:7" x14ac:dyDescent="0.3">
      <c r="C41" s="52" t="s">
        <v>540</v>
      </c>
      <c r="D41" s="86"/>
      <c r="E41" s="87"/>
      <c r="F41" s="87"/>
      <c r="G41" s="53">
        <f t="shared" si="3"/>
        <v>0</v>
      </c>
    </row>
    <row r="42" spans="3:7" ht="15.75" customHeight="1" x14ac:dyDescent="0.3">
      <c r="C42" s="42" t="s">
        <v>541</v>
      </c>
      <c r="D42" s="88"/>
      <c r="E42" s="17"/>
      <c r="F42" s="17"/>
      <c r="G42" s="51">
        <f t="shared" si="3"/>
        <v>0</v>
      </c>
    </row>
    <row r="43" spans="3:7" ht="32.25" customHeight="1" x14ac:dyDescent="0.3">
      <c r="C43" s="42" t="s">
        <v>542</v>
      </c>
      <c r="D43" s="88"/>
      <c r="E43" s="88"/>
      <c r="F43" s="88"/>
      <c r="G43" s="51">
        <f t="shared" si="3"/>
        <v>0</v>
      </c>
    </row>
    <row r="44" spans="3:7" s="45" customFormat="1" x14ac:dyDescent="0.3">
      <c r="C44" s="43" t="s">
        <v>543</v>
      </c>
      <c r="D44" s="88"/>
      <c r="E44" s="88"/>
      <c r="F44" s="88"/>
      <c r="G44" s="51">
        <f t="shared" si="3"/>
        <v>0</v>
      </c>
    </row>
    <row r="45" spans="3:7" x14ac:dyDescent="0.3">
      <c r="C45" s="42" t="s">
        <v>544</v>
      </c>
      <c r="D45" s="88"/>
      <c r="E45" s="88"/>
      <c r="F45" s="88"/>
      <c r="G45" s="51">
        <f t="shared" si="3"/>
        <v>0</v>
      </c>
    </row>
    <row r="46" spans="3:7" x14ac:dyDescent="0.3">
      <c r="C46" s="42" t="s">
        <v>545</v>
      </c>
      <c r="D46" s="88"/>
      <c r="E46" s="88"/>
      <c r="F46" s="88"/>
      <c r="G46" s="51">
        <f t="shared" si="3"/>
        <v>0</v>
      </c>
    </row>
    <row r="47" spans="3:7" ht="31.2" x14ac:dyDescent="0.3">
      <c r="C47" s="42" t="s">
        <v>546</v>
      </c>
      <c r="D47" s="88"/>
      <c r="E47" s="88"/>
      <c r="F47" s="88"/>
      <c r="G47" s="51">
        <f t="shared" si="3"/>
        <v>0</v>
      </c>
    </row>
    <row r="48" spans="3:7" ht="21" customHeight="1" x14ac:dyDescent="0.3">
      <c r="C48" s="46" t="s">
        <v>14</v>
      </c>
      <c r="D48" s="57">
        <f>SUM(D41:D47)</f>
        <v>0</v>
      </c>
      <c r="E48" s="57">
        <f>SUM(E41:E47)</f>
        <v>0</v>
      </c>
      <c r="F48" s="57">
        <f>SUM(F41:F47)</f>
        <v>0</v>
      </c>
      <c r="G48" s="51">
        <f t="shared" si="3"/>
        <v>0</v>
      </c>
    </row>
    <row r="49" spans="2:7" s="45" customFormat="1" ht="22.5" customHeight="1" x14ac:dyDescent="0.3">
      <c r="C49" s="61"/>
      <c r="D49" s="59"/>
      <c r="E49" s="59"/>
      <c r="F49" s="59"/>
      <c r="G49" s="60"/>
    </row>
    <row r="50" spans="2:7" x14ac:dyDescent="0.3">
      <c r="B50" s="497" t="s">
        <v>553</v>
      </c>
      <c r="C50" s="498"/>
      <c r="D50" s="498"/>
      <c r="E50" s="498"/>
      <c r="F50" s="498"/>
      <c r="G50" s="499"/>
    </row>
    <row r="51" spans="2:7" x14ac:dyDescent="0.3">
      <c r="C51" s="497" t="s">
        <v>406</v>
      </c>
      <c r="D51" s="498"/>
      <c r="E51" s="498"/>
      <c r="F51" s="498"/>
      <c r="G51" s="499"/>
    </row>
    <row r="52" spans="2:7" ht="24" customHeight="1" thickBot="1" x14ac:dyDescent="0.35">
      <c r="C52" s="54" t="s">
        <v>554</v>
      </c>
      <c r="D52" s="55">
        <f>'1) Tableau budgétaire 1'!D58</f>
        <v>25799.951732765261</v>
      </c>
      <c r="E52" s="55">
        <f>'1) Tableau budgétaire 1'!E58</f>
        <v>0</v>
      </c>
      <c r="F52" s="55">
        <f>'1) Tableau budgétaire 1'!F58</f>
        <v>0</v>
      </c>
      <c r="G52" s="56">
        <f>SUM(D52:F52)</f>
        <v>25799.951732765261</v>
      </c>
    </row>
    <row r="53" spans="2:7" ht="15.75" customHeight="1" x14ac:dyDescent="0.3">
      <c r="C53" s="52" t="s">
        <v>540</v>
      </c>
      <c r="D53" s="86">
        <f>TCD_2!D71+TCD_2!F14</f>
        <v>11348.42057276961</v>
      </c>
      <c r="E53" s="87"/>
      <c r="F53" s="87"/>
      <c r="G53" s="53">
        <f t="shared" ref="G53:G60" si="4">SUM(D53:F53)</f>
        <v>11348.42057276961</v>
      </c>
    </row>
    <row r="54" spans="2:7" ht="15.75" customHeight="1" x14ac:dyDescent="0.3">
      <c r="C54" s="42" t="s">
        <v>541</v>
      </c>
      <c r="D54" s="88">
        <f>TCD_2!E71</f>
        <v>13660</v>
      </c>
      <c r="E54" s="17"/>
      <c r="F54" s="17"/>
      <c r="G54" s="51">
        <f t="shared" si="4"/>
        <v>13660</v>
      </c>
    </row>
    <row r="55" spans="2:7" ht="15.75" customHeight="1" x14ac:dyDescent="0.3">
      <c r="C55" s="42" t="s">
        <v>542</v>
      </c>
      <c r="D55" s="88">
        <f>TCD_2!G14</f>
        <v>99.395011018895147</v>
      </c>
      <c r="E55" s="88"/>
      <c r="F55" s="88"/>
      <c r="G55" s="51">
        <f t="shared" si="4"/>
        <v>99.395011018895147</v>
      </c>
    </row>
    <row r="56" spans="2:7" ht="18.75" customHeight="1" x14ac:dyDescent="0.3">
      <c r="C56" s="43" t="s">
        <v>543</v>
      </c>
      <c r="D56" s="88"/>
      <c r="E56" s="88"/>
      <c r="F56" s="88"/>
      <c r="G56" s="51">
        <f t="shared" si="4"/>
        <v>0</v>
      </c>
    </row>
    <row r="57" spans="2:7" x14ac:dyDescent="0.3">
      <c r="C57" s="42" t="s">
        <v>544</v>
      </c>
      <c r="D57" s="88">
        <f>TCD_2!H14</f>
        <v>179.26716925980912</v>
      </c>
      <c r="E57" s="88"/>
      <c r="F57" s="88"/>
      <c r="G57" s="51">
        <f t="shared" si="4"/>
        <v>179.26716925980912</v>
      </c>
    </row>
    <row r="58" spans="2:7" s="45" customFormat="1" ht="21.75" customHeight="1" x14ac:dyDescent="0.3">
      <c r="B58" s="44"/>
      <c r="C58" s="42" t="s">
        <v>545</v>
      </c>
      <c r="D58" s="88"/>
      <c r="E58" s="88"/>
      <c r="F58" s="88"/>
      <c r="G58" s="51">
        <f t="shared" si="4"/>
        <v>0</v>
      </c>
    </row>
    <row r="59" spans="2:7" s="45" customFormat="1" ht="31.2" x14ac:dyDescent="0.3">
      <c r="B59" s="44"/>
      <c r="C59" s="42" t="s">
        <v>546</v>
      </c>
      <c r="D59" s="88">
        <f>TCD_2!I14</f>
        <v>512.8689797169468</v>
      </c>
      <c r="E59" s="88"/>
      <c r="F59" s="88"/>
      <c r="G59" s="51">
        <f t="shared" si="4"/>
        <v>512.8689797169468</v>
      </c>
    </row>
    <row r="60" spans="2:7" x14ac:dyDescent="0.3">
      <c r="C60" s="46" t="s">
        <v>14</v>
      </c>
      <c r="D60" s="57">
        <f>SUM(D53:D59)</f>
        <v>25799.951732765261</v>
      </c>
      <c r="E60" s="57">
        <f>SUM(E53:E59)</f>
        <v>0</v>
      </c>
      <c r="F60" s="57">
        <f>SUM(F53:F59)</f>
        <v>0</v>
      </c>
      <c r="G60" s="51">
        <f t="shared" si="4"/>
        <v>25799.951732765261</v>
      </c>
    </row>
    <row r="61" spans="2:7" s="45" customFormat="1" x14ac:dyDescent="0.3">
      <c r="C61" s="58"/>
      <c r="D61" s="59"/>
      <c r="E61" s="59"/>
      <c r="F61" s="59"/>
      <c r="G61" s="60"/>
    </row>
    <row r="62" spans="2:7" x14ac:dyDescent="0.3">
      <c r="B62" s="45"/>
      <c r="C62" s="497" t="s">
        <v>415</v>
      </c>
      <c r="D62" s="498"/>
      <c r="E62" s="498"/>
      <c r="F62" s="498"/>
      <c r="G62" s="499"/>
    </row>
    <row r="63" spans="2:7" ht="21.75" customHeight="1" thickBot="1" x14ac:dyDescent="0.35">
      <c r="C63" s="54" t="s">
        <v>555</v>
      </c>
      <c r="D63" s="55">
        <f>'1) Tableau budgétaire 1'!D68</f>
        <v>40214.231923969404</v>
      </c>
      <c r="E63" s="55">
        <f>'1) Tableau budgétaire 1'!E68</f>
        <v>0</v>
      </c>
      <c r="F63" s="55">
        <f>'1) Tableau budgétaire 1'!F68</f>
        <v>0</v>
      </c>
      <c r="G63" s="56">
        <f t="shared" ref="G63:G71" si="5">SUM(D63:F63)</f>
        <v>40214.231923969404</v>
      </c>
    </row>
    <row r="64" spans="2:7" ht="15.75" customHeight="1" x14ac:dyDescent="0.3">
      <c r="C64" s="52" t="s">
        <v>540</v>
      </c>
      <c r="D64" s="86">
        <f>TCD_2!F15+TCD_2!D72</f>
        <v>18610.476994006131</v>
      </c>
      <c r="E64" s="87"/>
      <c r="F64" s="87"/>
      <c r="G64" s="53">
        <f t="shared" si="5"/>
        <v>18610.476994006131</v>
      </c>
    </row>
    <row r="65" spans="2:7" ht="15.75" customHeight="1" x14ac:dyDescent="0.3">
      <c r="C65" s="42" t="s">
        <v>541</v>
      </c>
      <c r="D65" s="88">
        <f>TCD_2!E72</f>
        <v>20370</v>
      </c>
      <c r="E65" s="17"/>
      <c r="F65" s="17"/>
      <c r="G65" s="51">
        <f t="shared" si="5"/>
        <v>20370</v>
      </c>
    </row>
    <row r="66" spans="2:7" ht="15.75" customHeight="1" x14ac:dyDescent="0.3">
      <c r="C66" s="42" t="s">
        <v>542</v>
      </c>
      <c r="D66" s="88">
        <f>TCD_2!G15</f>
        <v>154.92641484763473</v>
      </c>
      <c r="E66" s="88"/>
      <c r="F66" s="88"/>
      <c r="G66" s="51">
        <f t="shared" si="5"/>
        <v>154.92641484763473</v>
      </c>
    </row>
    <row r="67" spans="2:7" x14ac:dyDescent="0.3">
      <c r="C67" s="43" t="s">
        <v>543</v>
      </c>
      <c r="D67" s="88"/>
      <c r="E67" s="88"/>
      <c r="F67" s="88"/>
      <c r="G67" s="51">
        <f t="shared" si="5"/>
        <v>0</v>
      </c>
    </row>
    <row r="68" spans="2:7" x14ac:dyDescent="0.3">
      <c r="C68" s="42" t="s">
        <v>544</v>
      </c>
      <c r="D68" s="88">
        <f>TCD_2!H15</f>
        <v>279.42267472586337</v>
      </c>
      <c r="E68" s="88"/>
      <c r="F68" s="88"/>
      <c r="G68" s="51">
        <f t="shared" si="5"/>
        <v>279.42267472586337</v>
      </c>
    </row>
    <row r="69" spans="2:7" x14ac:dyDescent="0.3">
      <c r="C69" s="42" t="s">
        <v>545</v>
      </c>
      <c r="D69" s="88"/>
      <c r="E69" s="88"/>
      <c r="F69" s="88"/>
      <c r="G69" s="51">
        <f t="shared" si="5"/>
        <v>0</v>
      </c>
    </row>
    <row r="70" spans="2:7" ht="31.2" x14ac:dyDescent="0.3">
      <c r="C70" s="42" t="s">
        <v>546</v>
      </c>
      <c r="D70" s="88">
        <f>TCD_2!I15</f>
        <v>799.40584038977545</v>
      </c>
      <c r="E70" s="88"/>
      <c r="F70" s="88"/>
      <c r="G70" s="51">
        <f t="shared" si="5"/>
        <v>799.40584038977545</v>
      </c>
    </row>
    <row r="71" spans="2:7" x14ac:dyDescent="0.3">
      <c r="C71" s="46" t="s">
        <v>14</v>
      </c>
      <c r="D71" s="57">
        <f>SUM(D64:D70)</f>
        <v>40214.231923969404</v>
      </c>
      <c r="E71" s="57">
        <f>SUM(E64:E70)</f>
        <v>0</v>
      </c>
      <c r="F71" s="57">
        <f>SUM(F64:F70)</f>
        <v>0</v>
      </c>
      <c r="G71" s="51">
        <f t="shared" si="5"/>
        <v>40214.231923969404</v>
      </c>
    </row>
    <row r="72" spans="2:7" s="45" customFormat="1" x14ac:dyDescent="0.3">
      <c r="C72" s="58"/>
      <c r="D72" s="59"/>
      <c r="E72" s="59"/>
      <c r="F72" s="59"/>
      <c r="G72" s="60"/>
    </row>
    <row r="73" spans="2:7" x14ac:dyDescent="0.3">
      <c r="C73" s="497" t="s">
        <v>424</v>
      </c>
      <c r="D73" s="498"/>
      <c r="E73" s="498"/>
      <c r="F73" s="498"/>
      <c r="G73" s="499"/>
    </row>
    <row r="74" spans="2:7" ht="21.75" customHeight="1" thickBot="1" x14ac:dyDescent="0.35">
      <c r="B74" s="45"/>
      <c r="C74" s="54" t="s">
        <v>556</v>
      </c>
      <c r="D74" s="55">
        <f>'1) Tableau budgétaire 1'!D78</f>
        <v>287772.0007254525</v>
      </c>
      <c r="E74" s="55">
        <f>'1) Tableau budgétaire 1'!E78</f>
        <v>0</v>
      </c>
      <c r="F74" s="55">
        <f>'1) Tableau budgétaire 1'!F78</f>
        <v>0</v>
      </c>
      <c r="G74" s="56">
        <f t="shared" ref="G74:G82" si="6">SUM(D74:F74)</f>
        <v>287772.0007254525</v>
      </c>
    </row>
    <row r="75" spans="2:7" ht="18" customHeight="1" x14ac:dyDescent="0.3">
      <c r="C75" s="52" t="s">
        <v>540</v>
      </c>
      <c r="D75" s="86">
        <f>TCD_2!F16+TCD_2!D79</f>
        <v>45995.064173908395</v>
      </c>
      <c r="E75" s="87"/>
      <c r="F75" s="87"/>
      <c r="G75" s="53">
        <f t="shared" si="6"/>
        <v>45995.064173908395</v>
      </c>
    </row>
    <row r="76" spans="2:7" ht="15.75" customHeight="1" x14ac:dyDescent="0.3">
      <c r="C76" s="42" t="s">
        <v>541</v>
      </c>
      <c r="D76" s="88">
        <f>TCD_2!E79</f>
        <v>29948.21826912916</v>
      </c>
      <c r="E76" s="17"/>
      <c r="F76" s="17"/>
      <c r="G76" s="51">
        <f t="shared" si="6"/>
        <v>29948.21826912916</v>
      </c>
    </row>
    <row r="77" spans="2:7" s="45" customFormat="1" ht="15.75" customHeight="1" x14ac:dyDescent="0.3">
      <c r="B77" s="44"/>
      <c r="C77" s="42" t="s">
        <v>542</v>
      </c>
      <c r="D77" s="88">
        <f>TCD_2!G16</f>
        <v>1108.649406762675</v>
      </c>
      <c r="E77" s="88"/>
      <c r="F77" s="88"/>
      <c r="G77" s="51">
        <f t="shared" si="6"/>
        <v>1108.649406762675</v>
      </c>
    </row>
    <row r="78" spans="2:7" x14ac:dyDescent="0.3">
      <c r="B78" s="45"/>
      <c r="C78" s="43" t="s">
        <v>543</v>
      </c>
      <c r="D78" s="88">
        <f>TCD_2!F79</f>
        <v>3000</v>
      </c>
      <c r="E78" s="88"/>
      <c r="F78" s="88"/>
      <c r="G78" s="51">
        <f t="shared" si="6"/>
        <v>3000</v>
      </c>
    </row>
    <row r="79" spans="2:7" x14ac:dyDescent="0.3">
      <c r="B79" s="45"/>
      <c r="C79" s="42" t="s">
        <v>544</v>
      </c>
      <c r="D79" s="88">
        <f>TCD_2!H16</f>
        <v>1999.541413744899</v>
      </c>
      <c r="E79" s="88"/>
      <c r="F79" s="88"/>
      <c r="G79" s="51">
        <f t="shared" si="6"/>
        <v>1999.541413744899</v>
      </c>
    </row>
    <row r="80" spans="2:7" x14ac:dyDescent="0.3">
      <c r="B80" s="45"/>
      <c r="C80" s="42" t="s">
        <v>545</v>
      </c>
      <c r="D80" s="88">
        <f>TCD_2!H79</f>
        <v>200000</v>
      </c>
      <c r="E80" s="88"/>
      <c r="F80" s="88"/>
      <c r="G80" s="51">
        <f t="shared" si="6"/>
        <v>200000</v>
      </c>
    </row>
    <row r="81" spans="2:7" ht="31.2" x14ac:dyDescent="0.3">
      <c r="C81" s="42" t="s">
        <v>546</v>
      </c>
      <c r="D81" s="88">
        <f>TCD_2!I16</f>
        <v>5720.5274619073307</v>
      </c>
      <c r="E81" s="88"/>
      <c r="F81" s="88"/>
      <c r="G81" s="51">
        <f t="shared" si="6"/>
        <v>5720.5274619073307</v>
      </c>
    </row>
    <row r="82" spans="2:7" x14ac:dyDescent="0.3">
      <c r="C82" s="46" t="s">
        <v>14</v>
      </c>
      <c r="D82" s="57">
        <f>SUM(D75:D81)</f>
        <v>287772.00072545244</v>
      </c>
      <c r="E82" s="57">
        <f>SUM(E75:E81)</f>
        <v>0</v>
      </c>
      <c r="F82" s="57">
        <f>SUM(F75:F81)</f>
        <v>0</v>
      </c>
      <c r="G82" s="51">
        <f t="shared" si="6"/>
        <v>287772.00072545244</v>
      </c>
    </row>
    <row r="83" spans="2:7" s="45" customFormat="1" x14ac:dyDescent="0.3">
      <c r="C83" s="58"/>
      <c r="D83" s="59"/>
      <c r="E83" s="59"/>
      <c r="F83" s="59"/>
      <c r="G83" s="60"/>
    </row>
    <row r="84" spans="2:7" x14ac:dyDescent="0.3">
      <c r="C84" s="497" t="s">
        <v>433</v>
      </c>
      <c r="D84" s="498"/>
      <c r="E84" s="498"/>
      <c r="F84" s="498"/>
      <c r="G84" s="499"/>
    </row>
    <row r="85" spans="2:7" ht="21.75" customHeight="1" thickBot="1" x14ac:dyDescent="0.35">
      <c r="C85" s="54" t="s">
        <v>557</v>
      </c>
      <c r="D85" s="55">
        <f>'1) Tableau budgétaire 1'!D88</f>
        <v>13184.994073432592</v>
      </c>
      <c r="E85" s="55">
        <f>'1) Tableau budgétaire 1'!E88</f>
        <v>0</v>
      </c>
      <c r="F85" s="55">
        <f>'1) Tableau budgétaire 1'!F88</f>
        <v>0</v>
      </c>
      <c r="G85" s="56">
        <f t="shared" ref="G85:G93" si="7">SUM(D85:F85)</f>
        <v>13184.994073432592</v>
      </c>
    </row>
    <row r="86" spans="2:7" ht="15.75" customHeight="1" x14ac:dyDescent="0.3">
      <c r="C86" s="52" t="s">
        <v>540</v>
      </c>
      <c r="D86" s="86">
        <f>TCD_2!F17</f>
        <v>1380.4842603298796</v>
      </c>
      <c r="E86" s="87"/>
      <c r="F86" s="87"/>
      <c r="G86" s="53">
        <f t="shared" si="7"/>
        <v>1380.4842603298796</v>
      </c>
    </row>
    <row r="87" spans="2:7" ht="15.75" customHeight="1" x14ac:dyDescent="0.3">
      <c r="B87" s="45"/>
      <c r="C87" s="42" t="s">
        <v>541</v>
      </c>
      <c r="D87" s="88">
        <f>TCD_2!E80</f>
        <v>11400</v>
      </c>
      <c r="E87" s="17"/>
      <c r="F87" s="17"/>
      <c r="G87" s="51">
        <f t="shared" si="7"/>
        <v>11400</v>
      </c>
    </row>
    <row r="88" spans="2:7" ht="15.75" customHeight="1" x14ac:dyDescent="0.3">
      <c r="C88" s="42" t="s">
        <v>542</v>
      </c>
      <c r="D88" s="88">
        <f>TCD_2!G17</f>
        <v>50.795545851683521</v>
      </c>
      <c r="E88" s="88"/>
      <c r="F88" s="88"/>
      <c r="G88" s="51">
        <f t="shared" si="7"/>
        <v>50.795545851683521</v>
      </c>
    </row>
    <row r="89" spans="2:7" x14ac:dyDescent="0.3">
      <c r="C89" s="43" t="s">
        <v>543</v>
      </c>
      <c r="D89" s="88"/>
      <c r="E89" s="88"/>
      <c r="F89" s="88"/>
      <c r="G89" s="51">
        <f t="shared" si="7"/>
        <v>0</v>
      </c>
    </row>
    <row r="90" spans="2:7" x14ac:dyDescent="0.3">
      <c r="C90" s="42" t="s">
        <v>544</v>
      </c>
      <c r="D90" s="88">
        <f>TCD_2!H17</f>
        <v>91.613991713397837</v>
      </c>
      <c r="E90" s="88"/>
      <c r="F90" s="88"/>
      <c r="G90" s="51">
        <f t="shared" si="7"/>
        <v>91.613991713397837</v>
      </c>
    </row>
    <row r="91" spans="2:7" ht="25.5" customHeight="1" x14ac:dyDescent="0.3">
      <c r="C91" s="42" t="s">
        <v>545</v>
      </c>
      <c r="D91" s="88"/>
      <c r="E91" s="88"/>
      <c r="F91" s="88"/>
      <c r="G91" s="51">
        <f t="shared" si="7"/>
        <v>0</v>
      </c>
    </row>
    <row r="92" spans="2:7" ht="31.2" x14ac:dyDescent="0.3">
      <c r="B92" s="45"/>
      <c r="C92" s="42" t="s">
        <v>546</v>
      </c>
      <c r="D92" s="88">
        <f>TCD_2!I17</f>
        <v>262.10027553763132</v>
      </c>
      <c r="E92" s="88"/>
      <c r="F92" s="88"/>
      <c r="G92" s="51">
        <f t="shared" si="7"/>
        <v>262.10027553763132</v>
      </c>
    </row>
    <row r="93" spans="2:7" ht="15.75" customHeight="1" x14ac:dyDescent="0.3">
      <c r="C93" s="46" t="s">
        <v>14</v>
      </c>
      <c r="D93" s="57">
        <f>SUM(D86:D92)</f>
        <v>13184.994073432594</v>
      </c>
      <c r="E93" s="57">
        <f>SUM(E86:E92)</f>
        <v>0</v>
      </c>
      <c r="F93" s="57">
        <f>SUM(F86:F92)</f>
        <v>0</v>
      </c>
      <c r="G93" s="51">
        <f t="shared" si="7"/>
        <v>13184.994073432594</v>
      </c>
    </row>
    <row r="94" spans="2:7" ht="25.5" customHeight="1" x14ac:dyDescent="0.3">
      <c r="D94" s="44"/>
      <c r="E94" s="44"/>
      <c r="F94" s="44"/>
    </row>
    <row r="95" spans="2:7" x14ac:dyDescent="0.3">
      <c r="B95" s="497" t="s">
        <v>558</v>
      </c>
      <c r="C95" s="498"/>
      <c r="D95" s="498"/>
      <c r="E95" s="498"/>
      <c r="F95" s="498"/>
      <c r="G95" s="499"/>
    </row>
    <row r="96" spans="2:7" x14ac:dyDescent="0.3">
      <c r="C96" s="497" t="s">
        <v>443</v>
      </c>
      <c r="D96" s="498"/>
      <c r="E96" s="498"/>
      <c r="F96" s="498"/>
      <c r="G96" s="499"/>
    </row>
    <row r="97" spans="3:7" ht="22.5" customHeight="1" thickBot="1" x14ac:dyDescent="0.35">
      <c r="C97" s="54" t="s">
        <v>559</v>
      </c>
      <c r="D97" s="55">
        <f>'1) Tableau budgétaire 1'!D100</f>
        <v>176841.70899766652</v>
      </c>
      <c r="E97" s="55">
        <f>'1) Tableau budgétaire 1'!E100</f>
        <v>0</v>
      </c>
      <c r="F97" s="55">
        <f>'1) Tableau budgétaire 1'!F100</f>
        <v>0</v>
      </c>
      <c r="G97" s="56">
        <f>SUM(D97:F97)</f>
        <v>176841.70899766652</v>
      </c>
    </row>
    <row r="98" spans="3:7" x14ac:dyDescent="0.3">
      <c r="C98" s="52" t="s">
        <v>540</v>
      </c>
      <c r="D98" s="86">
        <f>TCD_2!F18+TCD_2!D89</f>
        <v>27515.533225231036</v>
      </c>
      <c r="E98" s="87"/>
      <c r="F98" s="87"/>
      <c r="G98" s="53">
        <f t="shared" ref="G98:G105" si="8">SUM(D98:F98)</f>
        <v>27515.533225231036</v>
      </c>
    </row>
    <row r="99" spans="3:7" x14ac:dyDescent="0.3">
      <c r="C99" s="42" t="s">
        <v>541</v>
      </c>
      <c r="D99" s="88">
        <f>TCD_2!E89</f>
        <v>76261.75</v>
      </c>
      <c r="E99" s="17"/>
      <c r="F99" s="17"/>
      <c r="G99" s="51">
        <f t="shared" si="8"/>
        <v>76261.75</v>
      </c>
    </row>
    <row r="100" spans="3:7" ht="15.75" customHeight="1" x14ac:dyDescent="0.3">
      <c r="C100" s="42" t="s">
        <v>542</v>
      </c>
      <c r="D100" s="88">
        <f>TCD_2!G18</f>
        <v>681.28746117384196</v>
      </c>
      <c r="E100" s="88"/>
      <c r="F100" s="88"/>
      <c r="G100" s="51">
        <f t="shared" si="8"/>
        <v>681.28746117384196</v>
      </c>
    </row>
    <row r="101" spans="3:7" x14ac:dyDescent="0.3">
      <c r="C101" s="43" t="s">
        <v>543</v>
      </c>
      <c r="D101" s="88">
        <f>TCD_2!F89</f>
        <v>30000</v>
      </c>
      <c r="E101" s="88"/>
      <c r="F101" s="88"/>
      <c r="G101" s="51">
        <f t="shared" si="8"/>
        <v>30000</v>
      </c>
    </row>
    <row r="102" spans="3:7" x14ac:dyDescent="0.3">
      <c r="C102" s="42" t="s">
        <v>544</v>
      </c>
      <c r="D102" s="88">
        <f>TCD_2!H18</f>
        <v>1228.7586003045888</v>
      </c>
      <c r="E102" s="88"/>
      <c r="F102" s="88"/>
      <c r="G102" s="51">
        <f t="shared" si="8"/>
        <v>1228.7586003045888</v>
      </c>
    </row>
    <row r="103" spans="3:7" x14ac:dyDescent="0.3">
      <c r="C103" s="42" t="s">
        <v>545</v>
      </c>
      <c r="D103" s="88">
        <f>TCD_2!H89</f>
        <v>37639</v>
      </c>
      <c r="E103" s="88"/>
      <c r="F103" s="88"/>
      <c r="G103" s="51">
        <f t="shared" si="8"/>
        <v>37639</v>
      </c>
    </row>
    <row r="104" spans="3:7" ht="31.2" x14ac:dyDescent="0.3">
      <c r="C104" s="42" t="s">
        <v>546</v>
      </c>
      <c r="D104" s="88">
        <f>TCD_2!I18</f>
        <v>3515.3797109570592</v>
      </c>
      <c r="E104" s="88"/>
      <c r="F104" s="88"/>
      <c r="G104" s="51">
        <f t="shared" si="8"/>
        <v>3515.3797109570592</v>
      </c>
    </row>
    <row r="105" spans="3:7" x14ac:dyDescent="0.3">
      <c r="C105" s="46" t="s">
        <v>14</v>
      </c>
      <c r="D105" s="57">
        <f>SUM(D98:D104)</f>
        <v>176841.70899766654</v>
      </c>
      <c r="E105" s="57">
        <f>SUM(E98:E104)</f>
        <v>0</v>
      </c>
      <c r="F105" s="57">
        <f>SUM(F98:F104)</f>
        <v>0</v>
      </c>
      <c r="G105" s="51">
        <f t="shared" si="8"/>
        <v>176841.70899766654</v>
      </c>
    </row>
    <row r="106" spans="3:7" s="45" customFormat="1" x14ac:dyDescent="0.3">
      <c r="C106" s="58"/>
      <c r="D106" s="59"/>
      <c r="E106" s="59"/>
      <c r="F106" s="59"/>
      <c r="G106" s="60"/>
    </row>
    <row r="107" spans="3:7" ht="15.75" customHeight="1" x14ac:dyDescent="0.3">
      <c r="C107" s="497" t="s">
        <v>560</v>
      </c>
      <c r="D107" s="498"/>
      <c r="E107" s="498"/>
      <c r="F107" s="498"/>
      <c r="G107" s="499"/>
    </row>
    <row r="108" spans="3:7" ht="21.75" customHeight="1" thickBot="1" x14ac:dyDescent="0.35">
      <c r="C108" s="54" t="s">
        <v>561</v>
      </c>
      <c r="D108" s="55">
        <f>'1) Tableau budgétaire 1'!D110</f>
        <v>22015.296880585822</v>
      </c>
      <c r="E108" s="55">
        <f>'1) Tableau budgétaire 1'!E110</f>
        <v>0</v>
      </c>
      <c r="F108" s="55">
        <f>'1) Tableau budgétaire 1'!F110</f>
        <v>0</v>
      </c>
      <c r="G108" s="56">
        <f t="shared" ref="G108:G116" si="9">SUM(D108:F108)</f>
        <v>22015.296880585822</v>
      </c>
    </row>
    <row r="109" spans="3:7" x14ac:dyDescent="0.3">
      <c r="C109" s="52" t="s">
        <v>540</v>
      </c>
      <c r="D109" s="86">
        <f>TCD_2!F19</f>
        <v>2305.0272651526498</v>
      </c>
      <c r="E109" s="87"/>
      <c r="F109" s="87"/>
      <c r="G109" s="53">
        <f t="shared" si="9"/>
        <v>2305.0272651526498</v>
      </c>
    </row>
    <row r="110" spans="3:7" x14ac:dyDescent="0.3">
      <c r="C110" s="42" t="s">
        <v>541</v>
      </c>
      <c r="D110" s="88">
        <f>TCD_2!E90</f>
        <v>19034.849999999999</v>
      </c>
      <c r="E110" s="17"/>
      <c r="F110" s="17"/>
      <c r="G110" s="51">
        <f t="shared" si="9"/>
        <v>19034.849999999999</v>
      </c>
    </row>
    <row r="111" spans="3:7" ht="31.2" x14ac:dyDescent="0.3">
      <c r="C111" s="42" t="s">
        <v>542</v>
      </c>
      <c r="D111" s="88">
        <f>TCD_2!G19</f>
        <v>84.814525960957724</v>
      </c>
      <c r="E111" s="88"/>
      <c r="F111" s="88"/>
      <c r="G111" s="51">
        <f t="shared" si="9"/>
        <v>84.814525960957724</v>
      </c>
    </row>
    <row r="112" spans="3:7" x14ac:dyDescent="0.3">
      <c r="C112" s="43" t="s">
        <v>543</v>
      </c>
      <c r="D112" s="88"/>
      <c r="E112" s="88"/>
      <c r="F112" s="88"/>
      <c r="G112" s="51">
        <f t="shared" si="9"/>
        <v>0</v>
      </c>
    </row>
    <row r="113" spans="3:7" x14ac:dyDescent="0.3">
      <c r="C113" s="42" t="s">
        <v>544</v>
      </c>
      <c r="D113" s="88">
        <f>TCD_2!H19</f>
        <v>152.97005176892725</v>
      </c>
      <c r="E113" s="88"/>
      <c r="F113" s="88"/>
      <c r="G113" s="51">
        <f t="shared" si="9"/>
        <v>152.97005176892725</v>
      </c>
    </row>
    <row r="114" spans="3:7" x14ac:dyDescent="0.3">
      <c r="C114" s="42" t="s">
        <v>545</v>
      </c>
      <c r="D114" s="88"/>
      <c r="E114" s="88"/>
      <c r="F114" s="88"/>
      <c r="G114" s="51">
        <f t="shared" si="9"/>
        <v>0</v>
      </c>
    </row>
    <row r="115" spans="3:7" ht="31.2" x14ac:dyDescent="0.3">
      <c r="C115" s="42" t="s">
        <v>546</v>
      </c>
      <c r="D115" s="88">
        <f>TCD_2!I19</f>
        <v>437.63503770328776</v>
      </c>
      <c r="E115" s="88"/>
      <c r="F115" s="88"/>
      <c r="G115" s="51">
        <f t="shared" si="9"/>
        <v>437.63503770328776</v>
      </c>
    </row>
    <row r="116" spans="3:7" x14ac:dyDescent="0.3">
      <c r="C116" s="46" t="s">
        <v>14</v>
      </c>
      <c r="D116" s="57">
        <f>SUM(D109:D115)</f>
        <v>22015.296880585822</v>
      </c>
      <c r="E116" s="57">
        <f>SUM(E109:E115)</f>
        <v>0</v>
      </c>
      <c r="F116" s="57">
        <f>SUM(F109:F115)</f>
        <v>0</v>
      </c>
      <c r="G116" s="51">
        <f t="shared" si="9"/>
        <v>22015.296880585822</v>
      </c>
    </row>
    <row r="117" spans="3:7" s="45" customFormat="1" x14ac:dyDescent="0.3">
      <c r="C117" s="58"/>
      <c r="D117" s="59"/>
      <c r="E117" s="59"/>
      <c r="F117" s="59"/>
      <c r="G117" s="60"/>
    </row>
    <row r="118" spans="3:7" x14ac:dyDescent="0.3">
      <c r="C118" s="497" t="s">
        <v>461</v>
      </c>
      <c r="D118" s="498"/>
      <c r="E118" s="498"/>
      <c r="F118" s="498"/>
      <c r="G118" s="499"/>
    </row>
    <row r="119" spans="3:7" ht="21" customHeight="1" thickBot="1" x14ac:dyDescent="0.35">
      <c r="C119" s="54" t="s">
        <v>562</v>
      </c>
      <c r="D119" s="55">
        <f>'1) Tableau budgétaire 1'!D120</f>
        <v>0</v>
      </c>
      <c r="E119" s="55">
        <f>'1) Tableau budgétaire 1'!E120</f>
        <v>0</v>
      </c>
      <c r="F119" s="55">
        <f>'1) Tableau budgétaire 1'!F120</f>
        <v>0</v>
      </c>
      <c r="G119" s="56">
        <f t="shared" ref="G119:G127" si="10">SUM(D119:F119)</f>
        <v>0</v>
      </c>
    </row>
    <row r="120" spans="3:7" x14ac:dyDescent="0.3">
      <c r="C120" s="52" t="s">
        <v>540</v>
      </c>
      <c r="D120" s="86"/>
      <c r="E120" s="87"/>
      <c r="F120" s="87"/>
      <c r="G120" s="53">
        <f t="shared" si="10"/>
        <v>0</v>
      </c>
    </row>
    <row r="121" spans="3:7" x14ac:dyDescent="0.3">
      <c r="C121" s="42" t="s">
        <v>541</v>
      </c>
      <c r="D121" s="88"/>
      <c r="E121" s="17"/>
      <c r="F121" s="17"/>
      <c r="G121" s="51">
        <f t="shared" si="10"/>
        <v>0</v>
      </c>
    </row>
    <row r="122" spans="3:7" ht="31.2" x14ac:dyDescent="0.3">
      <c r="C122" s="42" t="s">
        <v>542</v>
      </c>
      <c r="D122" s="88"/>
      <c r="E122" s="88"/>
      <c r="F122" s="88"/>
      <c r="G122" s="51">
        <f t="shared" si="10"/>
        <v>0</v>
      </c>
    </row>
    <row r="123" spans="3:7" x14ac:dyDescent="0.3">
      <c r="C123" s="43" t="s">
        <v>543</v>
      </c>
      <c r="D123" s="88"/>
      <c r="E123" s="88"/>
      <c r="F123" s="88"/>
      <c r="G123" s="51">
        <f t="shared" si="10"/>
        <v>0</v>
      </c>
    </row>
    <row r="124" spans="3:7" x14ac:dyDescent="0.3">
      <c r="C124" s="42" t="s">
        <v>544</v>
      </c>
      <c r="D124" s="88"/>
      <c r="E124" s="88"/>
      <c r="F124" s="88"/>
      <c r="G124" s="51">
        <f t="shared" si="10"/>
        <v>0</v>
      </c>
    </row>
    <row r="125" spans="3:7" x14ac:dyDescent="0.3">
      <c r="C125" s="42" t="s">
        <v>545</v>
      </c>
      <c r="D125" s="88"/>
      <c r="E125" s="88"/>
      <c r="F125" s="88"/>
      <c r="G125" s="51">
        <f t="shared" si="10"/>
        <v>0</v>
      </c>
    </row>
    <row r="126" spans="3:7" ht="31.2" x14ac:dyDescent="0.3">
      <c r="C126" s="42" t="s">
        <v>546</v>
      </c>
      <c r="D126" s="88"/>
      <c r="E126" s="88"/>
      <c r="F126" s="88"/>
      <c r="G126" s="51">
        <f t="shared" si="10"/>
        <v>0</v>
      </c>
    </row>
    <row r="127" spans="3:7" x14ac:dyDescent="0.3">
      <c r="C127" s="46" t="s">
        <v>14</v>
      </c>
      <c r="D127" s="57">
        <f>SUM(D120:D126)</f>
        <v>0</v>
      </c>
      <c r="E127" s="57">
        <f>SUM(E120:E126)</f>
        <v>0</v>
      </c>
      <c r="F127" s="57">
        <f>SUM(F120:F126)</f>
        <v>0</v>
      </c>
      <c r="G127" s="51">
        <f t="shared" si="10"/>
        <v>0</v>
      </c>
    </row>
    <row r="128" spans="3:7" s="45" customFormat="1" x14ac:dyDescent="0.3">
      <c r="C128" s="58"/>
      <c r="D128" s="59"/>
      <c r="E128" s="59"/>
      <c r="F128" s="59"/>
      <c r="G128" s="60"/>
    </row>
    <row r="129" spans="2:7" x14ac:dyDescent="0.3">
      <c r="C129" s="497" t="s">
        <v>470</v>
      </c>
      <c r="D129" s="498"/>
      <c r="E129" s="498"/>
      <c r="F129" s="498"/>
      <c r="G129" s="499"/>
    </row>
    <row r="130" spans="2:7" ht="24" customHeight="1" thickBot="1" x14ac:dyDescent="0.35">
      <c r="C130" s="54" t="s">
        <v>563</v>
      </c>
      <c r="D130" s="55">
        <f>'1) Tableau budgétaire 1'!D130</f>
        <v>0</v>
      </c>
      <c r="E130" s="55">
        <f>'1) Tableau budgétaire 1'!E130</f>
        <v>0</v>
      </c>
      <c r="F130" s="55">
        <f>'1) Tableau budgétaire 1'!F130</f>
        <v>0</v>
      </c>
      <c r="G130" s="56">
        <f t="shared" ref="G130:G138" si="11">SUM(D130:F130)</f>
        <v>0</v>
      </c>
    </row>
    <row r="131" spans="2:7" ht="15.75" customHeight="1" x14ac:dyDescent="0.3">
      <c r="C131" s="52" t="s">
        <v>540</v>
      </c>
      <c r="D131" s="86"/>
      <c r="E131" s="87"/>
      <c r="F131" s="87"/>
      <c r="G131" s="53">
        <f t="shared" si="11"/>
        <v>0</v>
      </c>
    </row>
    <row r="132" spans="2:7" x14ac:dyDescent="0.3">
      <c r="C132" s="42" t="s">
        <v>541</v>
      </c>
      <c r="D132" s="88"/>
      <c r="E132" s="17"/>
      <c r="F132" s="17"/>
      <c r="G132" s="51">
        <f t="shared" si="11"/>
        <v>0</v>
      </c>
    </row>
    <row r="133" spans="2:7" ht="15.75" customHeight="1" x14ac:dyDescent="0.3">
      <c r="C133" s="42" t="s">
        <v>542</v>
      </c>
      <c r="D133" s="88"/>
      <c r="E133" s="88"/>
      <c r="F133" s="88"/>
      <c r="G133" s="51">
        <f t="shared" si="11"/>
        <v>0</v>
      </c>
    </row>
    <row r="134" spans="2:7" x14ac:dyDescent="0.3">
      <c r="C134" s="43" t="s">
        <v>543</v>
      </c>
      <c r="D134" s="88"/>
      <c r="E134" s="88"/>
      <c r="F134" s="88"/>
      <c r="G134" s="51">
        <f t="shared" si="11"/>
        <v>0</v>
      </c>
    </row>
    <row r="135" spans="2:7" x14ac:dyDescent="0.3">
      <c r="C135" s="42" t="s">
        <v>544</v>
      </c>
      <c r="D135" s="88"/>
      <c r="E135" s="88"/>
      <c r="F135" s="88"/>
      <c r="G135" s="51">
        <f t="shared" si="11"/>
        <v>0</v>
      </c>
    </row>
    <row r="136" spans="2:7" ht="15.75" customHeight="1" x14ac:dyDescent="0.3">
      <c r="C136" s="42" t="s">
        <v>545</v>
      </c>
      <c r="D136" s="88"/>
      <c r="E136" s="88"/>
      <c r="F136" s="88"/>
      <c r="G136" s="51">
        <f t="shared" si="11"/>
        <v>0</v>
      </c>
    </row>
    <row r="137" spans="2:7" ht="31.2" x14ac:dyDescent="0.3">
      <c r="C137" s="42" t="s">
        <v>546</v>
      </c>
      <c r="D137" s="88"/>
      <c r="E137" s="88"/>
      <c r="F137" s="88"/>
      <c r="G137" s="51">
        <f t="shared" si="11"/>
        <v>0</v>
      </c>
    </row>
    <row r="138" spans="2:7" x14ac:dyDescent="0.3">
      <c r="C138" s="46" t="s">
        <v>14</v>
      </c>
      <c r="D138" s="57">
        <f>SUM(D131:D137)</f>
        <v>0</v>
      </c>
      <c r="E138" s="57">
        <f>SUM(E131:E137)</f>
        <v>0</v>
      </c>
      <c r="F138" s="57">
        <f>SUM(F131:F137)</f>
        <v>0</v>
      </c>
      <c r="G138" s="51">
        <f t="shared" si="11"/>
        <v>0</v>
      </c>
    </row>
    <row r="140" spans="2:7" x14ac:dyDescent="0.3">
      <c r="B140" s="497" t="s">
        <v>564</v>
      </c>
      <c r="C140" s="498"/>
      <c r="D140" s="498"/>
      <c r="E140" s="498"/>
      <c r="F140" s="498"/>
      <c r="G140" s="499"/>
    </row>
    <row r="141" spans="2:7" x14ac:dyDescent="0.3">
      <c r="C141" s="497" t="s">
        <v>480</v>
      </c>
      <c r="D141" s="498"/>
      <c r="E141" s="498"/>
      <c r="F141" s="498"/>
      <c r="G141" s="499"/>
    </row>
    <row r="142" spans="2:7" ht="24" customHeight="1" thickBot="1" x14ac:dyDescent="0.35">
      <c r="C142" s="54" t="s">
        <v>565</v>
      </c>
      <c r="D142" s="55">
        <f>'1) Tableau budgétaire 1'!D142</f>
        <v>0</v>
      </c>
      <c r="E142" s="55">
        <f>'1) Tableau budgétaire 1'!E142</f>
        <v>0</v>
      </c>
      <c r="F142" s="55">
        <f>'1) Tableau budgétaire 1'!F142</f>
        <v>0</v>
      </c>
      <c r="G142" s="56">
        <f>SUM(D142:F142)</f>
        <v>0</v>
      </c>
    </row>
    <row r="143" spans="2:7" ht="24.75" customHeight="1" x14ac:dyDescent="0.3">
      <c r="C143" s="52" t="s">
        <v>540</v>
      </c>
      <c r="D143" s="86"/>
      <c r="E143" s="87"/>
      <c r="F143" s="87"/>
      <c r="G143" s="53">
        <f t="shared" ref="G143:G150" si="12">SUM(D143:F143)</f>
        <v>0</v>
      </c>
    </row>
    <row r="144" spans="2:7" ht="15.75" customHeight="1" x14ac:dyDescent="0.3">
      <c r="C144" s="42" t="s">
        <v>541</v>
      </c>
      <c r="D144" s="88"/>
      <c r="E144" s="17"/>
      <c r="F144" s="17"/>
      <c r="G144" s="51">
        <f t="shared" si="12"/>
        <v>0</v>
      </c>
    </row>
    <row r="145" spans="3:7" ht="15.75" customHeight="1" x14ac:dyDescent="0.3">
      <c r="C145" s="42" t="s">
        <v>542</v>
      </c>
      <c r="D145" s="88"/>
      <c r="E145" s="88"/>
      <c r="F145" s="88"/>
      <c r="G145" s="51">
        <f t="shared" si="12"/>
        <v>0</v>
      </c>
    </row>
    <row r="146" spans="3:7" ht="15.75" customHeight="1" x14ac:dyDescent="0.3">
      <c r="C146" s="43" t="s">
        <v>543</v>
      </c>
      <c r="D146" s="88"/>
      <c r="E146" s="88"/>
      <c r="F146" s="88"/>
      <c r="G146" s="51">
        <f t="shared" si="12"/>
        <v>0</v>
      </c>
    </row>
    <row r="147" spans="3:7" ht="15.75" customHeight="1" x14ac:dyDescent="0.3">
      <c r="C147" s="42" t="s">
        <v>544</v>
      </c>
      <c r="D147" s="88"/>
      <c r="E147" s="88"/>
      <c r="F147" s="88"/>
      <c r="G147" s="51">
        <f t="shared" si="12"/>
        <v>0</v>
      </c>
    </row>
    <row r="148" spans="3:7" ht="15.75" customHeight="1" x14ac:dyDescent="0.3">
      <c r="C148" s="42" t="s">
        <v>545</v>
      </c>
      <c r="D148" s="88"/>
      <c r="E148" s="88"/>
      <c r="F148" s="88"/>
      <c r="G148" s="51">
        <f t="shared" si="12"/>
        <v>0</v>
      </c>
    </row>
    <row r="149" spans="3:7" ht="15.75" customHeight="1" x14ac:dyDescent="0.3">
      <c r="C149" s="42" t="s">
        <v>546</v>
      </c>
      <c r="D149" s="88"/>
      <c r="E149" s="88"/>
      <c r="F149" s="88"/>
      <c r="G149" s="51">
        <f t="shared" si="12"/>
        <v>0</v>
      </c>
    </row>
    <row r="150" spans="3:7" ht="15.75" customHeight="1" x14ac:dyDescent="0.3">
      <c r="C150" s="46" t="s">
        <v>14</v>
      </c>
      <c r="D150" s="57">
        <f>SUM(D143:D149)</f>
        <v>0</v>
      </c>
      <c r="E150" s="57">
        <f>SUM(E143:E149)</f>
        <v>0</v>
      </c>
      <c r="F150" s="57">
        <f>SUM(F143:F149)</f>
        <v>0</v>
      </c>
      <c r="G150" s="51">
        <f t="shared" si="12"/>
        <v>0</v>
      </c>
    </row>
    <row r="151" spans="3:7" s="45" customFormat="1" ht="15.75" customHeight="1" x14ac:dyDescent="0.3">
      <c r="C151" s="58"/>
      <c r="D151" s="59"/>
      <c r="E151" s="59"/>
      <c r="F151" s="59"/>
      <c r="G151" s="60"/>
    </row>
    <row r="152" spans="3:7" ht="15.75" customHeight="1" x14ac:dyDescent="0.3">
      <c r="C152" s="497" t="s">
        <v>489</v>
      </c>
      <c r="D152" s="498"/>
      <c r="E152" s="498"/>
      <c r="F152" s="498"/>
      <c r="G152" s="499"/>
    </row>
    <row r="153" spans="3:7" ht="21" customHeight="1" thickBot="1" x14ac:dyDescent="0.35">
      <c r="C153" s="54" t="s">
        <v>566</v>
      </c>
      <c r="D153" s="55">
        <f>'1) Tableau budgétaire 1'!D152</f>
        <v>0</v>
      </c>
      <c r="E153" s="55">
        <f>'1) Tableau budgétaire 1'!E152</f>
        <v>0</v>
      </c>
      <c r="F153" s="55">
        <f>'1) Tableau budgétaire 1'!F152</f>
        <v>0</v>
      </c>
      <c r="G153" s="56">
        <f t="shared" ref="G153:G161" si="13">SUM(D153:F153)</f>
        <v>0</v>
      </c>
    </row>
    <row r="154" spans="3:7" ht="15.75" customHeight="1" x14ac:dyDescent="0.3">
      <c r="C154" s="52" t="s">
        <v>540</v>
      </c>
      <c r="D154" s="86"/>
      <c r="E154" s="87"/>
      <c r="F154" s="87"/>
      <c r="G154" s="53">
        <f t="shared" si="13"/>
        <v>0</v>
      </c>
    </row>
    <row r="155" spans="3:7" ht="15.75" customHeight="1" x14ac:dyDescent="0.3">
      <c r="C155" s="42" t="s">
        <v>541</v>
      </c>
      <c r="D155" s="88"/>
      <c r="E155" s="17"/>
      <c r="F155" s="17"/>
      <c r="G155" s="51">
        <f t="shared" si="13"/>
        <v>0</v>
      </c>
    </row>
    <row r="156" spans="3:7" ht="15.75" customHeight="1" x14ac:dyDescent="0.3">
      <c r="C156" s="42" t="s">
        <v>542</v>
      </c>
      <c r="D156" s="88"/>
      <c r="E156" s="88"/>
      <c r="F156" s="88"/>
      <c r="G156" s="51">
        <f t="shared" si="13"/>
        <v>0</v>
      </c>
    </row>
    <row r="157" spans="3:7" ht="15.75" customHeight="1" x14ac:dyDescent="0.3">
      <c r="C157" s="43" t="s">
        <v>543</v>
      </c>
      <c r="D157" s="88"/>
      <c r="E157" s="88"/>
      <c r="F157" s="88"/>
      <c r="G157" s="51">
        <f t="shared" si="13"/>
        <v>0</v>
      </c>
    </row>
    <row r="158" spans="3:7" ht="15.75" customHeight="1" x14ac:dyDescent="0.3">
      <c r="C158" s="42" t="s">
        <v>544</v>
      </c>
      <c r="D158" s="88"/>
      <c r="E158" s="88"/>
      <c r="F158" s="88"/>
      <c r="G158" s="51">
        <f t="shared" si="13"/>
        <v>0</v>
      </c>
    </row>
    <row r="159" spans="3:7" ht="15.75" customHeight="1" x14ac:dyDescent="0.3">
      <c r="C159" s="42" t="s">
        <v>545</v>
      </c>
      <c r="D159" s="88"/>
      <c r="E159" s="88"/>
      <c r="F159" s="88"/>
      <c r="G159" s="51">
        <f t="shared" si="13"/>
        <v>0</v>
      </c>
    </row>
    <row r="160" spans="3:7" ht="15.75" customHeight="1" x14ac:dyDescent="0.3">
      <c r="C160" s="42" t="s">
        <v>546</v>
      </c>
      <c r="D160" s="88"/>
      <c r="E160" s="88"/>
      <c r="F160" s="88"/>
      <c r="G160" s="51">
        <f t="shared" si="13"/>
        <v>0</v>
      </c>
    </row>
    <row r="161" spans="3:7" ht="15.75" customHeight="1" x14ac:dyDescent="0.3">
      <c r="C161" s="46" t="s">
        <v>14</v>
      </c>
      <c r="D161" s="57">
        <f>SUM(D154:D160)</f>
        <v>0</v>
      </c>
      <c r="E161" s="57">
        <f>SUM(E154:E160)</f>
        <v>0</v>
      </c>
      <c r="F161" s="57">
        <f>SUM(F154:F160)</f>
        <v>0</v>
      </c>
      <c r="G161" s="51">
        <f t="shared" si="13"/>
        <v>0</v>
      </c>
    </row>
    <row r="162" spans="3:7" s="45" customFormat="1" ht="15.75" customHeight="1" x14ac:dyDescent="0.3">
      <c r="C162" s="58"/>
      <c r="D162" s="59"/>
      <c r="E162" s="59"/>
      <c r="F162" s="59"/>
      <c r="G162" s="60"/>
    </row>
    <row r="163" spans="3:7" ht="15.75" customHeight="1" x14ac:dyDescent="0.3">
      <c r="C163" s="497" t="s">
        <v>498</v>
      </c>
      <c r="D163" s="498"/>
      <c r="E163" s="498"/>
      <c r="F163" s="498"/>
      <c r="G163" s="499"/>
    </row>
    <row r="164" spans="3:7" ht="19.5" customHeight="1" thickBot="1" x14ac:dyDescent="0.35">
      <c r="C164" s="54" t="s">
        <v>567</v>
      </c>
      <c r="D164" s="55">
        <f>'1) Tableau budgétaire 1'!D162</f>
        <v>0</v>
      </c>
      <c r="E164" s="55">
        <f>'1) Tableau budgétaire 1'!E162</f>
        <v>0</v>
      </c>
      <c r="F164" s="55">
        <f>'1) Tableau budgétaire 1'!F162</f>
        <v>0</v>
      </c>
      <c r="G164" s="56">
        <f t="shared" ref="G164:G172" si="14">SUM(D164:F164)</f>
        <v>0</v>
      </c>
    </row>
    <row r="165" spans="3:7" ht="15.75" customHeight="1" x14ac:dyDescent="0.3">
      <c r="C165" s="52" t="s">
        <v>540</v>
      </c>
      <c r="D165" s="86"/>
      <c r="E165" s="87"/>
      <c r="F165" s="87"/>
      <c r="G165" s="53">
        <f t="shared" si="14"/>
        <v>0</v>
      </c>
    </row>
    <row r="166" spans="3:7" ht="15.75" customHeight="1" x14ac:dyDescent="0.3">
      <c r="C166" s="42" t="s">
        <v>541</v>
      </c>
      <c r="D166" s="88"/>
      <c r="E166" s="17"/>
      <c r="F166" s="17"/>
      <c r="G166" s="51">
        <f t="shared" si="14"/>
        <v>0</v>
      </c>
    </row>
    <row r="167" spans="3:7" ht="15.75" customHeight="1" x14ac:dyDescent="0.3">
      <c r="C167" s="42" t="s">
        <v>542</v>
      </c>
      <c r="D167" s="88"/>
      <c r="E167" s="88"/>
      <c r="F167" s="88"/>
      <c r="G167" s="51">
        <f t="shared" si="14"/>
        <v>0</v>
      </c>
    </row>
    <row r="168" spans="3:7" ht="15.75" customHeight="1" x14ac:dyDescent="0.3">
      <c r="C168" s="43" t="s">
        <v>543</v>
      </c>
      <c r="D168" s="88"/>
      <c r="E168" s="88"/>
      <c r="F168" s="88"/>
      <c r="G168" s="51">
        <f t="shared" si="14"/>
        <v>0</v>
      </c>
    </row>
    <row r="169" spans="3:7" ht="15.75" customHeight="1" x14ac:dyDescent="0.3">
      <c r="C169" s="42" t="s">
        <v>544</v>
      </c>
      <c r="D169" s="88"/>
      <c r="E169" s="88"/>
      <c r="F169" s="88"/>
      <c r="G169" s="51">
        <f t="shared" si="14"/>
        <v>0</v>
      </c>
    </row>
    <row r="170" spans="3:7" ht="15.75" customHeight="1" x14ac:dyDescent="0.3">
      <c r="C170" s="42" t="s">
        <v>545</v>
      </c>
      <c r="D170" s="88"/>
      <c r="E170" s="88"/>
      <c r="F170" s="88"/>
      <c r="G170" s="51">
        <f t="shared" si="14"/>
        <v>0</v>
      </c>
    </row>
    <row r="171" spans="3:7" ht="15.75" customHeight="1" x14ac:dyDescent="0.3">
      <c r="C171" s="42" t="s">
        <v>546</v>
      </c>
      <c r="D171" s="88"/>
      <c r="E171" s="88"/>
      <c r="F171" s="88"/>
      <c r="G171" s="51">
        <f t="shared" si="14"/>
        <v>0</v>
      </c>
    </row>
    <row r="172" spans="3:7" ht="15.75" customHeight="1" x14ac:dyDescent="0.3">
      <c r="C172" s="46" t="s">
        <v>14</v>
      </c>
      <c r="D172" s="57">
        <f>SUM(D165:D171)</f>
        <v>0</v>
      </c>
      <c r="E172" s="57">
        <f>SUM(E165:E171)</f>
        <v>0</v>
      </c>
      <c r="F172" s="57">
        <f>SUM(F165:F171)</f>
        <v>0</v>
      </c>
      <c r="G172" s="51">
        <f t="shared" si="14"/>
        <v>0</v>
      </c>
    </row>
    <row r="173" spans="3:7" s="45" customFormat="1" ht="15.75" customHeight="1" x14ac:dyDescent="0.3">
      <c r="C173" s="58"/>
      <c r="D173" s="59"/>
      <c r="E173" s="59"/>
      <c r="F173" s="59"/>
      <c r="G173" s="60"/>
    </row>
    <row r="174" spans="3:7" ht="15.75" customHeight="1" x14ac:dyDescent="0.3">
      <c r="C174" s="497" t="s">
        <v>507</v>
      </c>
      <c r="D174" s="498"/>
      <c r="E174" s="498"/>
      <c r="F174" s="498"/>
      <c r="G174" s="499"/>
    </row>
    <row r="175" spans="3:7" ht="22.5" customHeight="1" thickBot="1" x14ac:dyDescent="0.35">
      <c r="C175" s="54" t="s">
        <v>568</v>
      </c>
      <c r="D175" s="55">
        <f>'1) Tableau budgétaire 1'!D172</f>
        <v>0</v>
      </c>
      <c r="E175" s="55">
        <f>'1) Tableau budgétaire 1'!E172</f>
        <v>0</v>
      </c>
      <c r="F175" s="55">
        <f>'1) Tableau budgétaire 1'!F172</f>
        <v>0</v>
      </c>
      <c r="G175" s="56">
        <f t="shared" ref="G175:G183" si="15">SUM(D175:F175)</f>
        <v>0</v>
      </c>
    </row>
    <row r="176" spans="3:7" ht="15.75" customHeight="1" x14ac:dyDescent="0.3">
      <c r="C176" s="52" t="s">
        <v>540</v>
      </c>
      <c r="D176" s="86"/>
      <c r="E176" s="87"/>
      <c r="F176" s="87"/>
      <c r="G176" s="53">
        <f t="shared" si="15"/>
        <v>0</v>
      </c>
    </row>
    <row r="177" spans="3:7" ht="15.75" customHeight="1" x14ac:dyDescent="0.3">
      <c r="C177" s="42" t="s">
        <v>541</v>
      </c>
      <c r="D177" s="88"/>
      <c r="E177" s="17"/>
      <c r="F177" s="17"/>
      <c r="G177" s="51">
        <f t="shared" si="15"/>
        <v>0</v>
      </c>
    </row>
    <row r="178" spans="3:7" ht="15.75" customHeight="1" x14ac:dyDescent="0.3">
      <c r="C178" s="42" t="s">
        <v>542</v>
      </c>
      <c r="D178" s="88"/>
      <c r="E178" s="88"/>
      <c r="F178" s="88"/>
      <c r="G178" s="51">
        <f t="shared" si="15"/>
        <v>0</v>
      </c>
    </row>
    <row r="179" spans="3:7" ht="15.75" customHeight="1" x14ac:dyDescent="0.3">
      <c r="C179" s="43" t="s">
        <v>543</v>
      </c>
      <c r="D179" s="88"/>
      <c r="E179" s="88"/>
      <c r="F179" s="88"/>
      <c r="G179" s="51">
        <f t="shared" si="15"/>
        <v>0</v>
      </c>
    </row>
    <row r="180" spans="3:7" ht="15.75" customHeight="1" x14ac:dyDescent="0.3">
      <c r="C180" s="42" t="s">
        <v>544</v>
      </c>
      <c r="D180" s="88"/>
      <c r="E180" s="88"/>
      <c r="F180" s="88"/>
      <c r="G180" s="51">
        <f t="shared" si="15"/>
        <v>0</v>
      </c>
    </row>
    <row r="181" spans="3:7" ht="15.75" customHeight="1" x14ac:dyDescent="0.3">
      <c r="C181" s="42" t="s">
        <v>545</v>
      </c>
      <c r="D181" s="88"/>
      <c r="E181" s="88"/>
      <c r="F181" s="88"/>
      <c r="G181" s="51">
        <f t="shared" si="15"/>
        <v>0</v>
      </c>
    </row>
    <row r="182" spans="3:7" ht="15.75" customHeight="1" x14ac:dyDescent="0.3">
      <c r="C182" s="42" t="s">
        <v>546</v>
      </c>
      <c r="D182" s="88"/>
      <c r="E182" s="88"/>
      <c r="F182" s="88"/>
      <c r="G182" s="51">
        <f t="shared" si="15"/>
        <v>0</v>
      </c>
    </row>
    <row r="183" spans="3:7" ht="15.75" customHeight="1" x14ac:dyDescent="0.3">
      <c r="C183" s="46" t="s">
        <v>14</v>
      </c>
      <c r="D183" s="57">
        <f>SUM(D176:D182)</f>
        <v>0</v>
      </c>
      <c r="E183" s="57">
        <f>SUM(E176:E182)</f>
        <v>0</v>
      </c>
      <c r="F183" s="57">
        <f>SUM(F176:F182)</f>
        <v>0</v>
      </c>
      <c r="G183" s="51">
        <f t="shared" si="15"/>
        <v>0</v>
      </c>
    </row>
    <row r="184" spans="3:7" ht="15.75" customHeight="1" x14ac:dyDescent="0.3"/>
    <row r="185" spans="3:7" ht="15.75" customHeight="1" x14ac:dyDescent="0.3">
      <c r="C185" s="497" t="s">
        <v>569</v>
      </c>
      <c r="D185" s="498"/>
      <c r="E185" s="498"/>
      <c r="F185" s="498"/>
      <c r="G185" s="499"/>
    </row>
    <row r="186" spans="3:7" ht="36" customHeight="1" thickBot="1" x14ac:dyDescent="0.35">
      <c r="C186" s="54" t="s">
        <v>570</v>
      </c>
      <c r="D186" s="55">
        <f>'1) Tableau budgétaire 1'!D179</f>
        <v>456320.96004107373</v>
      </c>
      <c r="E186" s="55">
        <f>'1) Tableau budgétaire 1'!E179</f>
        <v>0</v>
      </c>
      <c r="F186" s="55">
        <f>'1) Tableau budgétaire 1'!F179</f>
        <v>0</v>
      </c>
      <c r="G186" s="56">
        <f t="shared" ref="G186:G194" si="16">SUM(D186:F186)</f>
        <v>456320.96004107373</v>
      </c>
    </row>
    <row r="187" spans="3:7" ht="15.75" customHeight="1" x14ac:dyDescent="0.3">
      <c r="C187" s="52" t="s">
        <v>540</v>
      </c>
      <c r="D187" s="86">
        <f>SUM('BU CWW'!K9:K13,'BU CWW'!K15,'BU CWW'!K23:K33,'BU CWW'!K40:K48,'BU CWW'!K166)</f>
        <v>352766.12</v>
      </c>
      <c r="E187" s="87"/>
      <c r="F187" s="87"/>
      <c r="G187" s="53">
        <f t="shared" si="16"/>
        <v>352766.12</v>
      </c>
    </row>
    <row r="188" spans="3:7" ht="15.75" customHeight="1" x14ac:dyDescent="0.3">
      <c r="C188" s="42" t="s">
        <v>541</v>
      </c>
      <c r="D188" s="88">
        <f>'BU CWW'!M148+'BU CWW'!M151</f>
        <v>3000</v>
      </c>
      <c r="E188" s="17"/>
      <c r="F188" s="17"/>
      <c r="G188" s="51">
        <f t="shared" si="16"/>
        <v>3000</v>
      </c>
    </row>
    <row r="189" spans="3:7" ht="15.75" customHeight="1" x14ac:dyDescent="0.3">
      <c r="C189" s="42" t="s">
        <v>542</v>
      </c>
      <c r="D189" s="88">
        <f>'BU CWW'!K56</f>
        <v>2430.0000410736657</v>
      </c>
      <c r="E189" s="88"/>
      <c r="F189" s="88"/>
      <c r="G189" s="51">
        <f t="shared" si="16"/>
        <v>2430.0000410736657</v>
      </c>
    </row>
    <row r="190" spans="3:7" ht="15.75" customHeight="1" x14ac:dyDescent="0.3">
      <c r="C190" s="43" t="s">
        <v>543</v>
      </c>
      <c r="D190" s="88">
        <f>SUM('BU CWW'!K50,'BU CWW'!K149,'BU CWW'!K147,'BU CWW'!K150,'BU CWW'!K154)</f>
        <v>61167</v>
      </c>
      <c r="E190" s="88"/>
      <c r="F190" s="88"/>
      <c r="G190" s="51">
        <f t="shared" si="16"/>
        <v>61167</v>
      </c>
    </row>
    <row r="191" spans="3:7" ht="15.75" customHeight="1" x14ac:dyDescent="0.3">
      <c r="C191" s="42" t="s">
        <v>544</v>
      </c>
      <c r="D191" s="88">
        <f>SUM('BU CWW'!K172:K174)</f>
        <v>13809.71</v>
      </c>
      <c r="E191" s="88"/>
      <c r="F191" s="88"/>
      <c r="G191" s="51">
        <f t="shared" si="16"/>
        <v>13809.71</v>
      </c>
    </row>
    <row r="192" spans="3:7" ht="15.75" customHeight="1" x14ac:dyDescent="0.3">
      <c r="C192" s="42" t="s">
        <v>545</v>
      </c>
      <c r="D192" s="88"/>
      <c r="E192" s="88"/>
      <c r="F192" s="88"/>
      <c r="G192" s="51">
        <f t="shared" si="16"/>
        <v>0</v>
      </c>
    </row>
    <row r="193" spans="3:13" ht="15.75" customHeight="1" x14ac:dyDescent="0.3">
      <c r="C193" s="42" t="s">
        <v>546</v>
      </c>
      <c r="D193" s="88">
        <f>SUM('BU CWW'!K167:K168,'BU CWW'!K152)</f>
        <v>23148.13</v>
      </c>
      <c r="E193" s="88"/>
      <c r="F193" s="88"/>
      <c r="G193" s="51">
        <f t="shared" si="16"/>
        <v>23148.13</v>
      </c>
    </row>
    <row r="194" spans="3:13" ht="15.75" customHeight="1" x14ac:dyDescent="0.3">
      <c r="C194" s="46" t="s">
        <v>14</v>
      </c>
      <c r="D194" s="57">
        <f>SUM(D187:D193)</f>
        <v>456320.96004107367</v>
      </c>
      <c r="E194" s="57">
        <f>SUM(E187:E193)</f>
        <v>0</v>
      </c>
      <c r="F194" s="57">
        <f>SUM(F187:F193)</f>
        <v>0</v>
      </c>
      <c r="G194" s="51">
        <f t="shared" si="16"/>
        <v>456320.96004107367</v>
      </c>
    </row>
    <row r="195" spans="3:13" ht="15.75" customHeight="1" thickBot="1" x14ac:dyDescent="0.35"/>
    <row r="196" spans="3:13" ht="19.5" customHeight="1" thickBot="1" x14ac:dyDescent="0.35">
      <c r="C196" s="503" t="s">
        <v>536</v>
      </c>
      <c r="D196" s="504"/>
      <c r="E196" s="504"/>
      <c r="F196" s="504"/>
      <c r="G196" s="505"/>
    </row>
    <row r="197" spans="3:13" ht="51.75" customHeight="1" x14ac:dyDescent="0.3">
      <c r="C197" s="65"/>
      <c r="D197" s="178" t="str">
        <f>'1) Tableau budgétaire 1'!D5</f>
        <v>Organisation recipiendiaire 1 (budget en USD)</v>
      </c>
      <c r="E197" s="178" t="str">
        <f>'1) Tableau budgétaire 1'!E5</f>
        <v>Organisation recipiendiaire 2 (budget en USD)</v>
      </c>
      <c r="F197" s="178" t="str">
        <f>'1) Tableau budgétaire 1'!F5</f>
        <v>Organisation recipiendiaire 3 (budget en USD)</v>
      </c>
      <c r="G197" s="174" t="s">
        <v>536</v>
      </c>
    </row>
    <row r="198" spans="3:13" ht="19.5" customHeight="1" x14ac:dyDescent="0.3">
      <c r="C198" s="179" t="s">
        <v>540</v>
      </c>
      <c r="D198" s="119">
        <f t="shared" ref="D198:F204" si="17">SUM(D176,D165,D154,D143,D131,D120,D109,D98,D86,D75,D64,D53,D41,D30,D19,D8,D187)</f>
        <v>713760.84773166804</v>
      </c>
      <c r="E198" s="119">
        <f t="shared" si="17"/>
        <v>0</v>
      </c>
      <c r="F198" s="119">
        <f t="shared" si="17"/>
        <v>0</v>
      </c>
      <c r="G198" s="63">
        <f t="shared" ref="G198:G205" si="18">SUM(D198:F198)</f>
        <v>713760.84773166804</v>
      </c>
    </row>
    <row r="199" spans="3:13" ht="34.5" customHeight="1" x14ac:dyDescent="0.3">
      <c r="C199" s="135" t="s">
        <v>541</v>
      </c>
      <c r="D199" s="66">
        <f t="shared" si="17"/>
        <v>223176.81826912917</v>
      </c>
      <c r="E199" s="66">
        <f t="shared" si="17"/>
        <v>0</v>
      </c>
      <c r="F199" s="66">
        <f t="shared" si="17"/>
        <v>0</v>
      </c>
      <c r="G199" s="64">
        <f t="shared" si="18"/>
        <v>223176.81826912917</v>
      </c>
    </row>
    <row r="200" spans="3:13" ht="48" customHeight="1" x14ac:dyDescent="0.3">
      <c r="C200" s="135" t="s">
        <v>542</v>
      </c>
      <c r="D200" s="66">
        <f t="shared" si="17"/>
        <v>6072.7500410736657</v>
      </c>
      <c r="E200" s="66">
        <f t="shared" si="17"/>
        <v>0</v>
      </c>
      <c r="F200" s="66">
        <f t="shared" si="17"/>
        <v>0</v>
      </c>
      <c r="G200" s="64">
        <f t="shared" si="18"/>
        <v>6072.7500410736657</v>
      </c>
    </row>
    <row r="201" spans="3:13" ht="33" customHeight="1" x14ac:dyDescent="0.3">
      <c r="C201" s="136" t="s">
        <v>543</v>
      </c>
      <c r="D201" s="66">
        <f t="shared" si="17"/>
        <v>116995.65559090399</v>
      </c>
      <c r="E201" s="66">
        <f t="shared" si="17"/>
        <v>0</v>
      </c>
      <c r="F201" s="66">
        <f t="shared" si="17"/>
        <v>0</v>
      </c>
      <c r="G201" s="64">
        <f t="shared" si="18"/>
        <v>116995.65559090399</v>
      </c>
    </row>
    <row r="202" spans="3:13" ht="21" customHeight="1" x14ac:dyDescent="0.3">
      <c r="C202" s="135" t="s">
        <v>544</v>
      </c>
      <c r="D202" s="66">
        <f t="shared" si="17"/>
        <v>37279.712599999999</v>
      </c>
      <c r="E202" s="66">
        <f t="shared" si="17"/>
        <v>0</v>
      </c>
      <c r="F202" s="66">
        <f t="shared" si="17"/>
        <v>0</v>
      </c>
      <c r="G202" s="64">
        <f t="shared" si="18"/>
        <v>37279.712599999999</v>
      </c>
      <c r="H202" s="23"/>
      <c r="I202" s="23"/>
      <c r="J202" s="23"/>
      <c r="K202" s="23"/>
      <c r="L202" s="23"/>
      <c r="M202" s="22"/>
    </row>
    <row r="203" spans="3:13" ht="39.75" customHeight="1" x14ac:dyDescent="0.3">
      <c r="C203" s="135" t="s">
        <v>545</v>
      </c>
      <c r="D203" s="66">
        <f t="shared" si="17"/>
        <v>262639</v>
      </c>
      <c r="E203" s="66">
        <f t="shared" si="17"/>
        <v>0</v>
      </c>
      <c r="F203" s="66">
        <f t="shared" si="17"/>
        <v>0</v>
      </c>
      <c r="G203" s="64">
        <f t="shared" si="18"/>
        <v>262639</v>
      </c>
      <c r="H203" s="23"/>
      <c r="I203" s="23"/>
      <c r="J203" s="23"/>
      <c r="K203" s="23"/>
      <c r="L203" s="23"/>
      <c r="M203" s="22"/>
    </row>
    <row r="204" spans="3:13" ht="39.75" customHeight="1" x14ac:dyDescent="0.3">
      <c r="C204" s="135" t="s">
        <v>546</v>
      </c>
      <c r="D204" s="119">
        <f t="shared" si="17"/>
        <v>41944.380000000005</v>
      </c>
      <c r="E204" s="119">
        <f t="shared" si="17"/>
        <v>0</v>
      </c>
      <c r="F204" s="119">
        <f t="shared" si="17"/>
        <v>0</v>
      </c>
      <c r="G204" s="64">
        <f t="shared" si="18"/>
        <v>41944.380000000005</v>
      </c>
      <c r="H204" s="23"/>
      <c r="I204" s="23"/>
      <c r="J204" s="23"/>
      <c r="K204" s="23"/>
      <c r="L204" s="23"/>
      <c r="M204" s="22"/>
    </row>
    <row r="205" spans="3:13" ht="22.5" customHeight="1" x14ac:dyDescent="0.3">
      <c r="C205" s="104" t="s">
        <v>528</v>
      </c>
      <c r="D205" s="120">
        <f>SUM(D198:D204)</f>
        <v>1401869.1642327746</v>
      </c>
      <c r="E205" s="120">
        <f>SUM(E198:E204)</f>
        <v>0</v>
      </c>
      <c r="F205" s="120">
        <f>SUM(F198:F204)</f>
        <v>0</v>
      </c>
      <c r="G205" s="121">
        <f t="shared" si="18"/>
        <v>1401869.1642327746</v>
      </c>
      <c r="H205" s="23"/>
      <c r="I205" s="23"/>
      <c r="J205" s="23"/>
      <c r="K205" s="23"/>
      <c r="L205" s="23"/>
      <c r="M205" s="22"/>
    </row>
    <row r="206" spans="3:13" ht="26.25" customHeight="1" thickBot="1" x14ac:dyDescent="0.35">
      <c r="C206" s="104" t="s">
        <v>529</v>
      </c>
      <c r="D206" s="68">
        <f>D205*0.07</f>
        <v>98130.841496294233</v>
      </c>
      <c r="E206" s="68">
        <f t="shared" ref="E206:G206" si="19">E205*0.07</f>
        <v>0</v>
      </c>
      <c r="F206" s="68">
        <f t="shared" si="19"/>
        <v>0</v>
      </c>
      <c r="G206" s="124">
        <f t="shared" si="19"/>
        <v>98130.841496294233</v>
      </c>
      <c r="H206" s="31"/>
      <c r="I206" s="31"/>
      <c r="J206" s="31"/>
      <c r="K206" s="31"/>
      <c r="L206" s="47"/>
      <c r="M206" s="45"/>
    </row>
    <row r="207" spans="3:13" ht="23.25" customHeight="1" thickBot="1" x14ac:dyDescent="0.35">
      <c r="C207" s="122" t="s">
        <v>364</v>
      </c>
      <c r="D207" s="123">
        <f>SUM(D205:D206)</f>
        <v>1500000.0057290688</v>
      </c>
      <c r="E207" s="123">
        <f t="shared" ref="E207:G207" si="20">SUM(E205:E206)</f>
        <v>0</v>
      </c>
      <c r="F207" s="123">
        <f t="shared" si="20"/>
        <v>0</v>
      </c>
      <c r="G207" s="67">
        <f t="shared" si="20"/>
        <v>1500000.0057290688</v>
      </c>
      <c r="H207" s="31"/>
      <c r="I207" s="31"/>
      <c r="J207" s="31"/>
      <c r="K207" s="31"/>
      <c r="L207" s="47"/>
      <c r="M207" s="45"/>
    </row>
    <row r="208" spans="3:13" ht="15.75" customHeight="1" x14ac:dyDescent="0.3">
      <c r="L208" s="48"/>
    </row>
    <row r="209" spans="3:13" ht="15.75" customHeight="1" x14ac:dyDescent="0.3">
      <c r="H209" s="35"/>
      <c r="I209" s="35"/>
      <c r="L209" s="48"/>
    </row>
    <row r="210" spans="3:13" ht="15.75" customHeight="1" x14ac:dyDescent="0.3">
      <c r="H210" s="35"/>
      <c r="I210" s="35"/>
    </row>
    <row r="211" spans="3:13" ht="40.5" customHeight="1" x14ac:dyDescent="0.3">
      <c r="H211" s="35"/>
      <c r="I211" s="35"/>
      <c r="L211" s="49"/>
    </row>
    <row r="212" spans="3:13" ht="24.75" customHeight="1" x14ac:dyDescent="0.3">
      <c r="H212" s="35"/>
      <c r="I212" s="35"/>
      <c r="L212" s="49"/>
    </row>
    <row r="213" spans="3:13" ht="41.25" customHeight="1" x14ac:dyDescent="0.3">
      <c r="H213" s="11"/>
      <c r="I213" s="35"/>
      <c r="L213" s="49"/>
    </row>
    <row r="214" spans="3:13" ht="51.75" customHeight="1" x14ac:dyDescent="0.3">
      <c r="H214" s="11"/>
      <c r="I214" s="35"/>
      <c r="L214" s="49"/>
    </row>
    <row r="215" spans="3:13" ht="42" customHeight="1" x14ac:dyDescent="0.3">
      <c r="H215" s="35"/>
      <c r="I215" s="35"/>
      <c r="L215" s="49"/>
    </row>
    <row r="216" spans="3:13" s="45" customFormat="1" ht="42" customHeight="1" x14ac:dyDescent="0.3">
      <c r="C216" s="44"/>
      <c r="G216" s="44"/>
      <c r="H216" s="44"/>
      <c r="I216" s="35"/>
      <c r="J216" s="44"/>
      <c r="K216" s="44"/>
      <c r="L216" s="49"/>
      <c r="M216" s="44"/>
    </row>
    <row r="217" spans="3:13" s="45" customFormat="1" ht="42" customHeight="1" x14ac:dyDescent="0.3">
      <c r="C217" s="44"/>
      <c r="G217" s="44"/>
      <c r="H217" s="44"/>
      <c r="I217" s="35"/>
      <c r="J217" s="44"/>
      <c r="K217" s="44"/>
      <c r="L217" s="44"/>
      <c r="M217" s="44"/>
    </row>
    <row r="218" spans="3:13" s="45" customFormat="1" ht="63.75" customHeight="1" x14ac:dyDescent="0.3">
      <c r="C218" s="44"/>
      <c r="G218" s="44"/>
      <c r="H218" s="44"/>
      <c r="I218" s="48"/>
      <c r="J218" s="44"/>
      <c r="K218" s="44"/>
      <c r="L218" s="44"/>
      <c r="M218" s="44"/>
    </row>
    <row r="219" spans="3:13" s="45" customFormat="1" ht="42" customHeight="1" x14ac:dyDescent="0.3">
      <c r="C219" s="44"/>
      <c r="G219" s="44"/>
      <c r="H219" s="44"/>
      <c r="I219" s="44"/>
      <c r="J219" s="44"/>
      <c r="K219" s="44"/>
      <c r="L219" s="44"/>
      <c r="M219" s="48"/>
    </row>
    <row r="220" spans="3:13" ht="23.25" customHeight="1" x14ac:dyDescent="0.3"/>
    <row r="221" spans="3:13" ht="27.75" customHeight="1" x14ac:dyDescent="0.3"/>
    <row r="222" spans="3:13" ht="55.5" customHeight="1" x14ac:dyDescent="0.3"/>
    <row r="223" spans="3:13" ht="57.75" customHeight="1" x14ac:dyDescent="0.3"/>
    <row r="224" spans="3:13" ht="21.75" customHeight="1" x14ac:dyDescent="0.3"/>
    <row r="225" spans="14:14" ht="49.5" customHeight="1" x14ac:dyDescent="0.3"/>
    <row r="226" spans="14:14" ht="28.5" customHeight="1" x14ac:dyDescent="0.3"/>
    <row r="227" spans="14:14" ht="28.5" customHeight="1" x14ac:dyDescent="0.3"/>
    <row r="228" spans="14:14" ht="28.5" customHeight="1" x14ac:dyDescent="0.3"/>
    <row r="229" spans="14:14" ht="23.25" customHeight="1" x14ac:dyDescent="0.3">
      <c r="N229" s="48"/>
    </row>
    <row r="230" spans="14:14" ht="43.5" customHeight="1" x14ac:dyDescent="0.3">
      <c r="N230" s="48"/>
    </row>
    <row r="231" spans="14:14" ht="55.5" customHeight="1" x14ac:dyDescent="0.3"/>
    <row r="232" spans="14:14" ht="42.75" customHeight="1" x14ac:dyDescent="0.3">
      <c r="N232" s="48"/>
    </row>
    <row r="233" spans="14:14" ht="21.75" customHeight="1" x14ac:dyDescent="0.3">
      <c r="N233" s="48"/>
    </row>
    <row r="234" spans="14:14" ht="21.75" customHeight="1" x14ac:dyDescent="0.3">
      <c r="N234" s="48"/>
    </row>
    <row r="235" spans="14:14" ht="23.25" customHeight="1" x14ac:dyDescent="0.3"/>
    <row r="236" spans="14:14" ht="23.25" customHeight="1" x14ac:dyDescent="0.3"/>
    <row r="237" spans="14:14" ht="21.75" customHeight="1" x14ac:dyDescent="0.3"/>
    <row r="238" spans="14:14" ht="16.5" customHeight="1" x14ac:dyDescent="0.3"/>
    <row r="239" spans="14:14" ht="29.25" customHeight="1" x14ac:dyDescent="0.3"/>
    <row r="240" spans="14:14" ht="24.75" customHeight="1" x14ac:dyDescent="0.3"/>
    <row r="241" ht="33" customHeight="1" x14ac:dyDescent="0.3"/>
    <row r="243" ht="15" customHeight="1" x14ac:dyDescent="0.3"/>
    <row r="244" ht="25.5" customHeight="1" x14ac:dyDescent="0.3"/>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5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500-000001000000}"/>
    <dataValidation allowBlank="1" showInputMessage="1" showErrorMessage="1" prompt="Services contracted by an organization which follow the normal procurement processes." sqref="C179 C11 C22 C33 C44 C56 C67 C78 C89 C101 C112 C123 C134 C146 C157 C168 C190 C201" xr:uid="{00000000-0002-0000-05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5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5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5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500-000006000000}"/>
    <dataValidation allowBlank="1" showInputMessage="1" showErrorMessage="1" prompt="Output totals must match the original total from Table 1, and will show as red if not. " sqref="G15" xr:uid="{00000000-0002-0000-05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B1:B14"/>
  <sheetViews>
    <sheetView showGridLines="0" topLeftCell="A7" workbookViewId="0">
      <selection activeCell="F3" sqref="F3"/>
    </sheetView>
  </sheetViews>
  <sheetFormatPr defaultColWidth="8.88671875" defaultRowHeight="14.4" x14ac:dyDescent="0.3"/>
  <cols>
    <col min="2" max="2" width="73.33203125" customWidth="1"/>
  </cols>
  <sheetData>
    <row r="1" spans="2:2" ht="15" thickBot="1" x14ac:dyDescent="0.35"/>
    <row r="2" spans="2:2" ht="15" thickBot="1" x14ac:dyDescent="0.35">
      <c r="B2" s="140" t="s">
        <v>571</v>
      </c>
    </row>
    <row r="3" spans="2:2" ht="70.5" customHeight="1" x14ac:dyDescent="0.3">
      <c r="B3" s="141" t="s">
        <v>578</v>
      </c>
    </row>
    <row r="4" spans="2:2" ht="57.6" x14ac:dyDescent="0.3">
      <c r="B4" s="138" t="s">
        <v>572</v>
      </c>
    </row>
    <row r="5" spans="2:2" x14ac:dyDescent="0.3">
      <c r="B5" s="138"/>
    </row>
    <row r="6" spans="2:2" ht="57.6" x14ac:dyDescent="0.3">
      <c r="B6" s="137" t="s">
        <v>573</v>
      </c>
    </row>
    <row r="7" spans="2:2" x14ac:dyDescent="0.3">
      <c r="B7" s="138"/>
    </row>
    <row r="8" spans="2:2" ht="72" x14ac:dyDescent="0.3">
      <c r="B8" s="137" t="s">
        <v>579</v>
      </c>
    </row>
    <row r="9" spans="2:2" x14ac:dyDescent="0.3">
      <c r="B9" s="138"/>
    </row>
    <row r="10" spans="2:2" ht="28.8" x14ac:dyDescent="0.3">
      <c r="B10" s="138" t="s">
        <v>574</v>
      </c>
    </row>
    <row r="11" spans="2:2" x14ac:dyDescent="0.3">
      <c r="B11" s="138"/>
    </row>
    <row r="12" spans="2:2" ht="72" x14ac:dyDescent="0.3">
      <c r="B12" s="137" t="s">
        <v>580</v>
      </c>
    </row>
    <row r="13" spans="2:2" x14ac:dyDescent="0.3">
      <c r="B13" s="138"/>
    </row>
    <row r="14" spans="2:2" ht="58.2" thickBot="1" x14ac:dyDescent="0.35">
      <c r="B14" s="139" t="s">
        <v>575</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B1:D47"/>
  <sheetViews>
    <sheetView showGridLines="0" showZeros="0" zoomScale="80" zoomScaleNormal="80" zoomScaleSheetLayoutView="70" workbookViewId="0">
      <selection activeCell="F3" sqref="F3"/>
    </sheetView>
  </sheetViews>
  <sheetFormatPr defaultColWidth="8.88671875" defaultRowHeight="14.4" x14ac:dyDescent="0.3"/>
  <cols>
    <col min="2" max="2" width="61.88671875" customWidth="1"/>
    <col min="4" max="4" width="17.88671875" customWidth="1"/>
  </cols>
  <sheetData>
    <row r="1" spans="2:4" ht="15" thickBot="1" x14ac:dyDescent="0.35"/>
    <row r="2" spans="2:4" x14ac:dyDescent="0.3">
      <c r="B2" s="519" t="s">
        <v>365</v>
      </c>
      <c r="C2" s="520"/>
      <c r="D2" s="521"/>
    </row>
    <row r="3" spans="2:4" ht="15" thickBot="1" x14ac:dyDescent="0.35">
      <c r="B3" s="522"/>
      <c r="C3" s="523"/>
      <c r="D3" s="524"/>
    </row>
    <row r="4" spans="2:4" ht="15" thickBot="1" x14ac:dyDescent="0.35"/>
    <row r="5" spans="2:4" x14ac:dyDescent="0.3">
      <c r="B5" s="510" t="s">
        <v>15</v>
      </c>
      <c r="C5" s="511"/>
      <c r="D5" s="512"/>
    </row>
    <row r="6" spans="2:4" ht="15" thickBot="1" x14ac:dyDescent="0.35">
      <c r="B6" s="513"/>
      <c r="C6" s="514"/>
      <c r="D6" s="515"/>
    </row>
    <row r="7" spans="2:4" x14ac:dyDescent="0.3">
      <c r="B7" s="75" t="s">
        <v>16</v>
      </c>
      <c r="C7" s="508">
        <f>SUM('1) Tableau budgétaire 1'!D16:F16,'1) Tableau budgétaire 1'!D26:F26,'1) Tableau budgétaire 1'!D36:F36,'1) Tableau budgétaire 1'!D46:F46)</f>
        <v>379720.01985782915</v>
      </c>
      <c r="D7" s="509"/>
    </row>
    <row r="8" spans="2:4" x14ac:dyDescent="0.3">
      <c r="B8" s="75" t="s">
        <v>363</v>
      </c>
      <c r="C8" s="506">
        <f>SUM(D10:D14)</f>
        <v>0</v>
      </c>
      <c r="D8" s="507"/>
    </row>
    <row r="9" spans="2:4" x14ac:dyDescent="0.3">
      <c r="B9" s="76" t="s">
        <v>357</v>
      </c>
      <c r="C9" s="77" t="s">
        <v>358</v>
      </c>
      <c r="D9" s="78" t="s">
        <v>359</v>
      </c>
    </row>
    <row r="10" spans="2:4" ht="35.1" customHeight="1" x14ac:dyDescent="0.3">
      <c r="B10" s="100"/>
      <c r="C10" s="80"/>
      <c r="D10" s="81">
        <f>$C$7*C10</f>
        <v>0</v>
      </c>
    </row>
    <row r="11" spans="2:4" ht="35.1" customHeight="1" x14ac:dyDescent="0.3">
      <c r="B11" s="100"/>
      <c r="C11" s="80"/>
      <c r="D11" s="81">
        <f>C7*C11</f>
        <v>0</v>
      </c>
    </row>
    <row r="12" spans="2:4" ht="35.1" customHeight="1" x14ac:dyDescent="0.3">
      <c r="B12" s="101"/>
      <c r="C12" s="80"/>
      <c r="D12" s="81">
        <f>C7*C12</f>
        <v>0</v>
      </c>
    </row>
    <row r="13" spans="2:4" ht="35.1" customHeight="1" x14ac:dyDescent="0.3">
      <c r="B13" s="101"/>
      <c r="C13" s="80"/>
      <c r="D13" s="81">
        <f>C7*C13</f>
        <v>0</v>
      </c>
    </row>
    <row r="14" spans="2:4" ht="35.1" customHeight="1" thickBot="1" x14ac:dyDescent="0.35">
      <c r="B14" s="102"/>
      <c r="C14" s="80"/>
      <c r="D14" s="85">
        <f>C7*C14</f>
        <v>0</v>
      </c>
    </row>
    <row r="15" spans="2:4" ht="15" thickBot="1" x14ac:dyDescent="0.35"/>
    <row r="16" spans="2:4" x14ac:dyDescent="0.3">
      <c r="B16" s="510" t="s">
        <v>360</v>
      </c>
      <c r="C16" s="511"/>
      <c r="D16" s="512"/>
    </row>
    <row r="17" spans="2:4" ht="15" thickBot="1" x14ac:dyDescent="0.35">
      <c r="B17" s="516"/>
      <c r="C17" s="517"/>
      <c r="D17" s="518"/>
    </row>
    <row r="18" spans="2:4" x14ac:dyDescent="0.3">
      <c r="B18" s="75" t="s">
        <v>16</v>
      </c>
      <c r="C18" s="508">
        <f>SUM('1) Tableau budgétaire 1'!D58:F58,'1) Tableau budgétaire 1'!D68:F68,'1) Tableau budgétaire 1'!D78:F78,'1) Tableau budgétaire 1'!D88:F88)</f>
        <v>366971.17845561972</v>
      </c>
      <c r="D18" s="509"/>
    </row>
    <row r="19" spans="2:4" x14ac:dyDescent="0.3">
      <c r="B19" s="75" t="s">
        <v>363</v>
      </c>
      <c r="C19" s="506">
        <f>SUM(D21:D25)</f>
        <v>0</v>
      </c>
      <c r="D19" s="507"/>
    </row>
    <row r="20" spans="2:4" x14ac:dyDescent="0.3">
      <c r="B20" s="76" t="s">
        <v>357</v>
      </c>
      <c r="C20" s="77" t="s">
        <v>358</v>
      </c>
      <c r="D20" s="78" t="s">
        <v>359</v>
      </c>
    </row>
    <row r="21" spans="2:4" ht="35.1" customHeight="1" x14ac:dyDescent="0.3">
      <c r="B21" s="79"/>
      <c r="C21" s="80"/>
      <c r="D21" s="81">
        <f>$C$18*C21</f>
        <v>0</v>
      </c>
    </row>
    <row r="22" spans="2:4" ht="35.1" customHeight="1" x14ac:dyDescent="0.3">
      <c r="B22" s="82"/>
      <c r="C22" s="80"/>
      <c r="D22" s="81">
        <f>$C$18*C22</f>
        <v>0</v>
      </c>
    </row>
    <row r="23" spans="2:4" ht="35.1" customHeight="1" x14ac:dyDescent="0.3">
      <c r="B23" s="83"/>
      <c r="C23" s="80"/>
      <c r="D23" s="81">
        <f>$C$18*C23</f>
        <v>0</v>
      </c>
    </row>
    <row r="24" spans="2:4" ht="35.1" customHeight="1" x14ac:dyDescent="0.3">
      <c r="B24" s="83"/>
      <c r="C24" s="80"/>
      <c r="D24" s="81">
        <f>$C$18*C24</f>
        <v>0</v>
      </c>
    </row>
    <row r="25" spans="2:4" ht="35.1" customHeight="1" thickBot="1" x14ac:dyDescent="0.35">
      <c r="B25" s="84"/>
      <c r="C25" s="80"/>
      <c r="D25" s="81">
        <f>$C$18*C25</f>
        <v>0</v>
      </c>
    </row>
    <row r="26" spans="2:4" ht="15" thickBot="1" x14ac:dyDescent="0.35"/>
    <row r="27" spans="2:4" x14ac:dyDescent="0.3">
      <c r="B27" s="510" t="s">
        <v>361</v>
      </c>
      <c r="C27" s="511"/>
      <c r="D27" s="512"/>
    </row>
    <row r="28" spans="2:4" ht="15" thickBot="1" x14ac:dyDescent="0.35">
      <c r="B28" s="513"/>
      <c r="C28" s="514"/>
      <c r="D28" s="515"/>
    </row>
    <row r="29" spans="2:4" x14ac:dyDescent="0.3">
      <c r="B29" s="75" t="s">
        <v>16</v>
      </c>
      <c r="C29" s="508">
        <f>SUM('1) Tableau budgétaire 1'!D100:F100,'1) Tableau budgétaire 1'!D110:F110,'1) Tableau budgétaire 1'!D120:F120,'1) Tableau budgétaire 1'!D130:F130)</f>
        <v>198857.00587825233</v>
      </c>
      <c r="D29" s="509"/>
    </row>
    <row r="30" spans="2:4" x14ac:dyDescent="0.3">
      <c r="B30" s="75" t="s">
        <v>363</v>
      </c>
      <c r="C30" s="506">
        <f>SUM(D32:D36)</f>
        <v>0</v>
      </c>
      <c r="D30" s="507"/>
    </row>
    <row r="31" spans="2:4" x14ac:dyDescent="0.3">
      <c r="B31" s="76" t="s">
        <v>357</v>
      </c>
      <c r="C31" s="77" t="s">
        <v>358</v>
      </c>
      <c r="D31" s="78" t="s">
        <v>359</v>
      </c>
    </row>
    <row r="32" spans="2:4" ht="35.1" customHeight="1" x14ac:dyDescent="0.3">
      <c r="B32" s="79"/>
      <c r="C32" s="80"/>
      <c r="D32" s="81">
        <f>$C$29*C32</f>
        <v>0</v>
      </c>
    </row>
    <row r="33" spans="2:4" ht="35.1" customHeight="1" x14ac:dyDescent="0.3">
      <c r="B33" s="82"/>
      <c r="C33" s="80"/>
      <c r="D33" s="81">
        <f>$C$29*C33</f>
        <v>0</v>
      </c>
    </row>
    <row r="34" spans="2:4" ht="35.1" customHeight="1" x14ac:dyDescent="0.3">
      <c r="B34" s="83"/>
      <c r="C34" s="80"/>
      <c r="D34" s="81">
        <f>$C$29*C34</f>
        <v>0</v>
      </c>
    </row>
    <row r="35" spans="2:4" ht="35.1" customHeight="1" x14ac:dyDescent="0.3">
      <c r="B35" s="83"/>
      <c r="C35" s="80"/>
      <c r="D35" s="81">
        <f>$C$29*C35</f>
        <v>0</v>
      </c>
    </row>
    <row r="36" spans="2:4" ht="35.1" customHeight="1" thickBot="1" x14ac:dyDescent="0.35">
      <c r="B36" s="84"/>
      <c r="C36" s="80"/>
      <c r="D36" s="81">
        <f>$C$29*C36</f>
        <v>0</v>
      </c>
    </row>
    <row r="37" spans="2:4" ht="15" thickBot="1" x14ac:dyDescent="0.35"/>
    <row r="38" spans="2:4" x14ac:dyDescent="0.3">
      <c r="B38" s="510" t="s">
        <v>362</v>
      </c>
      <c r="C38" s="511"/>
      <c r="D38" s="512"/>
    </row>
    <row r="39" spans="2:4" ht="15" thickBot="1" x14ac:dyDescent="0.35">
      <c r="B39" s="513"/>
      <c r="C39" s="514"/>
      <c r="D39" s="515"/>
    </row>
    <row r="40" spans="2:4" x14ac:dyDescent="0.3">
      <c r="B40" s="75" t="s">
        <v>16</v>
      </c>
      <c r="C40" s="508">
        <f>SUM('1) Tableau budgétaire 1'!D142:F142,'1) Tableau budgétaire 1'!D152:F152,'1) Tableau budgétaire 1'!D162:F162,'1) Tableau budgétaire 1'!D172:F172)</f>
        <v>0</v>
      </c>
      <c r="D40" s="509"/>
    </row>
    <row r="41" spans="2:4" x14ac:dyDescent="0.3">
      <c r="B41" s="75" t="s">
        <v>363</v>
      </c>
      <c r="C41" s="506">
        <f>SUM(D43:D47)</f>
        <v>0</v>
      </c>
      <c r="D41" s="507"/>
    </row>
    <row r="42" spans="2:4" x14ac:dyDescent="0.3">
      <c r="B42" s="76" t="s">
        <v>357</v>
      </c>
      <c r="C42" s="77" t="s">
        <v>358</v>
      </c>
      <c r="D42" s="78" t="s">
        <v>359</v>
      </c>
    </row>
    <row r="43" spans="2:4" ht="35.1" customHeight="1" x14ac:dyDescent="0.3">
      <c r="B43" s="79"/>
      <c r="C43" s="80"/>
      <c r="D43" s="81">
        <f>$C$40*C43</f>
        <v>0</v>
      </c>
    </row>
    <row r="44" spans="2:4" ht="35.1" customHeight="1" x14ac:dyDescent="0.3">
      <c r="B44" s="82"/>
      <c r="C44" s="80"/>
      <c r="D44" s="81">
        <f>$C$40*C44</f>
        <v>0</v>
      </c>
    </row>
    <row r="45" spans="2:4" ht="35.1" customHeight="1" x14ac:dyDescent="0.3">
      <c r="B45" s="83"/>
      <c r="C45" s="80"/>
      <c r="D45" s="81">
        <f>$C$40*C45</f>
        <v>0</v>
      </c>
    </row>
    <row r="46" spans="2:4" ht="35.1" customHeight="1" x14ac:dyDescent="0.3">
      <c r="B46" s="83"/>
      <c r="C46" s="80"/>
      <c r="D46" s="81">
        <f>$C$40*C46</f>
        <v>0</v>
      </c>
    </row>
    <row r="47" spans="2:4" ht="35.1" customHeight="1" thickBot="1" x14ac:dyDescent="0.35">
      <c r="B47" s="84"/>
      <c r="C47" s="80"/>
      <c r="D47" s="85">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Sheet2!$A$1:$A$170</xm:f>
          </x14:formula1>
          <xm:sqref>B10:B14 B21:B25 B32:B36 B43:B47</xm:sqref>
        </x14:dataValidation>
        <x14:dataValidation type="list" allowBlank="1" showInputMessage="1" showErrorMessage="1" xr:uid="{00000000-0002-0000-0700-000001000000}">
          <x14:formula1>
            <xm:f>Dropdowns!$A$1:$A$6</xm:f>
          </x14:formula1>
          <xm:sqref>C10:C14 C21:C25 C32:C36 C43:C47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B1:G23"/>
  <sheetViews>
    <sheetView showGridLines="0" zoomScale="80" zoomScaleNormal="80" workbookViewId="0">
      <selection activeCell="C7" sqref="C7"/>
    </sheetView>
  </sheetViews>
  <sheetFormatPr defaultColWidth="8.88671875" defaultRowHeight="14.4" x14ac:dyDescent="0.3"/>
  <cols>
    <col min="1" max="1" width="12.44140625" customWidth="1"/>
    <col min="2" max="2" width="20.44140625" customWidth="1"/>
    <col min="3" max="3" width="25.44140625" customWidth="1"/>
    <col min="4" max="5" width="25.44140625" hidden="1"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69" customFormat="1" ht="15.6" x14ac:dyDescent="0.3">
      <c r="B2" s="525" t="s">
        <v>12</v>
      </c>
      <c r="C2" s="526"/>
      <c r="D2" s="526"/>
      <c r="E2" s="526"/>
      <c r="F2" s="527"/>
    </row>
    <row r="3" spans="2:6" s="69" customFormat="1" ht="16.2" thickBot="1" x14ac:dyDescent="0.35">
      <c r="B3" s="528"/>
      <c r="C3" s="529"/>
      <c r="D3" s="529"/>
      <c r="E3" s="529"/>
      <c r="F3" s="530"/>
    </row>
    <row r="4" spans="2:6" s="69" customFormat="1" ht="16.2" thickBot="1" x14ac:dyDescent="0.35"/>
    <row r="5" spans="2:6" s="69" customFormat="1" ht="16.2" thickBot="1" x14ac:dyDescent="0.35">
      <c r="B5" s="503" t="s">
        <v>6</v>
      </c>
      <c r="C5" s="504"/>
      <c r="D5" s="504"/>
      <c r="E5" s="504"/>
      <c r="F5" s="505"/>
    </row>
    <row r="6" spans="2:6" s="69" customFormat="1" ht="52.5" customHeight="1" x14ac:dyDescent="0.3">
      <c r="B6" s="65"/>
      <c r="C6" s="50" t="str">
        <f>'1) Tableau budgétaire 1'!D5</f>
        <v>Organisation recipiendiaire 1 (budget en USD)</v>
      </c>
      <c r="D6" s="50" t="str">
        <f>'1) Tableau budgétaire 1'!E5</f>
        <v>Organisation recipiendiaire 2 (budget en USD)</v>
      </c>
      <c r="E6" s="50" t="str">
        <f>'1) Tableau budgétaire 1'!F5</f>
        <v>Organisation recipiendiaire 3 (budget en USD)</v>
      </c>
      <c r="F6" s="310" t="s">
        <v>6</v>
      </c>
    </row>
    <row r="7" spans="2:6" s="69" customFormat="1" ht="31.2" x14ac:dyDescent="0.3">
      <c r="B7" s="19" t="s">
        <v>0</v>
      </c>
      <c r="C7" s="66">
        <f>'2) Tableau budgétaire 2'!D198</f>
        <v>713760.84773166804</v>
      </c>
      <c r="D7" s="66">
        <f>'2) Tableau budgétaire 2'!E198</f>
        <v>0</v>
      </c>
      <c r="E7" s="66">
        <f>'2) Tableau budgétaire 2'!F198</f>
        <v>0</v>
      </c>
      <c r="F7" s="63">
        <f t="shared" ref="F7:F14" si="0">SUM(C7:E7)</f>
        <v>713760.84773166804</v>
      </c>
    </row>
    <row r="8" spans="2:6" s="69" customFormat="1" ht="46.8" x14ac:dyDescent="0.3">
      <c r="B8" s="19" t="s">
        <v>1</v>
      </c>
      <c r="C8" s="66">
        <f>'2) Tableau budgétaire 2'!D199</f>
        <v>223176.81826912917</v>
      </c>
      <c r="D8" s="66">
        <f>'2) Tableau budgétaire 2'!E199</f>
        <v>0</v>
      </c>
      <c r="E8" s="66">
        <f>'2) Tableau budgétaire 2'!F199</f>
        <v>0</v>
      </c>
      <c r="F8" s="64">
        <f t="shared" si="0"/>
        <v>223176.81826912917</v>
      </c>
    </row>
    <row r="9" spans="2:6" s="69" customFormat="1" ht="62.4" x14ac:dyDescent="0.3">
      <c r="B9" s="19" t="s">
        <v>2</v>
      </c>
      <c r="C9" s="66">
        <f>'2) Tableau budgétaire 2'!D200</f>
        <v>6072.7500410736657</v>
      </c>
      <c r="D9" s="66">
        <f>'2) Tableau budgétaire 2'!E200</f>
        <v>0</v>
      </c>
      <c r="E9" s="66">
        <f>'2) Tableau budgétaire 2'!F200</f>
        <v>0</v>
      </c>
      <c r="F9" s="64">
        <f t="shared" si="0"/>
        <v>6072.7500410736657</v>
      </c>
    </row>
    <row r="10" spans="2:6" s="69" customFormat="1" ht="31.2" x14ac:dyDescent="0.3">
      <c r="B10" s="30" t="s">
        <v>3</v>
      </c>
      <c r="C10" s="66">
        <f>'2) Tableau budgétaire 2'!D201</f>
        <v>116995.65559090399</v>
      </c>
      <c r="D10" s="66">
        <f>'2) Tableau budgétaire 2'!E201</f>
        <v>0</v>
      </c>
      <c r="E10" s="66">
        <f>'2) Tableau budgétaire 2'!F201</f>
        <v>0</v>
      </c>
      <c r="F10" s="64">
        <f t="shared" si="0"/>
        <v>116995.65559090399</v>
      </c>
    </row>
    <row r="11" spans="2:6" s="69" customFormat="1" ht="15.6" x14ac:dyDescent="0.3">
      <c r="B11" s="19" t="s">
        <v>5</v>
      </c>
      <c r="C11" s="66">
        <f>'2) Tableau budgétaire 2'!D202</f>
        <v>37279.712599999999</v>
      </c>
      <c r="D11" s="66">
        <f>'2) Tableau budgétaire 2'!E202</f>
        <v>0</v>
      </c>
      <c r="E11" s="66">
        <f>'2) Tableau budgétaire 2'!F202</f>
        <v>0</v>
      </c>
      <c r="F11" s="64">
        <f t="shared" si="0"/>
        <v>37279.712599999999</v>
      </c>
    </row>
    <row r="12" spans="2:6" s="69" customFormat="1" ht="46.8" x14ac:dyDescent="0.3">
      <c r="B12" s="19" t="s">
        <v>4</v>
      </c>
      <c r="C12" s="66">
        <f>'2) Tableau budgétaire 2'!D203</f>
        <v>262639</v>
      </c>
      <c r="D12" s="66">
        <f>'2) Tableau budgétaire 2'!E203</f>
        <v>0</v>
      </c>
      <c r="E12" s="66">
        <f>'2) Tableau budgétaire 2'!F203</f>
        <v>0</v>
      </c>
      <c r="F12" s="64">
        <f t="shared" si="0"/>
        <v>262639</v>
      </c>
    </row>
    <row r="13" spans="2:6" s="69" customFormat="1" ht="47.4" thickBot="1" x14ac:dyDescent="0.35">
      <c r="B13" s="147" t="s">
        <v>13</v>
      </c>
      <c r="C13" s="148">
        <f>'2) Tableau budgétaire 2'!D204</f>
        <v>41944.380000000005</v>
      </c>
      <c r="D13" s="148">
        <f>'2) Tableau budgétaire 2'!E204</f>
        <v>0</v>
      </c>
      <c r="E13" s="148">
        <f>'2) Tableau budgétaire 2'!F204</f>
        <v>0</v>
      </c>
      <c r="F13" s="149">
        <f t="shared" si="0"/>
        <v>41944.380000000005</v>
      </c>
    </row>
    <row r="14" spans="2:6" s="69" customFormat="1" ht="30" customHeight="1" x14ac:dyDescent="0.3">
      <c r="B14" s="152" t="s">
        <v>582</v>
      </c>
      <c r="C14" s="153">
        <f>SUM(C7:C13)</f>
        <v>1401869.1642327746</v>
      </c>
      <c r="D14" s="153">
        <f>SUM(D7:D13)</f>
        <v>0</v>
      </c>
      <c r="E14" s="153">
        <f>SUM(E7:E13)</f>
        <v>0</v>
      </c>
      <c r="F14" s="154">
        <f t="shared" si="0"/>
        <v>1401869.1642327746</v>
      </c>
    </row>
    <row r="15" spans="2:6" s="69" customFormat="1" ht="22.5" customHeight="1" x14ac:dyDescent="0.3">
      <c r="B15" s="143" t="s">
        <v>581</v>
      </c>
      <c r="C15" s="144">
        <f>C14*0.07</f>
        <v>98130.841496294233</v>
      </c>
      <c r="D15" s="144">
        <f t="shared" ref="D15:F15" si="1">D14*0.07</f>
        <v>0</v>
      </c>
      <c r="E15" s="144">
        <f t="shared" si="1"/>
        <v>0</v>
      </c>
      <c r="F15" s="150">
        <f t="shared" si="1"/>
        <v>98130.841496294233</v>
      </c>
    </row>
    <row r="16" spans="2:6" s="69" customFormat="1" ht="30" customHeight="1" thickBot="1" x14ac:dyDescent="0.35">
      <c r="B16" s="145" t="s">
        <v>11</v>
      </c>
      <c r="C16" s="146">
        <f>C14+C15</f>
        <v>1500000.0057290688</v>
      </c>
      <c r="D16" s="146">
        <f t="shared" ref="D16:F16" si="2">D14+D15</f>
        <v>0</v>
      </c>
      <c r="E16" s="146">
        <f t="shared" si="2"/>
        <v>0</v>
      </c>
      <c r="F16" s="151">
        <f t="shared" si="2"/>
        <v>1500000.0057290688</v>
      </c>
    </row>
    <row r="17" spans="2:7" s="69" customFormat="1" ht="16.2" thickBot="1" x14ac:dyDescent="0.35"/>
    <row r="18" spans="2:7" s="69" customFormat="1" ht="15.6" x14ac:dyDescent="0.3">
      <c r="B18" s="485" t="s">
        <v>7</v>
      </c>
      <c r="C18" s="486"/>
      <c r="D18" s="486"/>
      <c r="E18" s="486"/>
      <c r="F18" s="488"/>
    </row>
    <row r="19" spans="2:7" ht="48" customHeight="1" x14ac:dyDescent="0.3">
      <c r="B19" s="27"/>
      <c r="C19" s="25" t="str">
        <f>'1) Tableau budgétaire 1'!D5</f>
        <v>Organisation recipiendiaire 1 (budget en USD)</v>
      </c>
      <c r="D19" s="25" t="str">
        <f>'1) Tableau budgétaire 1'!E5</f>
        <v>Organisation recipiendiaire 2 (budget en USD)</v>
      </c>
      <c r="E19" s="25" t="str">
        <f>'1) Tableau budgétaire 1'!F5</f>
        <v>Organisation recipiendiaire 3 (budget en USD)</v>
      </c>
      <c r="F19" s="28" t="s">
        <v>364</v>
      </c>
      <c r="G19" s="166" t="s">
        <v>9</v>
      </c>
    </row>
    <row r="20" spans="2:7" ht="23.25" customHeight="1" x14ac:dyDescent="0.3">
      <c r="B20" s="26" t="s">
        <v>8</v>
      </c>
      <c r="C20" s="24">
        <f>'1) Tableau budgétaire 1'!D196</f>
        <v>525000.00200517429</v>
      </c>
      <c r="D20" s="24">
        <f>'1) Tableau budgétaire 1'!E196</f>
        <v>0</v>
      </c>
      <c r="E20" s="24">
        <f>'1) Tableau budgétaire 1'!F196</f>
        <v>0</v>
      </c>
      <c r="F20" s="165">
        <f>'1) Tableau budgétaire 1'!G196</f>
        <v>525000.00200517429</v>
      </c>
      <c r="G20" s="167">
        <f>'1) Tableau budgétaire 1'!H196</f>
        <v>0.35</v>
      </c>
    </row>
    <row r="21" spans="2:7" ht="24.75" customHeight="1" x14ac:dyDescent="0.3">
      <c r="B21" s="26" t="s">
        <v>10</v>
      </c>
      <c r="C21" s="24">
        <f>'1) Tableau budgétaire 1'!D197</f>
        <v>525000.00200517429</v>
      </c>
      <c r="D21" s="24">
        <f>'1) Tableau budgétaire 1'!E197</f>
        <v>0</v>
      </c>
      <c r="E21" s="24">
        <f>'1) Tableau budgétaire 1'!F197</f>
        <v>0</v>
      </c>
      <c r="F21" s="165">
        <f>'1) Tableau budgétaire 1'!G197</f>
        <v>525000.00200517429</v>
      </c>
      <c r="G21" s="167">
        <f>'1) Tableau budgétaire 1'!H197</f>
        <v>0.35</v>
      </c>
    </row>
    <row r="22" spans="2:7" ht="24.75" customHeight="1" thickBot="1" x14ac:dyDescent="0.35">
      <c r="B22" s="26" t="s">
        <v>589</v>
      </c>
      <c r="C22" s="24">
        <f>'1) Tableau budgétaire 1'!D198</f>
        <v>450000.00171872083</v>
      </c>
      <c r="D22" s="24">
        <f>'1) Tableau budgétaire 1'!E198</f>
        <v>0</v>
      </c>
      <c r="E22" s="24">
        <f>'1) Tableau budgétaire 1'!F198</f>
        <v>0</v>
      </c>
      <c r="F22" s="165">
        <f>'1) Tableau budgétaire 1'!G198</f>
        <v>450000.00171872083</v>
      </c>
      <c r="G22" s="168">
        <f>'1) Tableau budgétaire 1'!H198</f>
        <v>0.3</v>
      </c>
    </row>
    <row r="23" spans="2:7" ht="16.2" thickBot="1" x14ac:dyDescent="0.35">
      <c r="B23" s="8" t="s">
        <v>364</v>
      </c>
      <c r="C23" s="169">
        <f>'1) Tableau budgétaire 1'!D199</f>
        <v>1500000.0057290695</v>
      </c>
      <c r="D23" s="169">
        <f>'1) Tableau budgétaire 1'!E199</f>
        <v>0</v>
      </c>
      <c r="E23" s="169">
        <f>'1) Tableau budgétaire 1'!F199</f>
        <v>0</v>
      </c>
      <c r="F23" s="169">
        <f>'1) Tableau budgétaire 1'!G199</f>
        <v>1500000.0057290695</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8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8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800-000002000000}"/>
    <dataValidation allowBlank="1" showInputMessage="1" showErrorMessage="1" prompt="Includes staff and non-staff travel paid for by the organization directly related to a project." sqref="B11" xr:uid="{00000000-0002-0000-0800-000003000000}"/>
    <dataValidation allowBlank="1" showInputMessage="1" showErrorMessage="1" prompt="Services contracted by an organization which follow the normal procurement processes." sqref="B10" xr:uid="{00000000-0002-0000-08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8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8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gabriel.velastegui@undp.org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MPTF_00006_00907</ProjectId>
    <FundCode xmlns="f9695bc1-6109-4dcd-a27a-f8a0370b00e2">MPTF_00006</FundCode>
    <Comments xmlns="f9695bc1-6109-4dcd-a27a-f8a0370b00e2">Financial Annual Report</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2EF5A1C7-337B-4D38-8BC9-33CCE4201124}"/>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F079AD25-5447-46AF-964C-4F6026B823DE}">
  <ds:schemaRefs>
    <ds:schemaRef ds:uri="http://purl.org/dc/elements/1.1/"/>
    <ds:schemaRef ds:uri="3352a50b-fe51-4c0c-a9ac-ac90f8281031"/>
    <ds:schemaRef ds:uri="http://schemas.openxmlformats.org/package/2006/metadata/core-properties"/>
    <ds:schemaRef ds:uri="http://schemas.microsoft.com/office/2006/metadata/properties"/>
    <ds:schemaRef ds:uri="http://schemas.microsoft.com/office/2006/documentManagement/types"/>
    <ds:schemaRef ds:uri="http://purl.org/dc/terms/"/>
    <ds:schemaRef ds:uri="9dc44b34-9e2b-42ea-86f7-9ee7f71036fc"/>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BU CWW</vt:lpstr>
      <vt:lpstr>TCD_2</vt:lpstr>
      <vt:lpstr>TCD_1</vt:lpstr>
      <vt:lpstr>Instructions</vt:lpstr>
      <vt:lpstr>1) Tableau budgétaire 1</vt:lpstr>
      <vt:lpstr>2) Tableau budgétaire 2</vt:lpstr>
      <vt:lpstr>3) Notes d'explication</vt:lpstr>
      <vt:lpstr>4) Pour utilisation par PBSO</vt:lpstr>
      <vt:lpstr>5) Pour utilisation par MPTFO</vt:lpstr>
      <vt:lpstr>Dropdowns</vt:lpstr>
      <vt:lpstr>Sheet2</vt:lpstr>
      <vt:lpstr>Option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Rapport Financier Fanm Djanm Sept 2023 (1).xlsx</dc:title>
  <dc:creator>Jelena Zelenovic</dc:creator>
  <cp:lastModifiedBy>Tony Kouemo</cp:lastModifiedBy>
  <cp:lastPrinted>2023-08-29T19:27:56Z</cp:lastPrinted>
  <dcterms:created xsi:type="dcterms:W3CDTF">2017-11-15T21:17:43Z</dcterms:created>
  <dcterms:modified xsi:type="dcterms:W3CDTF">2023-11-12T01:30:44Z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ediaServiceImageTags">
    <vt:lpwstr/>
  </property>
</Properties>
</file>