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ducros\Desktop\"/>
    </mc:Choice>
  </mc:AlternateContent>
  <xr:revisionPtr revIDLastSave="0" documentId="8_{52270A10-FE5B-418F-8314-E0AC10718D44}" xr6:coauthVersionLast="47" xr6:coauthVersionMax="47" xr10:uidLastSave="{00000000-0000-0000-0000-000000000000}"/>
  <bookViews>
    <workbookView xWindow="-120" yWindow="-120" windowWidth="29040" windowHeight="157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7" i="1" l="1"/>
  <c r="J88" i="1" s="1"/>
  <c r="J60" i="1"/>
  <c r="J54" i="1"/>
  <c r="J53" i="1"/>
  <c r="J52" i="1"/>
  <c r="J49" i="1"/>
  <c r="J48" i="1"/>
  <c r="J47" i="1"/>
  <c r="J40" i="1"/>
  <c r="J41" i="1"/>
  <c r="J39" i="1"/>
  <c r="J38" i="1"/>
  <c r="J37" i="1"/>
  <c r="J34" i="1"/>
  <c r="J29" i="1"/>
  <c r="J28" i="1"/>
  <c r="J27" i="1"/>
  <c r="J24" i="1"/>
  <c r="J23" i="1"/>
  <c r="J22" i="1"/>
  <c r="J19" i="1"/>
  <c r="J18" i="1"/>
  <c r="J17" i="1"/>
  <c r="J16" i="1"/>
  <c r="J61" i="1" l="1"/>
  <c r="J63" i="1"/>
  <c r="J45" i="1"/>
  <c r="J25" i="1"/>
  <c r="G69" i="1"/>
  <c r="H42" i="1"/>
  <c r="J55" i="1"/>
  <c r="J30" i="1"/>
  <c r="J20" i="1"/>
  <c r="H62" i="1"/>
  <c r="J50" i="1" l="1"/>
  <c r="G214" i="5"/>
  <c r="G213" i="5"/>
  <c r="G212" i="5"/>
  <c r="G211" i="5"/>
  <c r="G210" i="5"/>
  <c r="F10" i="4" s="1"/>
  <c r="G209" i="5"/>
  <c r="F9" i="4" s="1"/>
  <c r="G208" i="5"/>
  <c r="F8" i="4" s="1"/>
  <c r="D90" i="1"/>
  <c r="G215" i="5" l="1"/>
  <c r="H198" i="5"/>
  <c r="H191" i="5"/>
  <c r="H175" i="5"/>
  <c r="H156" i="5"/>
  <c r="H120" i="5"/>
  <c r="H78" i="5"/>
  <c r="H42" i="5"/>
  <c r="H41" i="5"/>
  <c r="H40" i="5"/>
  <c r="H39" i="5"/>
  <c r="H34" i="5"/>
  <c r="H33" i="5"/>
  <c r="H31" i="5"/>
  <c r="H30" i="5"/>
  <c r="H29" i="5"/>
  <c r="H28" i="5"/>
  <c r="H23" i="5"/>
  <c r="H22" i="5"/>
  <c r="H21" i="5"/>
  <c r="H20" i="5"/>
  <c r="H19" i="5"/>
  <c r="H18" i="5"/>
  <c r="H17" i="5"/>
  <c r="H61" i="1"/>
  <c r="H60" i="1"/>
  <c r="H59" i="1"/>
  <c r="H63" i="1" l="1"/>
  <c r="G216" i="5"/>
  <c r="G217" i="5" s="1"/>
  <c r="F11" i="4"/>
  <c r="F13" i="4"/>
  <c r="D63"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53" i="1"/>
  <c r="H54" i="1"/>
  <c r="H52" i="1"/>
  <c r="H48" i="1"/>
  <c r="H49" i="1"/>
  <c r="H47" i="1"/>
  <c r="I50" i="1" s="1"/>
  <c r="H38" i="1"/>
  <c r="H39" i="1"/>
  <c r="H40" i="1"/>
  <c r="H41" i="1"/>
  <c r="H43" i="1"/>
  <c r="H44" i="1"/>
  <c r="H37" i="1"/>
  <c r="H34" i="1"/>
  <c r="I35" i="1" s="1"/>
  <c r="H28" i="1"/>
  <c r="H29" i="1"/>
  <c r="H27" i="1"/>
  <c r="H23" i="1"/>
  <c r="H24" i="1"/>
  <c r="H22" i="1"/>
  <c r="I25" i="1" s="1"/>
  <c r="H17" i="1"/>
  <c r="H18" i="1"/>
  <c r="H19" i="1"/>
  <c r="H16" i="1"/>
  <c r="F21" i="4"/>
  <c r="C7" i="4"/>
  <c r="F14" i="4"/>
  <c r="F7" i="4"/>
  <c r="G203" i="5"/>
  <c r="G192" i="5"/>
  <c r="G181" i="5"/>
  <c r="G170" i="5"/>
  <c r="G159" i="5"/>
  <c r="G147" i="5"/>
  <c r="G136" i="5"/>
  <c r="G125" i="5"/>
  <c r="G114" i="5"/>
  <c r="G102" i="5"/>
  <c r="G91" i="5"/>
  <c r="G80" i="5"/>
  <c r="G69" i="5"/>
  <c r="G57" i="5"/>
  <c r="G46" i="5"/>
  <c r="G24" i="5"/>
  <c r="G13" i="5"/>
  <c r="G81" i="1"/>
  <c r="G73" i="1"/>
  <c r="G63" i="1"/>
  <c r="G195" i="5" s="1"/>
  <c r="G184" i="5"/>
  <c r="G173" i="5"/>
  <c r="G162" i="5"/>
  <c r="G151" i="5"/>
  <c r="G139" i="5"/>
  <c r="G128" i="5"/>
  <c r="G117" i="5"/>
  <c r="G106" i="5"/>
  <c r="G55" i="1"/>
  <c r="G50" i="1"/>
  <c r="G45" i="1"/>
  <c r="G72" i="5" s="1"/>
  <c r="G35" i="1"/>
  <c r="G61" i="5" s="1"/>
  <c r="G49" i="5"/>
  <c r="G30" i="1"/>
  <c r="G25" i="1"/>
  <c r="G20" i="1"/>
  <c r="I55" i="1" l="1"/>
  <c r="I30" i="1"/>
  <c r="I20" i="1"/>
  <c r="G74" i="1"/>
  <c r="G68" i="1" s="1"/>
  <c r="G94" i="5"/>
  <c r="G83" i="5"/>
  <c r="G38" i="5"/>
  <c r="G27" i="5"/>
  <c r="H25" i="1"/>
  <c r="H20" i="1"/>
  <c r="G16" i="5"/>
  <c r="F12" i="4"/>
  <c r="H24" i="4"/>
  <c r="H23" i="4"/>
  <c r="H22" i="4"/>
  <c r="G75" i="1" l="1"/>
  <c r="G76" i="1" s="1"/>
  <c r="G84" i="1" s="1"/>
  <c r="F15" i="4"/>
  <c r="F16" i="4" s="1"/>
  <c r="F17" i="4" s="1"/>
  <c r="G83" i="1" l="1"/>
  <c r="G82" i="1"/>
  <c r="J35" i="1"/>
  <c r="G85" i="1" l="1"/>
  <c r="F25" i="4" s="1"/>
  <c r="F22" i="4"/>
  <c r="I85" i="1"/>
  <c r="D208" i="5" l="1"/>
  <c r="D21" i="4"/>
  <c r="E21" i="4"/>
  <c r="C21" i="4"/>
  <c r="D7" i="4"/>
  <c r="E7" i="4"/>
  <c r="E214" i="5"/>
  <c r="F214" i="5"/>
  <c r="E213" i="5"/>
  <c r="F213" i="5"/>
  <c r="E13" i="4" s="1"/>
  <c r="E212" i="5"/>
  <c r="F212" i="5"/>
  <c r="E211" i="5"/>
  <c r="F211" i="5"/>
  <c r="E210" i="5"/>
  <c r="F210" i="5"/>
  <c r="E209" i="5"/>
  <c r="F209" i="5"/>
  <c r="D210" i="5"/>
  <c r="D211" i="5"/>
  <c r="D212" i="5"/>
  <c r="D213" i="5"/>
  <c r="D214" i="5"/>
  <c r="D209" i="5"/>
  <c r="E208" i="5"/>
  <c r="F208" i="5"/>
  <c r="H213" i="5" l="1"/>
  <c r="H214" i="5"/>
  <c r="H210" i="5"/>
  <c r="H212" i="5"/>
  <c r="H208" i="5"/>
  <c r="H209" i="5"/>
  <c r="H211" i="5"/>
  <c r="D215" i="5"/>
  <c r="D216" i="5" l="1"/>
  <c r="D217" i="5" s="1"/>
  <c r="D13" i="5"/>
  <c r="E81" i="1"/>
  <c r="F81" i="1"/>
  <c r="D81" i="1"/>
  <c r="E73" i="1"/>
  <c r="F73" i="1"/>
  <c r="D73" i="1"/>
  <c r="F203" i="5"/>
  <c r="E203" i="5"/>
  <c r="D203" i="5"/>
  <c r="E63" i="1"/>
  <c r="E195" i="5" s="1"/>
  <c r="F63" i="1"/>
  <c r="F195" i="5" s="1"/>
  <c r="D195" i="5"/>
  <c r="H203" i="5" l="1"/>
  <c r="H195" i="5"/>
  <c r="H35" i="1"/>
  <c r="H55" i="1"/>
  <c r="H50" i="1"/>
  <c r="H45" i="1"/>
  <c r="I63" i="1"/>
  <c r="I45" i="1"/>
  <c r="H30" i="1"/>
  <c r="D14" i="4"/>
  <c r="E14" i="4"/>
  <c r="D12" i="4"/>
  <c r="E12" i="4"/>
  <c r="D11" i="4"/>
  <c r="E11" i="4"/>
  <c r="D10" i="4"/>
  <c r="E10" i="4"/>
  <c r="D9" i="4"/>
  <c r="E9" i="4"/>
  <c r="C14" i="4"/>
  <c r="C10" i="4"/>
  <c r="C11" i="4"/>
  <c r="C12" i="4"/>
  <c r="C13" i="4"/>
  <c r="C9" i="4"/>
  <c r="D8" i="4"/>
  <c r="E8" i="4"/>
  <c r="C8" i="4"/>
  <c r="F13" i="5"/>
  <c r="E13" i="5"/>
  <c r="D170" i="5"/>
  <c r="E170" i="5"/>
  <c r="F170" i="5"/>
  <c r="D181" i="5"/>
  <c r="E181" i="5"/>
  <c r="F181" i="5"/>
  <c r="D192" i="5"/>
  <c r="E192" i="5"/>
  <c r="F192" i="5"/>
  <c r="F159" i="5"/>
  <c r="E159" i="5"/>
  <c r="D159" i="5"/>
  <c r="D125" i="5"/>
  <c r="E125" i="5"/>
  <c r="F125" i="5"/>
  <c r="D136" i="5"/>
  <c r="E136" i="5"/>
  <c r="F136" i="5"/>
  <c r="D147" i="5"/>
  <c r="E147" i="5"/>
  <c r="F147" i="5"/>
  <c r="F114" i="5"/>
  <c r="E114" i="5"/>
  <c r="D114" i="5"/>
  <c r="D80" i="5"/>
  <c r="E80" i="5"/>
  <c r="F80" i="5"/>
  <c r="D91" i="5"/>
  <c r="E91" i="5"/>
  <c r="F91" i="5"/>
  <c r="D102" i="5"/>
  <c r="E102" i="5"/>
  <c r="F102" i="5"/>
  <c r="D69" i="5"/>
  <c r="E69" i="5"/>
  <c r="F69" i="5"/>
  <c r="D35" i="5"/>
  <c r="E35" i="5"/>
  <c r="F35" i="5"/>
  <c r="D46" i="5"/>
  <c r="E46" i="5"/>
  <c r="F46" i="5"/>
  <c r="D57" i="5"/>
  <c r="E57" i="5"/>
  <c r="F57" i="5"/>
  <c r="E24" i="5"/>
  <c r="F24" i="5"/>
  <c r="D24" i="5"/>
  <c r="D87" i="1" l="1"/>
  <c r="H46" i="5"/>
  <c r="G11" i="4"/>
  <c r="H57" i="5"/>
  <c r="H102" i="5"/>
  <c r="H147" i="5"/>
  <c r="H192" i="5"/>
  <c r="G9" i="4"/>
  <c r="G8" i="4"/>
  <c r="G14" i="4"/>
  <c r="G10" i="4"/>
  <c r="H24" i="5"/>
  <c r="H91" i="5"/>
  <c r="H114" i="5"/>
  <c r="H136" i="5"/>
  <c r="H159" i="5"/>
  <c r="H181" i="5"/>
  <c r="H69" i="5"/>
  <c r="H35" i="5"/>
  <c r="H80" i="5"/>
  <c r="H125" i="5"/>
  <c r="H170" i="5"/>
  <c r="G12" i="4"/>
  <c r="D13" i="4"/>
  <c r="G13" i="4" s="1"/>
  <c r="C15" i="4"/>
  <c r="E15" i="4"/>
  <c r="F215" i="5"/>
  <c r="E215" i="5"/>
  <c r="E184" i="5"/>
  <c r="F184" i="5"/>
  <c r="E173" i="5"/>
  <c r="F173" i="5"/>
  <c r="E162" i="5"/>
  <c r="F162" i="5"/>
  <c r="E151" i="5"/>
  <c r="F151" i="5"/>
  <c r="E139" i="5"/>
  <c r="F139" i="5"/>
  <c r="E128" i="5"/>
  <c r="F128" i="5"/>
  <c r="E117" i="5"/>
  <c r="F117" i="5"/>
  <c r="F106" i="5"/>
  <c r="E55" i="1"/>
  <c r="E94" i="5" s="1"/>
  <c r="F55" i="1"/>
  <c r="E50" i="1"/>
  <c r="F50" i="1"/>
  <c r="F83" i="5" s="1"/>
  <c r="E45" i="1"/>
  <c r="E72" i="5" s="1"/>
  <c r="F45" i="1"/>
  <c r="F72" i="5" s="1"/>
  <c r="E35" i="1"/>
  <c r="E61" i="5" s="1"/>
  <c r="F35" i="1"/>
  <c r="F61" i="5" s="1"/>
  <c r="E49" i="5"/>
  <c r="F49" i="5"/>
  <c r="E30" i="1"/>
  <c r="F30" i="1"/>
  <c r="F38" i="5" s="1"/>
  <c r="E25" i="1"/>
  <c r="E27" i="5" s="1"/>
  <c r="F25" i="1"/>
  <c r="F27" i="5" s="1"/>
  <c r="D25" i="1"/>
  <c r="D27" i="5" s="1"/>
  <c r="F20" i="1"/>
  <c r="E20" i="1"/>
  <c r="E83" i="5" l="1"/>
  <c r="E74" i="1"/>
  <c r="F74" i="1"/>
  <c r="H27" i="5"/>
  <c r="C16" i="4"/>
  <c r="C17" i="4" s="1"/>
  <c r="H215" i="5"/>
  <c r="E16" i="4"/>
  <c r="E17" i="4" s="1"/>
  <c r="E216" i="5"/>
  <c r="E217" i="5" s="1"/>
  <c r="F216" i="5"/>
  <c r="F217" i="5" s="1"/>
  <c r="E16" i="5"/>
  <c r="F16" i="5"/>
  <c r="D15" i="4"/>
  <c r="G15" i="4" s="1"/>
  <c r="G16" i="4" s="1"/>
  <c r="G17" i="4" s="1"/>
  <c r="E106" i="5"/>
  <c r="F94" i="5"/>
  <c r="E38" i="5"/>
  <c r="F75" i="1" l="1"/>
  <c r="F76" i="1" s="1"/>
  <c r="F83" i="1" s="1"/>
  <c r="E75" i="1"/>
  <c r="E76" i="1" s="1"/>
  <c r="H216" i="5"/>
  <c r="H217" i="5" s="1"/>
  <c r="D16" i="4"/>
  <c r="D17" i="4" s="1"/>
  <c r="D184" i="5"/>
  <c r="H184" i="5" s="1"/>
  <c r="D173" i="5"/>
  <c r="H173" i="5" s="1"/>
  <c r="D162" i="5"/>
  <c r="H162" i="5" s="1"/>
  <c r="D139" i="5"/>
  <c r="H139" i="5" s="1"/>
  <c r="D128" i="5"/>
  <c r="H128" i="5" s="1"/>
  <c r="D117" i="5"/>
  <c r="H117" i="5" s="1"/>
  <c r="D55" i="1"/>
  <c r="D50" i="1"/>
  <c r="D83" i="5" s="1"/>
  <c r="H83" i="5" s="1"/>
  <c r="D45" i="1"/>
  <c r="D72" i="5" s="1"/>
  <c r="H72" i="5" s="1"/>
  <c r="D35" i="1"/>
  <c r="D49" i="5"/>
  <c r="H49" i="5" s="1"/>
  <c r="D30" i="1"/>
  <c r="D20" i="1"/>
  <c r="D94" i="5" l="1"/>
  <c r="H94" i="5" s="1"/>
  <c r="D74" i="1"/>
  <c r="F84" i="1"/>
  <c r="F82" i="1"/>
  <c r="E83" i="1"/>
  <c r="E82" i="1"/>
  <c r="E84" i="1"/>
  <c r="D16" i="5"/>
  <c r="H16" i="5" s="1"/>
  <c r="D106" i="5"/>
  <c r="H106" i="5" s="1"/>
  <c r="C29" i="6"/>
  <c r="D151" i="5"/>
  <c r="H151" i="5" s="1"/>
  <c r="C40" i="6"/>
  <c r="D61" i="5"/>
  <c r="H61" i="5" s="1"/>
  <c r="C18" i="6"/>
  <c r="D38" i="5"/>
  <c r="H38" i="5" s="1"/>
  <c r="C7" i="6"/>
  <c r="D10" i="6" s="1"/>
  <c r="F85" i="1" l="1"/>
  <c r="H74" i="1"/>
  <c r="D75" i="1"/>
  <c r="D76" i="1" s="1"/>
  <c r="E85" i="1"/>
  <c r="F24" i="4"/>
  <c r="F23" i="4"/>
  <c r="D24" i="4"/>
  <c r="D23" i="4"/>
  <c r="E24" i="4"/>
  <c r="E23" i="4"/>
  <c r="D45" i="6"/>
  <c r="D47" i="6"/>
  <c r="D46" i="6"/>
  <c r="D43" i="6"/>
  <c r="D44" i="6"/>
  <c r="D34" i="6"/>
  <c r="D36" i="6"/>
  <c r="D32" i="6"/>
  <c r="D33" i="6"/>
  <c r="D35" i="6"/>
  <c r="D24" i="6"/>
  <c r="D25" i="6"/>
  <c r="D21" i="6"/>
  <c r="D22" i="6"/>
  <c r="D23" i="6"/>
  <c r="D12" i="6"/>
  <c r="D11" i="6"/>
  <c r="D14" i="6"/>
  <c r="D13" i="6"/>
  <c r="D83" i="1" l="1"/>
  <c r="H83" i="1" s="1"/>
  <c r="D82" i="1"/>
  <c r="D84" i="1"/>
  <c r="H84" i="1" s="1"/>
  <c r="H75" i="1"/>
  <c r="H76" i="1" s="1"/>
  <c r="E25" i="4"/>
  <c r="E22" i="4"/>
  <c r="D25" i="4"/>
  <c r="D22" i="4"/>
  <c r="C30" i="6"/>
  <c r="C41" i="6"/>
  <c r="C19" i="6"/>
  <c r="C8" i="6"/>
  <c r="D91" i="1" l="1"/>
  <c r="D88" i="1"/>
  <c r="D85" i="1"/>
  <c r="H82" i="1"/>
  <c r="G23" i="4"/>
  <c r="G22" i="4" l="1"/>
  <c r="H85" i="1"/>
  <c r="C22" i="4"/>
  <c r="C24" i="4"/>
  <c r="G24" i="4"/>
  <c r="C25" i="4"/>
  <c r="C23" i="4"/>
  <c r="G25" i="4" l="1"/>
</calcChain>
</file>

<file path=xl/sharedStrings.xml><?xml version="1.0" encoding="utf-8"?>
<sst xmlns="http://schemas.openxmlformats.org/spreadsheetml/2006/main" count="722" uniqueCount="533">
  <si>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</si>
  <si>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</si>
  <si>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</si>
  <si>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</si>
  <si>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</si>
  <si>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</si>
  <si>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</si>
  <si>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</si>
  <si>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</si>
  <si>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Organisation recipiendiaire 4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</si>
  <si>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</si>
  <si>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</si>
  <si>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</si>
  <si>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</si>
  <si>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OIM Mauritanie</t>
    <phoneticPr fontId="22" type="noConversion"/>
  </si>
  <si>
    <t>FAO Mauritanie</t>
  </si>
  <si>
    <t>OIM Mali</t>
  </si>
  <si>
    <t>FAO Mali</t>
  </si>
  <si>
    <t xml:space="preserve">RESULTAT 1: </t>
  </si>
  <si>
    <t>Le renforcement des structures communautaires améliore la gestion des conflits agro-pastoraux par les populations transfrontalières</t>
    <phoneticPr fontId="22" type="noConversion"/>
  </si>
  <si>
    <t>Produit 1.1:</t>
  </si>
  <si>
    <t>Les communautés participent directement dans la prévention et la gestion des conflits agro-pastoraux</t>
    <phoneticPr fontId="22" type="noConversion"/>
  </si>
  <si>
    <t>Activite 1.1.1:</t>
  </si>
  <si>
    <t>Création d’un minimum de 24 comités villageois frontaliers dédiés à la prévention et gestion des conflits placés autour de 6 postes-frontières des deux côtés de la frontière sud Mauritanie-Mali. ainsi que le long des couloirs de transhumance (6 par pays)</t>
    <phoneticPr fontId="22" type="noConversion"/>
  </si>
  <si>
    <t>Activite 1.1.2:</t>
  </si>
  <si>
    <t>Fourniture d’équipement, notamment de communication, aux comités villageois pour assurer leur bon fonctionnement.</t>
    <phoneticPr fontId="22" type="noConversion"/>
  </si>
  <si>
    <t>Activite 1.1.3:</t>
  </si>
  <si>
    <t>Formations des membres des comités villageois à la prévention et gestion des conflits liés à l’accès aux ressources naturelles et au partage des terres.</t>
    <phoneticPr fontId="22" type="noConversion"/>
  </si>
  <si>
    <t>Activite 1.1.4</t>
  </si>
  <si>
    <t>Ateliers de travail de mise en relation des comités villageois avec les autorités locales et les agents aux frontières, dans le but d’améliorer les relations et échanges entre les communautés et autorités.</t>
    <phoneticPr fontId="22" type="noConversion"/>
  </si>
  <si>
    <t>Produit total</t>
  </si>
  <si>
    <t>Produit 1.2:</t>
  </si>
  <si>
    <t>Un cadre de concertation transfrontalier pour la coordination et la concertation autour des interventions de prévention des conflits et la résilience des populations transhumantes est mis en place et fonctionnel</t>
    <phoneticPr fontId="22" type="noConversion"/>
  </si>
  <si>
    <t>Activite 1.2.1</t>
  </si>
  <si>
    <t>Ateliers transfrontaliers rassemblant les comités de part et d’autre de la frontière afin d’identifier les défis communs et les bonnes pratiques permettant d’y répondre.</t>
    <phoneticPr fontId="22" type="noConversion"/>
  </si>
  <si>
    <t>Activite 1.2.2</t>
  </si>
  <si>
    <t>Création d’un plan cadre qui définit les responsabilités et les mesures à prendre en matière de prévention de conflit, en coordination avec les autorités locales.</t>
    <phoneticPr fontId="22" type="noConversion"/>
  </si>
  <si>
    <t>Activite 1.2.3</t>
  </si>
  <si>
    <t>Campagne de sensibilisation menée par les comités villageois et relatif à la mise en œuvre de ce cadre.</t>
    <phoneticPr fontId="22" type="noConversion"/>
  </si>
  <si>
    <t>Produit 1.3:</t>
  </si>
  <si>
    <t>Les autorités nationales et locales ont une compréhension renforcée des dynamiques de transhumance et des conflits liés et non liés aux ressources pastorales</t>
    <phoneticPr fontId="22" type="noConversion"/>
  </si>
  <si>
    <t>Activite 1.3.1</t>
  </si>
  <si>
    <t xml:space="preserve">Enquêtes le long de la portion sud de la frontière Mauritanie-Mali visant à évaluer la taille des cheptels des deux côtés de la frontière et localiser les modifications des couloirs de transhumance au travers des outils du Transhumance Tracking Tool (TTT) de l’OIM. </t>
    <phoneticPr fontId="22" type="noConversion"/>
  </si>
  <si>
    <t>Activite 1.3.2</t>
  </si>
  <si>
    <t xml:space="preserve">Evaluations auprès des populations transhumantes sur les causes, la nature et la fréquence des tensions et conflits et sur les perturbations le long des couloirs. Evaluations à réaliser en début, milieu et post projet. </t>
    <phoneticPr fontId="22" type="noConversion"/>
  </si>
  <si>
    <t>Activite 1.3.3</t>
  </si>
  <si>
    <t>Formations auprès des autorités locales sur le comptage et l’analyse régulière des données de transhumance avec création d’un point focal dans les postes-frontières désignés ou mairies désignées.</t>
    <phoneticPr fontId="22" type="noConversion"/>
  </si>
  <si>
    <t xml:space="preserve">RESULTAT 2: </t>
  </si>
  <si>
    <t xml:space="preserve">Les populations transfrontalières de la frontière mauritano-malienne gèrent mieux les ressources naturelles et évoluent dans un environnement plus résilient </t>
    <phoneticPr fontId="22" type="noConversion"/>
  </si>
  <si>
    <t>Produit 2.1</t>
  </si>
  <si>
    <t>Les populations transfrontalières ont un accès amélioré à des mécanismes structurés de concertation et de gestion des ressources naturelles</t>
    <phoneticPr fontId="22" type="noConversion"/>
  </si>
  <si>
    <t>Activite 2.1.1</t>
  </si>
  <si>
    <t>Elaboration de schémas et Plans d’aménagement et d’exploitation des ressources naturelles. Création de Clubs d’écoute communautaire type DIMITRA.</t>
  </si>
  <si>
    <t>Produit 2.2</t>
  </si>
  <si>
    <t>La résilience des populations transhumantes et agricoles est renforcée</t>
    <phoneticPr fontId="22" type="noConversion"/>
  </si>
  <si>
    <t>Activite 2.2.1</t>
  </si>
  <si>
    <t xml:space="preserve">Identification, et concertations communautaires autour de la régénération/restauration de parcours naturels dégradés </t>
  </si>
  <si>
    <t>Activite' 2.2.2</t>
  </si>
  <si>
    <t>Ateliers de rencontres entre parties prenantes (comités, prégets, maires, agriculteurs, éleveurs, …) pour la création d’un Plan Communautaire Participatif (PCP).</t>
  </si>
  <si>
    <t>Activite 2.2.3</t>
  </si>
  <si>
    <t xml:space="preserve">Mise en œuvre par les communautés des solutions identifiée par le PCP, en collaboration et avec le soutien du PBF. </t>
  </si>
  <si>
    <t>Activite 2.2.4</t>
  </si>
  <si>
    <t xml:space="preserve">Sensibilisation et formation des communautés autour des questions liées à la mise en place et/ou réhabilitation et amélioration des réserves fourragères pastorales </t>
  </si>
  <si>
    <t>Activite 2.2.5</t>
  </si>
  <si>
    <t xml:space="preserve">renforcement des capacités techniques des populations pour la promotion de cultures fourragères d’espèces locales appétées </t>
  </si>
  <si>
    <t>Activite 2.2.6</t>
  </si>
  <si>
    <t>Activite 2.2.7</t>
  </si>
  <si>
    <t>Activite 2.2.8</t>
  </si>
  <si>
    <t>Produit 2.3</t>
  </si>
  <si>
    <t>Les codes pastoraux, fonciers (agricoles) et forestiers sont mieux connus et appliqués par les autorités et populations locales</t>
    <phoneticPr fontId="22" type="noConversion"/>
  </si>
  <si>
    <t>Activite 2.3.1</t>
  </si>
  <si>
    <t>Traduction des codes en langues locales et diffusion/vulgarisation</t>
    <phoneticPr fontId="22" type="noConversion"/>
  </si>
  <si>
    <t>Activite 2.3.2</t>
  </si>
  <si>
    <t>Formation en vue de l’appropriation des codes</t>
    <phoneticPr fontId="22" type="noConversion"/>
  </si>
  <si>
    <t>Activite 2.3.3</t>
  </si>
  <si>
    <t>Vulgarisation à la radio et autres canaux (Affiches, sketches, brochures, dépliants) des codes</t>
    <phoneticPr fontId="22" type="noConversion"/>
  </si>
  <si>
    <t>Produit 2.4</t>
  </si>
  <si>
    <t>Un Plan de communication et de visibilité est élaboré et mis en œuvre en collaboration avec le G5 Sahel.</t>
    <phoneticPr fontId="22" type="noConversion"/>
  </si>
  <si>
    <t>Activite 2.4.1</t>
  </si>
  <si>
    <t>Recrutement d’un consultant dédié à la conception d’un plan et stratégie de communication portant sur la prévention et la gestion des conflits liés à l’accès aux ressources naturelles et les rôles et responsabilités des cadres de concertation d’accès aux ressources naturelles. Ce consultant travaillera en collaboration avec le G5 Sahel afin de pouvoir établir une version régionale de cette stratégie de communication.</t>
    <phoneticPr fontId="22" type="noConversion"/>
  </si>
  <si>
    <t>Activite 2.4.2</t>
  </si>
  <si>
    <t>Deux ateliers réunissant l’ensemble des acteurs concernés dédiés à la préparation et l’approbation de ce plan, dont les acteurs du G5 Sahel.</t>
    <phoneticPr fontId="22" type="noConversion"/>
  </si>
  <si>
    <t>Activite 2.4.3</t>
  </si>
  <si>
    <t>Dissémination du plan et de la stratégie de communication</t>
    <phoneticPr fontId="22" type="noConversion"/>
  </si>
  <si>
    <t>Produit 3.1</t>
  </si>
  <si>
    <t>Produit 3.3</t>
  </si>
  <si>
    <t>Produit 3.4</t>
  </si>
  <si>
    <t>Produit 4.1</t>
  </si>
  <si>
    <t>Produit 4.2</t>
  </si>
  <si>
    <t>Produit 4.3</t>
  </si>
  <si>
    <t>Produit 4.4</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</si>
  <si>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</si>
  <si>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</si>
  <si>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</si>
  <si>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</si>
  <si>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</si>
  <si>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</si>
  <si>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 1</t>
  </si>
  <si>
    <t>Organisation recipiendiaire 2</t>
  </si>
  <si>
    <t>Organisation recipiendiaire 3</t>
  </si>
  <si>
    <t>Organisation recipiendiaire 4</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</si>
  <si>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</si>
  <si>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</si>
  <si>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</si>
  <si>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</si>
  <si>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</si>
  <si>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</si>
  <si>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</si>
  <si>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</si>
  <si>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</si>
  <si>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</si>
  <si>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</si>
  <si>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</si>
  <si>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</si>
  <si>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</si>
  <si>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</si>
  <si>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</si>
  <si>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</si>
  <si>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</si>
  <si>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</si>
  <si>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</si>
  <si>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</si>
  <si>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</si>
  <si>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</si>
  <si>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</si>
  <si>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</si>
  <si>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</si>
  <si>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</si>
  <si>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</si>
  <si>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</si>
  <si>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</si>
  <si>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</si>
  <si>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</si>
  <si>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</si>
  <si>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</si>
  <si>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</si>
  <si>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</si>
  <si>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</si>
  <si>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</si>
  <si>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</si>
  <si>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</si>
  <si>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</si>
  <si>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</si>
  <si>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</si>
  <si>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</si>
  <si>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</si>
  <si>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</si>
  <si>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</si>
  <si>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</si>
  <si>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</si>
  <si>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</si>
  <si>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</si>
  <si>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</si>
  <si>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</si>
  <si>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</si>
  <si>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</si>
  <si>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</si>
  <si>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</si>
  <si>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</si>
  <si>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</si>
  <si>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</si>
  <si>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</si>
  <si>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</si>
  <si>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</si>
  <si>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</si>
  <si>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</si>
  <si>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</si>
  <si>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</si>
  <si>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</si>
  <si>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</si>
  <si>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</si>
  <si>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</si>
  <si>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</si>
  <si>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Recipient Agency 1</t>
  </si>
  <si>
    <t>Recipient Agency 2</t>
  </si>
  <si>
    <t>Recipient Agency 3</t>
  </si>
  <si>
    <t>Recipient Agency 4</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</si>
  <si>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</si>
  <si>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</si>
  <si>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</si>
  <si>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</si>
  <si>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</si>
  <si>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</si>
  <si>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</si>
  <si>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</si>
  <si>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</si>
  <si>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</si>
  <si>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1</t>
  </si>
  <si>
    <t>Recip Agency 2</t>
  </si>
  <si>
    <t>Recip Agency 3</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</si>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</sst>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 #,##0.00\ _€_-;\-* #,##0.00\ _€_-;_-* &quot;-&quot;??\ _€_-;_-@_-"/>
  </numFmts>
  <fonts count="24">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9"/>
      <name val="Calibri"/>
      <family val="3"/>
      <charset val="134"/>
      <scheme val="minor"/>
    </font>
    <font>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249977111117893"/>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299">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11"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10"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7" fillId="0" borderId="0" xfId="1" applyFont="1" applyFill="1" applyBorder="1" applyAlignment="1">
      <alignment horizontal="right" vertical="center" wrapText="1"/>
    </xf>
    <xf numFmtId="0" fontId="2" fillId="2" borderId="37" xfId="0" applyFont="1" applyFill="1" applyBorder="1" applyAlignment="1">
      <alignment horizontal="center" wrapText="1"/>
    </xf>
    <xf numFmtId="0" fontId="7" fillId="2" borderId="37" xfId="0" applyFont="1" applyFill="1" applyBorder="1" applyAlignment="1">
      <alignment vertical="center" wrapText="1"/>
    </xf>
    <xf numFmtId="44" fontId="2" fillId="2" borderId="37"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6" xfId="0" applyNumberFormat="1" applyFont="1" applyFill="1" applyBorder="1" applyAlignment="1">
      <alignment wrapText="1"/>
    </xf>
    <xf numFmtId="0" fontId="2" fillId="2" borderId="11" xfId="0" applyFont="1" applyFill="1" applyBorder="1" applyAlignment="1">
      <alignment horizontal="center" wrapText="1"/>
    </xf>
    <xf numFmtId="0" fontId="6"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6" borderId="3" xfId="0" applyFont="1" applyFill="1" applyBorder="1" applyAlignment="1">
      <alignment vertical="center" wrapText="1"/>
    </xf>
    <xf numFmtId="0" fontId="2" fillId="2" borderId="3" xfId="0" applyFont="1" applyFill="1" applyBorder="1" applyAlignment="1">
      <alignment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7" borderId="17" xfId="0" applyFont="1" applyFill="1" applyBorder="1" applyAlignment="1">
      <alignment wrapText="1"/>
    </xf>
    <xf numFmtId="44" fontId="2" fillId="2" borderId="14" xfId="1" applyFont="1" applyFill="1" applyBorder="1" applyAlignment="1" applyProtection="1">
      <alignment vertical="center" wrapText="1"/>
    </xf>
    <xf numFmtId="0" fontId="2" fillId="2" borderId="37"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3" xfId="0" applyFont="1" applyFill="1" applyBorder="1" applyAlignment="1">
      <alignment vertical="center" wrapText="1"/>
    </xf>
    <xf numFmtId="44" fontId="2" fillId="2" borderId="38"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3" borderId="1"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Font="1" applyFill="1" applyBorder="1" applyAlignment="1">
      <alignment wrapText="1"/>
    </xf>
    <xf numFmtId="0" fontId="21" fillId="0" borderId="0" xfId="0" applyFont="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2" xfId="0" applyFont="1" applyFill="1" applyBorder="1" applyAlignment="1">
      <alignment vertical="center" wrapText="1"/>
    </xf>
    <xf numFmtId="0" fontId="8" fillId="2" borderId="53" xfId="0" applyFont="1" applyFill="1" applyBorder="1" applyAlignment="1">
      <alignment vertical="center" wrapText="1"/>
    </xf>
    <xf numFmtId="0" fontId="8" fillId="2" borderId="53"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44" fontId="2" fillId="2" borderId="12" xfId="1" applyFont="1" applyFill="1" applyBorder="1" applyAlignment="1" applyProtection="1">
      <alignment wrapText="1"/>
    </xf>
    <xf numFmtId="0" fontId="8" fillId="2" borderId="33" xfId="0" applyFont="1" applyFill="1" applyBorder="1" applyAlignment="1">
      <alignment vertical="center"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0" fontId="19" fillId="0" borderId="0" xfId="0" applyFont="1" applyAlignment="1">
      <alignment horizontal="left" vertical="top" wrapText="1"/>
    </xf>
    <xf numFmtId="44" fontId="2" fillId="2" borderId="9" xfId="2" applyNumberFormat="1" applyFont="1" applyFill="1" applyBorder="1" applyAlignment="1">
      <alignment vertical="center" wrapText="1"/>
    </xf>
    <xf numFmtId="0" fontId="2" fillId="2" borderId="34" xfId="0" applyFont="1" applyFill="1" applyBorder="1" applyAlignment="1">
      <alignment horizontal="center" vertical="center" wrapText="1"/>
    </xf>
    <xf numFmtId="9" fontId="2" fillId="2" borderId="34" xfId="2" applyFont="1" applyFill="1" applyBorder="1" applyAlignment="1">
      <alignment vertical="center" wrapText="1"/>
    </xf>
    <xf numFmtId="9" fontId="2" fillId="2" borderId="49" xfId="2" applyFont="1" applyFill="1" applyBorder="1" applyAlignment="1">
      <alignment vertical="center" wrapText="1"/>
    </xf>
    <xf numFmtId="44" fontId="3" fillId="2" borderId="13" xfId="0" applyNumberFormat="1" applyFont="1" applyFill="1" applyBorder="1"/>
    <xf numFmtId="0" fontId="2" fillId="2" borderId="3" xfId="0" applyFont="1" applyFill="1" applyBorder="1" applyAlignment="1">
      <alignment horizontal="center" wrapText="1"/>
    </xf>
    <xf numFmtId="0" fontId="14" fillId="3" borderId="0" xfId="0" applyFont="1" applyFill="1" applyAlignment="1">
      <alignment horizontal="left" wrapText="1"/>
    </xf>
    <xf numFmtId="9" fontId="1" fillId="0" borderId="3" xfId="2" applyFont="1" applyBorder="1" applyAlignment="1" applyProtection="1">
      <alignment horizontal="center" vertical="center" wrapText="1"/>
      <protection locked="0"/>
    </xf>
    <xf numFmtId="44" fontId="23"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1" fillId="3" borderId="0" xfId="1"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0" fontId="0" fillId="0" borderId="0" xfId="0" applyAlignment="1" applyProtection="1">
      <alignment wrapText="1"/>
      <protection locked="0"/>
    </xf>
    <xf numFmtId="0" fontId="0" fillId="0" borderId="3" xfId="0" applyBorder="1" applyAlignment="1" applyProtection="1">
      <alignment wrapText="1"/>
      <protection locked="0"/>
    </xf>
    <xf numFmtId="164" fontId="0" fillId="0" borderId="0" xfId="0" applyNumberFormat="1" applyAlignment="1">
      <alignment wrapText="1"/>
    </xf>
    <xf numFmtId="164" fontId="0" fillId="3" borderId="0" xfId="0" applyNumberFormat="1" applyFill="1" applyAlignment="1">
      <alignment horizontal="center" vertical="center" wrapText="1"/>
    </xf>
    <xf numFmtId="44" fontId="2" fillId="3" borderId="54" xfId="1" applyFont="1" applyFill="1" applyBorder="1" applyAlignment="1" applyProtection="1">
      <alignment horizontal="center" vertical="center" wrapText="1"/>
    </xf>
    <xf numFmtId="4" fontId="0" fillId="0" borderId="0" xfId="0" applyNumberFormat="1" applyAlignment="1">
      <alignment wrapText="1"/>
    </xf>
    <xf numFmtId="44" fontId="2" fillId="3" borderId="13" xfId="0" applyNumberFormat="1" applyFont="1" applyFill="1" applyBorder="1" applyAlignment="1">
      <alignment horizontal="center" wrapText="1"/>
    </xf>
    <xf numFmtId="44" fontId="2" fillId="8" borderId="3" xfId="1" applyFont="1" applyFill="1" applyBorder="1" applyAlignment="1">
      <alignment wrapText="1"/>
    </xf>
    <xf numFmtId="44" fontId="2" fillId="2" borderId="55" xfId="0" applyNumberFormat="1" applyFont="1" applyFill="1" applyBorder="1" applyAlignment="1">
      <alignment wrapText="1"/>
    </xf>
    <xf numFmtId="44" fontId="2" fillId="2" borderId="20" xfId="0" applyNumberFormat="1" applyFont="1" applyFill="1" applyBorder="1" applyAlignment="1">
      <alignment wrapText="1"/>
    </xf>
    <xf numFmtId="44" fontId="2" fillId="2" borderId="6" xfId="0" applyNumberFormat="1" applyFont="1" applyFill="1" applyBorder="1" applyAlignment="1">
      <alignment wrapText="1"/>
    </xf>
    <xf numFmtId="44" fontId="1" fillId="2" borderId="3" xfId="1" applyFont="1" applyFill="1" applyBorder="1" applyAlignment="1" applyProtection="1">
      <alignment horizontal="center" vertical="center" wrapText="1"/>
    </xf>
    <xf numFmtId="44" fontId="1" fillId="2" borderId="5" xfId="1" applyFont="1" applyFill="1" applyBorder="1" applyAlignment="1" applyProtection="1">
      <alignment horizontal="center" vertical="center" wrapText="1"/>
    </xf>
    <xf numFmtId="44" fontId="2" fillId="2" borderId="3" xfId="0" applyNumberFormat="1" applyFont="1" applyFill="1" applyBorder="1" applyAlignment="1">
      <alignment vertical="center" wrapText="1"/>
    </xf>
    <xf numFmtId="44" fontId="2" fillId="2" borderId="36" xfId="0" applyNumberFormat="1" applyFont="1" applyFill="1" applyBorder="1" applyAlignment="1">
      <alignment horizontal="right" vertical="center" wrapText="1"/>
    </xf>
    <xf numFmtId="44" fontId="2" fillId="2" borderId="9" xfId="0" applyNumberFormat="1" applyFont="1" applyFill="1" applyBorder="1" applyAlignment="1">
      <alignment horizontal="right" vertical="center" wrapText="1"/>
    </xf>
    <xf numFmtId="44" fontId="2" fillId="2" borderId="30" xfId="0" applyNumberFormat="1" applyFont="1" applyFill="1" applyBorder="1" applyAlignment="1">
      <alignment horizontal="right" vertical="center" wrapText="1"/>
    </xf>
    <xf numFmtId="44" fontId="2" fillId="2" borderId="3" xfId="1" applyFont="1" applyFill="1" applyBorder="1" applyAlignment="1">
      <alignment horizontal="right" vertical="center" wrapText="1"/>
    </xf>
    <xf numFmtId="44" fontId="2" fillId="2" borderId="9" xfId="1" applyFont="1" applyFill="1" applyBorder="1" applyAlignment="1">
      <alignment horizontal="right" vertical="center" wrapText="1"/>
    </xf>
    <xf numFmtId="44" fontId="2" fillId="2" borderId="13" xfId="1" applyFont="1" applyFill="1" applyBorder="1" applyAlignment="1">
      <alignment horizontal="right" vertical="center" wrapText="1"/>
    </xf>
    <xf numFmtId="44" fontId="2" fillId="2" borderId="14" xfId="1" applyFont="1" applyFill="1" applyBorder="1" applyAlignment="1">
      <alignment horizontal="right" vertical="center" wrapText="1"/>
    </xf>
    <xf numFmtId="44" fontId="1" fillId="2" borderId="37" xfId="0" applyNumberFormat="1" applyFont="1" applyFill="1" applyBorder="1" applyAlignment="1">
      <alignment horizontal="right" vertical="center" wrapText="1"/>
    </xf>
    <xf numFmtId="44" fontId="2" fillId="2" borderId="37" xfId="0" applyNumberFormat="1" applyFont="1" applyFill="1" applyBorder="1" applyAlignment="1">
      <alignment horizontal="right" vertical="center" wrapText="1"/>
    </xf>
    <xf numFmtId="0" fontId="1" fillId="2" borderId="3" xfId="0" applyFont="1" applyFill="1" applyBorder="1" applyAlignment="1">
      <alignment horizontal="center" vertical="center" wrapText="1"/>
    </xf>
    <xf numFmtId="0" fontId="1" fillId="6" borderId="3" xfId="0" applyFont="1" applyFill="1" applyBorder="1" applyAlignment="1">
      <alignment vertical="center" wrapText="1"/>
    </xf>
    <xf numFmtId="44" fontId="1" fillId="0" borderId="3" xfId="1"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3" borderId="0" xfId="1" applyFont="1" applyFill="1" applyBorder="1" applyAlignment="1" applyProtection="1">
      <alignment horizontal="center" vertical="center" wrapText="1"/>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44" fontId="1" fillId="0" borderId="0" xfId="1" applyFont="1" applyFill="1" applyBorder="1" applyAlignment="1" applyProtection="1">
      <alignment horizontal="center" vertical="center" wrapText="1"/>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44" fontId="1" fillId="3" borderId="3" xfId="1" applyFont="1" applyFill="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44" fontId="1" fillId="0" borderId="0" xfId="1" applyFont="1" applyFill="1" applyBorder="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0" fontId="1" fillId="3" borderId="0" xfId="0" applyFont="1" applyFill="1" applyAlignment="1">
      <alignment wrapText="1"/>
    </xf>
    <xf numFmtId="44" fontId="1" fillId="0" borderId="37" xfId="0" applyNumberFormat="1" applyFont="1" applyBorder="1" applyAlignment="1" applyProtection="1">
      <alignment wrapText="1"/>
      <protection locked="0"/>
    </xf>
    <xf numFmtId="44" fontId="1" fillId="3" borderId="37"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4" fontId="1" fillId="3" borderId="3" xfId="0" applyNumberFormat="1" applyFont="1" applyFill="1" applyBorder="1" applyAlignment="1" applyProtection="1">
      <alignment wrapText="1"/>
      <protection locked="0"/>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44" fontId="1" fillId="2" borderId="37"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 xfId="0" applyNumberFormat="1" applyFont="1" applyFill="1" applyBorder="1" applyAlignment="1">
      <alignment horizontal="right" vertical="center" wrapText="1"/>
    </xf>
    <xf numFmtId="44" fontId="1" fillId="2" borderId="27" xfId="1" applyFont="1" applyFill="1" applyBorder="1" applyAlignment="1" applyProtection="1">
      <alignment wrapText="1"/>
    </xf>
    <xf numFmtId="44" fontId="1" fillId="2" borderId="29" xfId="1" applyFont="1" applyFill="1" applyBorder="1" applyAlignment="1">
      <alignment horizontal="right" vertical="center" wrapText="1"/>
    </xf>
    <xf numFmtId="44" fontId="1" fillId="2" borderId="16" xfId="0" applyNumberFormat="1" applyFont="1" applyFill="1" applyBorder="1" applyAlignment="1">
      <alignment horizontal="right" vertical="center" wrapText="1"/>
    </xf>
    <xf numFmtId="44" fontId="1" fillId="2" borderId="8" xfId="1" applyFont="1" applyFill="1" applyBorder="1" applyAlignment="1" applyProtection="1">
      <alignment wrapText="1"/>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2" fillId="4" borderId="42"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30" xfId="1" applyFont="1" applyFill="1" applyBorder="1" applyAlignment="1" applyProtection="1">
      <alignment horizontal="center" vertical="center" wrapText="1"/>
    </xf>
    <xf numFmtId="44" fontId="2" fillId="2" borderId="36"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39" xfId="0" applyFont="1" applyFill="1" applyBorder="1" applyAlignment="1">
      <alignment horizontal="left" wrapText="1"/>
    </xf>
    <xf numFmtId="0" fontId="2" fillId="2" borderId="45" xfId="0" applyFont="1" applyFill="1" applyBorder="1" applyAlignment="1">
      <alignment horizontal="left" wrapText="1"/>
    </xf>
    <xf numFmtId="0" fontId="2" fillId="2" borderId="50" xfId="0" applyFont="1" applyFill="1" applyBorder="1" applyAlignment="1">
      <alignment horizontal="left" wrapText="1"/>
    </xf>
    <xf numFmtId="0" fontId="2" fillId="2" borderId="51" xfId="0" applyFont="1" applyFill="1" applyBorder="1" applyAlignment="1">
      <alignment horizontal="left" wrapText="1"/>
    </xf>
    <xf numFmtId="0" fontId="2" fillId="2" borderId="28"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Alignment="1">
      <alignment horizontal="left" vertical="center" wrapText="1"/>
    </xf>
    <xf numFmtId="0" fontId="4" fillId="7" borderId="40"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4" xfId="0" applyNumberFormat="1" applyFont="1" applyFill="1" applyBorder="1" applyAlignment="1">
      <alignment horizontal="center"/>
    </xf>
    <xf numFmtId="44" fontId="3" fillId="2" borderId="45" xfId="0" applyNumberFormat="1" applyFont="1" applyFill="1" applyBorder="1" applyAlignment="1">
      <alignment horizontal="center"/>
    </xf>
    <xf numFmtId="44" fontId="3" fillId="2" borderId="46" xfId="0" applyNumberFormat="1" applyFont="1" applyFill="1" applyBorder="1" applyAlignment="1">
      <alignment horizontal="center"/>
    </xf>
    <xf numFmtId="0" fontId="3" fillId="2" borderId="42" xfId="0" applyFont="1" applyFill="1" applyBorder="1" applyAlignment="1">
      <alignment horizontal="left"/>
    </xf>
    <xf numFmtId="0" fontId="3" fillId="2" borderId="43" xfId="0" applyFont="1" applyFill="1" applyBorder="1" applyAlignment="1">
      <alignment horizontal="left"/>
    </xf>
    <xf numFmtId="0" fontId="3" fillId="2" borderId="44" xfId="0" applyFont="1" applyFill="1" applyBorder="1" applyAlignment="1">
      <alignment horizontal="left"/>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0" fillId="2" borderId="47" xfId="0"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44" fontId="0" fillId="0" borderId="0" xfId="0" applyNumberFormat="1" applyAlignment="1">
      <alignment wrapText="1"/>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2:N106"/>
  <sheetViews>
    <sheetView showGridLines="0" showZeros="0" tabSelected="1" zoomScale="70" zoomScaleNormal="70" workbookViewId="0">
      <pane xSplit="2" topLeftCell="C1" activePane="topRight" state="frozen"/>
      <selection pane="topRight" activeCell="J88" sqref="J88"/>
    </sheetView>
  </sheetViews>
  <sheetFormatPr defaultColWidth="9.140625" defaultRowHeight="15"/>
  <cols>
    <col min="1" max="1" width="9.140625" style="23"/>
    <col min="2" max="2" width="30.5703125" style="23" customWidth="1"/>
    <col min="3" max="3" width="32.42578125" style="23" customWidth="1"/>
    <col min="4" max="8" width="23.140625" style="23" customWidth="1"/>
    <col min="9" max="9" width="22.42578125" style="23" customWidth="1"/>
    <col min="10" max="10" width="22.42578125" style="120" customWidth="1"/>
    <col min="11" max="11" width="30.140625" style="23" customWidth="1"/>
    <col min="12" max="12" width="13" style="23" customWidth="1"/>
    <col min="13" max="13" width="13.140625" style="23" customWidth="1"/>
    <col min="14" max="14" width="17.5703125" style="23" customWidth="1"/>
    <col min="15" max="15" width="26.42578125" style="23" customWidth="1"/>
    <col min="16" max="16" width="22.42578125" style="23" customWidth="1"/>
    <col min="17" max="17" width="29.5703125" style="23" customWidth="1"/>
    <col min="18" max="18" width="23.42578125" style="23" customWidth="1"/>
    <col min="19" max="19" width="18.42578125" style="23" customWidth="1"/>
    <col min="20" max="20" width="17.42578125" style="23" customWidth="1"/>
    <col min="21" max="21" width="25.140625" style="23" customWidth="1"/>
    <col min="22" max="16384" width="9.140625" style="23"/>
  </cols>
  <sheetData>
    <row r="2" spans="2:14" ht="47.25" customHeight="1">
      <c r="B2" s="229" t="s">
        <v>0</v>
      </c>
      <c r="C2" s="229"/>
      <c r="D2" s="229"/>
      <c r="E2" s="229"/>
      <c r="F2" s="21"/>
      <c r="G2" s="21"/>
      <c r="H2" s="21"/>
      <c r="I2" s="22"/>
      <c r="J2" s="127"/>
      <c r="K2" s="22"/>
    </row>
    <row r="3" spans="2:14" ht="15.75">
      <c r="B3" s="104"/>
    </row>
    <row r="4" spans="2:14" ht="16.5" thickBot="1">
      <c r="B4" s="25"/>
    </row>
    <row r="5" spans="2:14" ht="36.75" customHeight="1">
      <c r="B5" s="88" t="s">
        <v>1</v>
      </c>
      <c r="C5" s="105"/>
      <c r="D5" s="105"/>
      <c r="E5" s="105"/>
      <c r="F5" s="105"/>
      <c r="G5" s="105"/>
      <c r="H5" s="105"/>
      <c r="I5" s="105"/>
      <c r="J5" s="128"/>
      <c r="K5" s="105"/>
      <c r="L5" s="105"/>
      <c r="M5" s="105"/>
      <c r="N5" s="106"/>
    </row>
    <row r="6" spans="2:14" ht="174" customHeight="1" thickBot="1">
      <c r="B6" s="225" t="s">
        <v>2</v>
      </c>
      <c r="C6" s="226"/>
      <c r="D6" s="226"/>
      <c r="E6" s="226"/>
      <c r="F6" s="226"/>
      <c r="G6" s="226"/>
      <c r="H6" s="226"/>
      <c r="I6" s="226"/>
      <c r="J6" s="227"/>
      <c r="K6" s="226"/>
      <c r="L6" s="226"/>
      <c r="M6" s="226"/>
      <c r="N6" s="228"/>
    </row>
    <row r="7" spans="2:14">
      <c r="B7" s="26"/>
    </row>
    <row r="8" spans="2:14" ht="15.75" thickBot="1"/>
    <row r="9" spans="2:14" ht="27" customHeight="1" thickBot="1">
      <c r="B9" s="230" t="s">
        <v>3</v>
      </c>
      <c r="C9" s="231"/>
      <c r="D9" s="231"/>
      <c r="E9" s="231"/>
      <c r="F9" s="231"/>
      <c r="G9" s="231"/>
      <c r="H9" s="231"/>
      <c r="I9" s="232"/>
      <c r="J9" s="129"/>
    </row>
    <row r="11" spans="2:14" ht="22.5" customHeight="1">
      <c r="D11" s="27"/>
      <c r="E11" s="27"/>
      <c r="F11" s="27"/>
      <c r="G11" s="27"/>
      <c r="H11" s="27"/>
      <c r="J11" s="126"/>
      <c r="K11" s="24"/>
      <c r="L11" s="24"/>
    </row>
    <row r="12" spans="2:14" ht="177.75" customHeight="1">
      <c r="B12" s="14" t="s">
        <v>4</v>
      </c>
      <c r="C12" s="14" t="s">
        <v>5</v>
      </c>
      <c r="D12" s="14" t="s">
        <v>6</v>
      </c>
      <c r="E12" s="14" t="s">
        <v>7</v>
      </c>
      <c r="F12" s="14" t="s">
        <v>8</v>
      </c>
      <c r="G12" s="14" t="s">
        <v>9</v>
      </c>
      <c r="H12" s="14" t="s">
        <v>10</v>
      </c>
      <c r="I12" s="14" t="s">
        <v>11</v>
      </c>
      <c r="J12" s="14" t="s">
        <v>12</v>
      </c>
      <c r="K12" s="14" t="s">
        <v>13</v>
      </c>
      <c r="L12" s="32"/>
    </row>
    <row r="13" spans="2:14" ht="18.75" customHeight="1">
      <c r="B13" s="171"/>
      <c r="C13" s="171"/>
      <c r="D13" s="54" t="s">
        <v>14</v>
      </c>
      <c r="E13" s="54" t="s">
        <v>15</v>
      </c>
      <c r="F13" s="54" t="s">
        <v>16</v>
      </c>
      <c r="G13" s="54" t="s">
        <v>17</v>
      </c>
      <c r="H13" s="14"/>
      <c r="I13" s="171"/>
      <c r="J13" s="159"/>
      <c r="K13" s="171"/>
      <c r="L13" s="32"/>
    </row>
    <row r="14" spans="2:14" ht="34.5" customHeight="1">
      <c r="B14" s="74" t="s">
        <v>18</v>
      </c>
      <c r="C14" s="222" t="s">
        <v>19</v>
      </c>
      <c r="D14" s="222"/>
      <c r="E14" s="222"/>
      <c r="F14" s="222"/>
      <c r="G14" s="222"/>
      <c r="H14" s="222"/>
      <c r="I14" s="222"/>
      <c r="J14" s="223"/>
      <c r="K14" s="222"/>
      <c r="L14" s="8"/>
    </row>
    <row r="15" spans="2:14" ht="51" customHeight="1">
      <c r="B15" s="74" t="s">
        <v>20</v>
      </c>
      <c r="C15" s="233" t="s">
        <v>21</v>
      </c>
      <c r="D15" s="233"/>
      <c r="E15" s="233"/>
      <c r="F15" s="233"/>
      <c r="G15" s="233"/>
      <c r="H15" s="233"/>
      <c r="I15" s="233"/>
      <c r="J15" s="221"/>
      <c r="K15" s="233"/>
      <c r="L15" s="34"/>
    </row>
    <row r="16" spans="2:14" ht="141.75">
      <c r="B16" s="172" t="s">
        <v>22</v>
      </c>
      <c r="C16" s="144" t="s">
        <v>23</v>
      </c>
      <c r="D16" s="173">
        <v>57000</v>
      </c>
      <c r="E16" s="173"/>
      <c r="F16" s="173">
        <v>5000</v>
      </c>
      <c r="G16" s="174">
        <v>6920</v>
      </c>
      <c r="H16" s="159">
        <f>SUM(D16:G16)</f>
        <v>68920</v>
      </c>
      <c r="I16" s="142">
        <v>0.3</v>
      </c>
      <c r="J16" s="173">
        <f>60441.34+6200</f>
        <v>66641.34</v>
      </c>
      <c r="K16" s="175"/>
      <c r="L16" s="176"/>
      <c r="M16" s="24"/>
      <c r="N16" s="151"/>
    </row>
    <row r="17" spans="2:14" ht="63">
      <c r="B17" s="172" t="s">
        <v>24</v>
      </c>
      <c r="C17" s="144" t="s">
        <v>25</v>
      </c>
      <c r="D17" s="143">
        <v>100850.47</v>
      </c>
      <c r="E17" s="173"/>
      <c r="F17" s="173">
        <v>20000</v>
      </c>
      <c r="G17" s="174">
        <v>11185</v>
      </c>
      <c r="H17" s="159">
        <f t="shared" ref="H17:H19" si="0">SUM(D17:G17)</f>
        <v>132035.47</v>
      </c>
      <c r="I17" s="142"/>
      <c r="J17" s="173">
        <f>117652.42+8605</f>
        <v>126257.42</v>
      </c>
      <c r="K17" s="175"/>
      <c r="L17" s="176"/>
      <c r="M17" s="24"/>
      <c r="N17" s="151"/>
    </row>
    <row r="18" spans="2:14" ht="94.5">
      <c r="B18" s="172" t="s">
        <v>26</v>
      </c>
      <c r="C18" s="144" t="s">
        <v>27</v>
      </c>
      <c r="D18" s="173">
        <v>78000</v>
      </c>
      <c r="E18" s="173"/>
      <c r="F18" s="173">
        <v>5000</v>
      </c>
      <c r="G18" s="174">
        <v>23440</v>
      </c>
      <c r="H18" s="159">
        <f t="shared" si="0"/>
        <v>106440</v>
      </c>
      <c r="I18" s="142">
        <v>0.3</v>
      </c>
      <c r="J18" s="173">
        <f>80625.69+21540</f>
        <v>102165.69</v>
      </c>
      <c r="K18" s="175"/>
      <c r="L18" s="176"/>
      <c r="M18" s="24"/>
      <c r="N18" s="151"/>
    </row>
    <row r="19" spans="2:14" ht="110.25">
      <c r="B19" s="172" t="s">
        <v>28</v>
      </c>
      <c r="C19" s="144" t="s">
        <v>29</v>
      </c>
      <c r="D19" s="173">
        <v>51000</v>
      </c>
      <c r="E19" s="173"/>
      <c r="F19" s="173">
        <v>10000</v>
      </c>
      <c r="G19" s="174">
        <v>12253.64</v>
      </c>
      <c r="H19" s="159">
        <f t="shared" si="0"/>
        <v>73253.64</v>
      </c>
      <c r="I19" s="142">
        <v>0.3</v>
      </c>
      <c r="J19" s="173">
        <f>59714.36+12350</f>
        <v>72064.36</v>
      </c>
      <c r="K19" s="175"/>
      <c r="L19" s="176"/>
      <c r="M19" s="24"/>
      <c r="N19" s="151"/>
    </row>
    <row r="20" spans="2:14" ht="15.75">
      <c r="C20" s="75" t="s">
        <v>30</v>
      </c>
      <c r="D20" s="9">
        <f>SUM(D16:D19)</f>
        <v>286850.46999999997</v>
      </c>
      <c r="E20" s="9">
        <f>SUM(E16:E19)</f>
        <v>0</v>
      </c>
      <c r="F20" s="9">
        <f>SUM(F16:F19)</f>
        <v>40000</v>
      </c>
      <c r="G20" s="9">
        <f>SUM(G16:G19)</f>
        <v>53798.64</v>
      </c>
      <c r="H20" s="9">
        <f>SUM(H16:H19)</f>
        <v>380649.11</v>
      </c>
      <c r="I20" s="9">
        <f>(I16*H16)+(I17*H17)+(I18*H18)+(I19*H19)</f>
        <v>74584.092000000004</v>
      </c>
      <c r="J20" s="9">
        <f>SUM(J16:J19)</f>
        <v>367128.81</v>
      </c>
      <c r="K20" s="178"/>
      <c r="L20" s="152"/>
      <c r="M20" s="24"/>
      <c r="N20" s="122"/>
    </row>
    <row r="21" spans="2:14" ht="51" customHeight="1">
      <c r="B21" s="74" t="s">
        <v>31</v>
      </c>
      <c r="C21" s="220" t="s">
        <v>32</v>
      </c>
      <c r="D21" s="220"/>
      <c r="E21" s="220"/>
      <c r="F21" s="220"/>
      <c r="G21" s="220"/>
      <c r="H21" s="220"/>
      <c r="I21" s="220"/>
      <c r="J21" s="221"/>
      <c r="K21" s="220"/>
      <c r="L21" s="34"/>
    </row>
    <row r="22" spans="2:14" ht="94.5">
      <c r="B22" s="172" t="s">
        <v>33</v>
      </c>
      <c r="C22" s="144" t="s">
        <v>34</v>
      </c>
      <c r="D22" s="173">
        <v>51000</v>
      </c>
      <c r="E22" s="173"/>
      <c r="F22" s="173">
        <v>10000</v>
      </c>
      <c r="G22" s="174">
        <v>16230.5</v>
      </c>
      <c r="H22" s="159">
        <f>SUM(D22:G22)</f>
        <v>77230.5</v>
      </c>
      <c r="I22" s="142">
        <v>0.3</v>
      </c>
      <c r="J22" s="173">
        <f>58154.32+17375.97</f>
        <v>75530.290000000008</v>
      </c>
      <c r="K22" s="175"/>
      <c r="L22" s="179"/>
      <c r="N22" s="150"/>
    </row>
    <row r="23" spans="2:14" ht="94.5">
      <c r="B23" s="172" t="s">
        <v>35</v>
      </c>
      <c r="C23" s="144" t="s">
        <v>36</v>
      </c>
      <c r="D23" s="173">
        <v>30000</v>
      </c>
      <c r="E23" s="173">
        <v>15000</v>
      </c>
      <c r="F23" s="173">
        <v>5000</v>
      </c>
      <c r="G23" s="174">
        <v>22545</v>
      </c>
      <c r="H23" s="159">
        <f t="shared" ref="H23:H24" si="1">SUM(D23:G23)</f>
        <v>72545</v>
      </c>
      <c r="I23" s="142">
        <v>0.3</v>
      </c>
      <c r="J23" s="173">
        <f>26383.8+22500</f>
        <v>48883.8</v>
      </c>
      <c r="K23" s="175"/>
      <c r="L23" s="179"/>
      <c r="N23" s="150"/>
    </row>
    <row r="24" spans="2:14" ht="63">
      <c r="B24" s="172" t="s">
        <v>37</v>
      </c>
      <c r="C24" s="144" t="s">
        <v>38</v>
      </c>
      <c r="D24" s="173">
        <v>29000</v>
      </c>
      <c r="E24" s="173">
        <v>10000</v>
      </c>
      <c r="F24" s="173">
        <v>10000</v>
      </c>
      <c r="G24" s="174">
        <v>12625.47</v>
      </c>
      <c r="H24" s="159">
        <f t="shared" si="1"/>
        <v>61625.47</v>
      </c>
      <c r="I24" s="142">
        <v>0.2</v>
      </c>
      <c r="J24" s="173">
        <f>36423.79+8525</f>
        <v>44948.79</v>
      </c>
      <c r="K24" s="175"/>
      <c r="L24" s="179"/>
      <c r="N24" s="150"/>
    </row>
    <row r="25" spans="2:14" ht="15.75">
      <c r="C25" s="75" t="s">
        <v>30</v>
      </c>
      <c r="D25" s="12">
        <f>SUM(D22:D24)</f>
        <v>110000</v>
      </c>
      <c r="E25" s="12">
        <f>SUM(E22:E24)</f>
        <v>25000</v>
      </c>
      <c r="F25" s="12">
        <f>SUM(F22:F24)</f>
        <v>25000</v>
      </c>
      <c r="G25" s="12">
        <f>SUM(G22:G24)</f>
        <v>51400.97</v>
      </c>
      <c r="H25" s="12">
        <f>SUM(H22:H24)</f>
        <v>211400.97</v>
      </c>
      <c r="I25" s="9">
        <f>(I22*H22)+(I23*H23)+(I24*H24)</f>
        <v>57257.743999999992</v>
      </c>
      <c r="J25" s="9">
        <f>SUM(J22:J24)</f>
        <v>169362.88</v>
      </c>
      <c r="K25" s="178"/>
      <c r="L25" s="152"/>
      <c r="M25" s="24"/>
      <c r="N25" s="122"/>
    </row>
    <row r="26" spans="2:14" ht="51" customHeight="1">
      <c r="B26" s="74" t="s">
        <v>39</v>
      </c>
      <c r="C26" s="220" t="s">
        <v>40</v>
      </c>
      <c r="D26" s="220"/>
      <c r="E26" s="220"/>
      <c r="F26" s="220"/>
      <c r="G26" s="220"/>
      <c r="H26" s="220"/>
      <c r="I26" s="220"/>
      <c r="J26" s="221"/>
      <c r="K26" s="220"/>
      <c r="L26" s="34"/>
    </row>
    <row r="27" spans="2:14" ht="141.75">
      <c r="B27" s="172" t="s">
        <v>41</v>
      </c>
      <c r="C27" s="144" t="s">
        <v>42</v>
      </c>
      <c r="D27" s="173">
        <v>65000</v>
      </c>
      <c r="E27" s="173"/>
      <c r="F27" s="173">
        <v>41518</v>
      </c>
      <c r="G27" s="174">
        <v>31329.67</v>
      </c>
      <c r="H27" s="159">
        <f>SUM(D27:G27)</f>
        <v>137847.66999999998</v>
      </c>
      <c r="I27" s="142">
        <v>0.3</v>
      </c>
      <c r="J27" s="173">
        <f>103443.71+24000</f>
        <v>127443.71</v>
      </c>
      <c r="K27" s="175"/>
      <c r="L27" s="179"/>
      <c r="N27" s="150"/>
    </row>
    <row r="28" spans="2:14" ht="126">
      <c r="B28" s="172" t="s">
        <v>43</v>
      </c>
      <c r="C28" s="144" t="s">
        <v>44</v>
      </c>
      <c r="D28" s="173">
        <v>37000</v>
      </c>
      <c r="E28" s="173"/>
      <c r="F28" s="173">
        <v>30000</v>
      </c>
      <c r="G28" s="174">
        <v>31329.67</v>
      </c>
      <c r="H28" s="159">
        <f t="shared" ref="H28:H29" si="2">SUM(D28:G28)</f>
        <v>98329.67</v>
      </c>
      <c r="I28" s="142">
        <v>0.3</v>
      </c>
      <c r="J28" s="173">
        <f>57869.04+33989</f>
        <v>91858.040000000008</v>
      </c>
      <c r="K28" s="175"/>
      <c r="L28" s="179"/>
      <c r="N28" s="150"/>
    </row>
    <row r="29" spans="2:14" ht="110.25">
      <c r="B29" s="172" t="s">
        <v>45</v>
      </c>
      <c r="C29" s="144" t="s">
        <v>46</v>
      </c>
      <c r="D29" s="173">
        <v>42000</v>
      </c>
      <c r="E29" s="173">
        <v>10000</v>
      </c>
      <c r="F29" s="173">
        <v>15000</v>
      </c>
      <c r="G29" s="174">
        <v>31329.66</v>
      </c>
      <c r="H29" s="159">
        <f t="shared" si="2"/>
        <v>98329.66</v>
      </c>
      <c r="I29" s="142">
        <v>0.1</v>
      </c>
      <c r="J29" s="173">
        <f>55905.58+5000+30500</f>
        <v>91405.58</v>
      </c>
      <c r="K29" s="175"/>
      <c r="L29" s="179"/>
      <c r="N29" s="150"/>
    </row>
    <row r="30" spans="2:14" ht="15.75">
      <c r="C30" s="75" t="s">
        <v>30</v>
      </c>
      <c r="D30" s="12">
        <f>SUM(D27:D29)</f>
        <v>144000</v>
      </c>
      <c r="E30" s="12">
        <f>SUM(E27:E29)</f>
        <v>10000</v>
      </c>
      <c r="F30" s="12">
        <f>SUM(F27:F29)</f>
        <v>86518</v>
      </c>
      <c r="G30" s="12">
        <f>SUM(G27:G29)</f>
        <v>93989</v>
      </c>
      <c r="H30" s="12">
        <f>SUM(H27:H29)</f>
        <v>334507</v>
      </c>
      <c r="I30" s="9">
        <f>(I27*H27)+(I28*H28)+(I29*H29)</f>
        <v>80686.167999999991</v>
      </c>
      <c r="J30" s="9">
        <f>SUM(J27:J29)</f>
        <v>310707.33</v>
      </c>
      <c r="K30" s="178"/>
      <c r="L30" s="35"/>
    </row>
    <row r="31" spans="2:14" ht="15.75">
      <c r="B31" s="180"/>
      <c r="C31" s="181"/>
      <c r="D31" s="182"/>
      <c r="E31" s="182"/>
      <c r="F31" s="182"/>
      <c r="G31" s="182"/>
      <c r="H31" s="182"/>
      <c r="I31" s="182"/>
      <c r="J31" s="182"/>
      <c r="K31" s="182"/>
      <c r="L31" s="179"/>
    </row>
    <row r="32" spans="2:14" ht="15.75">
      <c r="B32" s="75" t="s">
        <v>47</v>
      </c>
      <c r="C32" s="224" t="s">
        <v>48</v>
      </c>
      <c r="D32" s="224"/>
      <c r="E32" s="224"/>
      <c r="F32" s="224"/>
      <c r="G32" s="224"/>
      <c r="H32" s="224"/>
      <c r="I32" s="224"/>
      <c r="J32" s="223"/>
      <c r="K32" s="224"/>
      <c r="L32" s="8"/>
    </row>
    <row r="33" spans="2:14" ht="15.75">
      <c r="B33" s="74" t="s">
        <v>49</v>
      </c>
      <c r="C33" s="220" t="s">
        <v>50</v>
      </c>
      <c r="D33" s="220"/>
      <c r="E33" s="220"/>
      <c r="F33" s="220"/>
      <c r="G33" s="220"/>
      <c r="H33" s="220"/>
      <c r="I33" s="220"/>
      <c r="J33" s="221"/>
      <c r="K33" s="220"/>
      <c r="L33" s="34"/>
    </row>
    <row r="34" spans="2:14" ht="78.75">
      <c r="B34" s="172" t="s">
        <v>51</v>
      </c>
      <c r="C34" s="144" t="s">
        <v>52</v>
      </c>
      <c r="D34" s="173"/>
      <c r="E34" s="173">
        <v>10000</v>
      </c>
      <c r="F34" s="173">
        <v>10000</v>
      </c>
      <c r="G34" s="174">
        <v>37095</v>
      </c>
      <c r="H34" s="159">
        <f>SUM(D34:G34)</f>
        <v>57095</v>
      </c>
      <c r="I34" s="142">
        <v>0.3</v>
      </c>
      <c r="J34" s="173">
        <f>34017+35400</f>
        <v>69417</v>
      </c>
      <c r="K34" s="175"/>
      <c r="L34" s="179"/>
    </row>
    <row r="35" spans="2:14" s="24" customFormat="1" ht="15.75">
      <c r="B35" s="23"/>
      <c r="C35" s="75" t="s">
        <v>30</v>
      </c>
      <c r="D35" s="9">
        <f>SUM(D34:D34)</f>
        <v>0</v>
      </c>
      <c r="E35" s="9">
        <f>SUM(E34:E34)</f>
        <v>10000</v>
      </c>
      <c r="F35" s="9">
        <f>SUM(F34:F34)</f>
        <v>10000</v>
      </c>
      <c r="G35" s="9">
        <f>SUM(G34:G34)</f>
        <v>37095</v>
      </c>
      <c r="H35" s="12">
        <f>SUM(H34:H34)</f>
        <v>57095</v>
      </c>
      <c r="I35" s="9">
        <f>(I34*H34)</f>
        <v>17128.5</v>
      </c>
      <c r="J35" s="9">
        <f>SUM(J34:J34)</f>
        <v>69417</v>
      </c>
      <c r="K35" s="178"/>
      <c r="L35" s="35"/>
    </row>
    <row r="36" spans="2:14" ht="15.75">
      <c r="B36" s="74" t="s">
        <v>53</v>
      </c>
      <c r="C36" s="220" t="s">
        <v>54</v>
      </c>
      <c r="D36" s="220"/>
      <c r="E36" s="220"/>
      <c r="F36" s="220"/>
      <c r="G36" s="220"/>
      <c r="H36" s="220"/>
      <c r="I36" s="220"/>
      <c r="J36" s="221"/>
      <c r="K36" s="220"/>
      <c r="L36" s="34"/>
    </row>
    <row r="37" spans="2:14" ht="63">
      <c r="B37" s="172" t="s">
        <v>55</v>
      </c>
      <c r="C37" s="144" t="s">
        <v>56</v>
      </c>
      <c r="D37" s="173"/>
      <c r="E37" s="173">
        <v>45000</v>
      </c>
      <c r="F37" s="173">
        <v>55982</v>
      </c>
      <c r="G37" s="174">
        <v>54200</v>
      </c>
      <c r="H37" s="159">
        <f>SUM(D37:G37)</f>
        <v>155182</v>
      </c>
      <c r="I37" s="142">
        <v>0.3</v>
      </c>
      <c r="J37" s="173">
        <f>55638.54+55000+57100</f>
        <v>167738.54</v>
      </c>
      <c r="K37" s="175"/>
      <c r="L37" s="179"/>
      <c r="N37" s="150"/>
    </row>
    <row r="38" spans="2:14" ht="94.5">
      <c r="B38" s="172" t="s">
        <v>57</v>
      </c>
      <c r="C38" s="144" t="s">
        <v>58</v>
      </c>
      <c r="D38" s="173"/>
      <c r="E38" s="173">
        <v>30000</v>
      </c>
      <c r="F38" s="173">
        <v>25000</v>
      </c>
      <c r="G38" s="174">
        <v>36135</v>
      </c>
      <c r="H38" s="159">
        <f t="shared" ref="H38:H44" si="3">SUM(D38:G38)</f>
        <v>91135</v>
      </c>
      <c r="I38" s="142">
        <v>0.3</v>
      </c>
      <c r="J38" s="173">
        <f>24218.14+37000+29250</f>
        <v>90468.14</v>
      </c>
      <c r="K38" s="175"/>
      <c r="L38" s="179"/>
      <c r="N38" s="150"/>
    </row>
    <row r="39" spans="2:14" ht="78.75">
      <c r="B39" s="172" t="s">
        <v>59</v>
      </c>
      <c r="C39" s="144" t="s">
        <v>60</v>
      </c>
      <c r="D39" s="173"/>
      <c r="E39" s="173">
        <v>250000</v>
      </c>
      <c r="F39" s="173">
        <v>110000</v>
      </c>
      <c r="G39" s="174">
        <v>129060</v>
      </c>
      <c r="H39" s="159">
        <f t="shared" si="3"/>
        <v>489060</v>
      </c>
      <c r="I39" s="142">
        <v>0.35</v>
      </c>
      <c r="J39" s="173">
        <f>109965.04+230916.34+95275</f>
        <v>436156.38</v>
      </c>
      <c r="K39" s="175"/>
      <c r="L39" s="179"/>
      <c r="N39" s="150"/>
    </row>
    <row r="40" spans="2:14" ht="94.5">
      <c r="B40" s="172" t="s">
        <v>61</v>
      </c>
      <c r="C40" s="144" t="s">
        <v>62</v>
      </c>
      <c r="D40" s="173"/>
      <c r="E40" s="173">
        <v>74730</v>
      </c>
      <c r="F40" s="149"/>
      <c r="G40" s="174">
        <v>36135</v>
      </c>
      <c r="H40" s="159">
        <f t="shared" si="3"/>
        <v>110865</v>
      </c>
      <c r="I40" s="142">
        <v>0.3</v>
      </c>
      <c r="J40" s="173">
        <f>64713+34500</f>
        <v>99213</v>
      </c>
      <c r="K40" s="175"/>
      <c r="L40" s="179"/>
      <c r="N40" s="150"/>
    </row>
    <row r="41" spans="2:14" ht="78.75">
      <c r="B41" s="172" t="s">
        <v>63</v>
      </c>
      <c r="C41" s="144" t="s">
        <v>64</v>
      </c>
      <c r="D41" s="173"/>
      <c r="E41" s="173">
        <v>60000</v>
      </c>
      <c r="F41" s="148"/>
      <c r="G41" s="174">
        <v>116150</v>
      </c>
      <c r="H41" s="159">
        <f t="shared" si="3"/>
        <v>176150</v>
      </c>
      <c r="I41" s="142">
        <v>0.3</v>
      </c>
      <c r="J41" s="173">
        <f>65000+104803</f>
        <v>169803</v>
      </c>
      <c r="K41" s="175"/>
      <c r="L41" s="179"/>
      <c r="N41" s="150"/>
    </row>
    <row r="42" spans="2:14" ht="15.75">
      <c r="B42" s="172" t="s">
        <v>65</v>
      </c>
      <c r="C42" s="144"/>
      <c r="D42" s="173"/>
      <c r="E42" s="173"/>
      <c r="F42" s="173"/>
      <c r="G42" s="174"/>
      <c r="H42" s="159">
        <f t="shared" si="3"/>
        <v>0</v>
      </c>
      <c r="I42" s="142"/>
      <c r="J42" s="173"/>
      <c r="K42" s="175"/>
      <c r="L42" s="179"/>
    </row>
    <row r="43" spans="2:14" ht="15.75">
      <c r="B43" s="172" t="s">
        <v>66</v>
      </c>
      <c r="C43" s="145"/>
      <c r="D43" s="174"/>
      <c r="E43" s="174"/>
      <c r="F43" s="174"/>
      <c r="G43" s="174"/>
      <c r="H43" s="159">
        <f t="shared" si="3"/>
        <v>0</v>
      </c>
      <c r="I43" s="177"/>
      <c r="J43" s="174"/>
      <c r="K43" s="178"/>
      <c r="L43" s="179"/>
    </row>
    <row r="44" spans="2:14" ht="15.75">
      <c r="B44" s="172" t="s">
        <v>67</v>
      </c>
      <c r="C44" s="145"/>
      <c r="D44" s="174"/>
      <c r="E44" s="174"/>
      <c r="F44" s="174"/>
      <c r="G44" s="174"/>
      <c r="H44" s="159">
        <f t="shared" si="3"/>
        <v>0</v>
      </c>
      <c r="I44" s="177"/>
      <c r="J44" s="174"/>
      <c r="K44" s="178"/>
      <c r="L44" s="179"/>
    </row>
    <row r="45" spans="2:14" ht="15.75">
      <c r="C45" s="75" t="s">
        <v>30</v>
      </c>
      <c r="D45" s="12">
        <f>SUM(D37:D44)</f>
        <v>0</v>
      </c>
      <c r="E45" s="12">
        <f>SUM(E37:E44)</f>
        <v>459730</v>
      </c>
      <c r="F45" s="12">
        <f>SUM(F37:F44)</f>
        <v>190982</v>
      </c>
      <c r="G45" s="12">
        <f>SUM(G37:G44)</f>
        <v>371680</v>
      </c>
      <c r="H45" s="12">
        <f>SUM(H37:H44)</f>
        <v>1022392</v>
      </c>
      <c r="I45" s="9">
        <f>(I37*H37)+(I38*H38)+(I39*H39)+(I40*H40)+(I41*H41)+(I42*H42)+(I43*H43)+(I44*H44)</f>
        <v>331170.59999999998</v>
      </c>
      <c r="J45" s="9">
        <f>SUM(J37:J44)</f>
        <v>963379.06</v>
      </c>
      <c r="K45" s="178"/>
      <c r="L45" s="35"/>
      <c r="N45" s="35"/>
    </row>
    <row r="46" spans="2:14" ht="15.75">
      <c r="B46" s="74" t="s">
        <v>68</v>
      </c>
      <c r="C46" s="220" t="s">
        <v>69</v>
      </c>
      <c r="D46" s="220"/>
      <c r="E46" s="220"/>
      <c r="F46" s="220"/>
      <c r="G46" s="220"/>
      <c r="H46" s="220"/>
      <c r="I46" s="220"/>
      <c r="J46" s="221"/>
      <c r="K46" s="220"/>
      <c r="L46" s="34"/>
    </row>
    <row r="47" spans="2:14" ht="31.5">
      <c r="B47" s="172" t="s">
        <v>70</v>
      </c>
      <c r="C47" s="144" t="s">
        <v>71</v>
      </c>
      <c r="D47" s="173"/>
      <c r="E47" s="173">
        <v>5000</v>
      </c>
      <c r="F47" s="173">
        <v>10000</v>
      </c>
      <c r="G47" s="174">
        <v>17300</v>
      </c>
      <c r="H47" s="159">
        <f>SUM(D47:G47)</f>
        <v>32300</v>
      </c>
      <c r="I47" s="142"/>
      <c r="J47" s="173">
        <f>12875.67+8000+15000</f>
        <v>35875.67</v>
      </c>
      <c r="K47" s="175"/>
      <c r="L47" s="179"/>
      <c r="N47" s="150"/>
    </row>
    <row r="48" spans="2:14" ht="31.5">
      <c r="B48" s="172" t="s">
        <v>72</v>
      </c>
      <c r="C48" s="144" t="s">
        <v>73</v>
      </c>
      <c r="D48" s="173"/>
      <c r="E48" s="173">
        <v>7000</v>
      </c>
      <c r="F48" s="173">
        <v>15000</v>
      </c>
      <c r="G48" s="174">
        <v>8660</v>
      </c>
      <c r="H48" s="159">
        <f t="shared" ref="H48:H49" si="4">SUM(D48:G48)</f>
        <v>30660</v>
      </c>
      <c r="I48" s="142"/>
      <c r="J48" s="173">
        <f>12502.66+16000+10960</f>
        <v>39462.660000000003</v>
      </c>
      <c r="K48" s="175"/>
      <c r="L48" s="179"/>
      <c r="N48" s="150"/>
    </row>
    <row r="49" spans="2:14" ht="47.25">
      <c r="B49" s="172" t="s">
        <v>74</v>
      </c>
      <c r="C49" s="144" t="s">
        <v>75</v>
      </c>
      <c r="D49" s="173"/>
      <c r="E49" s="173">
        <v>8000</v>
      </c>
      <c r="F49" s="173">
        <v>15000</v>
      </c>
      <c r="G49" s="174">
        <v>12972</v>
      </c>
      <c r="H49" s="159">
        <f t="shared" si="4"/>
        <v>35972</v>
      </c>
      <c r="I49" s="142"/>
      <c r="J49" s="173">
        <f>14919.47+12000+11000</f>
        <v>37919.47</v>
      </c>
      <c r="K49" s="175"/>
      <c r="L49" s="179"/>
      <c r="N49" s="150"/>
    </row>
    <row r="50" spans="2:14" ht="15.75">
      <c r="C50" s="75" t="s">
        <v>30</v>
      </c>
      <c r="D50" s="12">
        <f>SUM(D47:D49)</f>
        <v>0</v>
      </c>
      <c r="E50" s="12">
        <f>SUM(E47:E49)</f>
        <v>20000</v>
      </c>
      <c r="F50" s="12">
        <f>SUM(F47:F49)</f>
        <v>40000</v>
      </c>
      <c r="G50" s="12">
        <f>SUM(G47:G49)</f>
        <v>38932</v>
      </c>
      <c r="H50" s="12">
        <f>SUM(H47:H49)</f>
        <v>98932</v>
      </c>
      <c r="I50" s="9">
        <f>(I47*H47)+(I48*H48)+(I49*H49)</f>
        <v>0</v>
      </c>
      <c r="J50" s="9">
        <f>SUM(J47:J49)</f>
        <v>113257.8</v>
      </c>
      <c r="K50" s="178"/>
      <c r="L50" s="35"/>
    </row>
    <row r="51" spans="2:14" ht="15.75">
      <c r="B51" s="74" t="s">
        <v>76</v>
      </c>
      <c r="C51" s="220" t="s">
        <v>77</v>
      </c>
      <c r="D51" s="220"/>
      <c r="E51" s="220"/>
      <c r="F51" s="220"/>
      <c r="G51" s="220"/>
      <c r="H51" s="220"/>
      <c r="I51" s="220"/>
      <c r="J51" s="221"/>
      <c r="K51" s="220"/>
      <c r="L51" s="34"/>
    </row>
    <row r="52" spans="2:14" ht="236.25">
      <c r="B52" s="172" t="s">
        <v>78</v>
      </c>
      <c r="C52" s="144" t="s">
        <v>79</v>
      </c>
      <c r="D52" s="173">
        <v>16000</v>
      </c>
      <c r="E52" s="173"/>
      <c r="F52" s="173">
        <v>5000</v>
      </c>
      <c r="G52" s="174">
        <v>3305</v>
      </c>
      <c r="H52" s="159">
        <f>SUM(D52:G52)</f>
        <v>24305</v>
      </c>
      <c r="I52" s="142"/>
      <c r="J52" s="173">
        <f>19110.81+4500</f>
        <v>23610.81</v>
      </c>
      <c r="K52" s="175"/>
      <c r="L52" s="179"/>
      <c r="M52" s="153"/>
    </row>
    <row r="53" spans="2:14" ht="94.5">
      <c r="B53" s="172" t="s">
        <v>80</v>
      </c>
      <c r="C53" s="144" t="s">
        <v>81</v>
      </c>
      <c r="D53" s="173">
        <v>19000</v>
      </c>
      <c r="E53" s="173"/>
      <c r="F53" s="173">
        <v>10000</v>
      </c>
      <c r="G53" s="174">
        <v>2255</v>
      </c>
      <c r="H53" s="159">
        <f t="shared" ref="H53:H54" si="5">SUM(D53:G53)</f>
        <v>31255</v>
      </c>
      <c r="I53" s="142">
        <v>0.2</v>
      </c>
      <c r="J53" s="173">
        <f>28373.99+3000</f>
        <v>31373.99</v>
      </c>
      <c r="K53" s="175"/>
      <c r="L53" s="179"/>
      <c r="M53" s="153"/>
    </row>
    <row r="54" spans="2:14" ht="31.5">
      <c r="B54" s="172" t="s">
        <v>82</v>
      </c>
      <c r="C54" s="144" t="s">
        <v>83</v>
      </c>
      <c r="D54" s="173">
        <v>12000</v>
      </c>
      <c r="E54" s="173"/>
      <c r="F54" s="173"/>
      <c r="G54" s="174">
        <v>1750</v>
      </c>
      <c r="H54" s="159">
        <f t="shared" si="5"/>
        <v>13750</v>
      </c>
      <c r="I54" s="142">
        <v>0.2</v>
      </c>
      <c r="J54" s="173">
        <f>9407+1500</f>
        <v>10907</v>
      </c>
      <c r="K54" s="175"/>
      <c r="L54" s="179"/>
      <c r="M54" s="153"/>
    </row>
    <row r="55" spans="2:14" ht="15.75">
      <c r="C55" s="75" t="s">
        <v>30</v>
      </c>
      <c r="D55" s="9">
        <f>SUM(D52:D54)</f>
        <v>47000</v>
      </c>
      <c r="E55" s="9">
        <f>SUM(E52:E54)</f>
        <v>0</v>
      </c>
      <c r="F55" s="9">
        <f>SUM(F52:F54)</f>
        <v>15000</v>
      </c>
      <c r="G55" s="9">
        <f>SUM(G52:G54)</f>
        <v>7310</v>
      </c>
      <c r="H55" s="9">
        <f>SUM(H52:H54)</f>
        <v>69310</v>
      </c>
      <c r="I55" s="9">
        <f>(I52*H52)+(I53*H53)+(I54*H54)</f>
        <v>9001</v>
      </c>
      <c r="J55" s="9">
        <f>SUM(J52:J54)</f>
        <v>65891.8</v>
      </c>
      <c r="K55" s="178"/>
      <c r="L55" s="35"/>
    </row>
    <row r="56" spans="2:14" ht="15.75" customHeight="1">
      <c r="B56" s="4"/>
      <c r="C56" s="180"/>
      <c r="D56" s="146"/>
      <c r="E56" s="146"/>
      <c r="F56" s="146"/>
      <c r="G56" s="146"/>
      <c r="H56" s="146"/>
      <c r="I56" s="146"/>
      <c r="J56" s="146"/>
      <c r="K56" s="180"/>
      <c r="L56" s="2"/>
    </row>
    <row r="57" spans="2:14" ht="15.75" customHeight="1">
      <c r="B57" s="4"/>
      <c r="C57" s="180"/>
      <c r="D57" s="146"/>
      <c r="E57" s="146"/>
      <c r="F57" s="146"/>
      <c r="G57" s="146"/>
      <c r="H57" s="146"/>
      <c r="I57" s="146"/>
      <c r="J57" s="146"/>
      <c r="K57" s="180"/>
      <c r="L57" s="2"/>
    </row>
    <row r="58" spans="2:14" ht="15.75" customHeight="1">
      <c r="B58" s="4"/>
      <c r="C58" s="180"/>
      <c r="D58" s="146"/>
      <c r="E58" s="146"/>
      <c r="F58" s="146"/>
      <c r="G58" s="146"/>
      <c r="H58" s="146"/>
      <c r="I58" s="146"/>
      <c r="J58" s="146"/>
      <c r="K58" s="180"/>
      <c r="L58" s="2"/>
    </row>
    <row r="59" spans="2:14" ht="63.75" customHeight="1">
      <c r="B59" s="75" t="s">
        <v>91</v>
      </c>
      <c r="C59" s="183"/>
      <c r="D59" s="147">
        <v>190000</v>
      </c>
      <c r="E59" s="147"/>
      <c r="F59" s="147">
        <v>150000</v>
      </c>
      <c r="G59" s="184"/>
      <c r="H59" s="185">
        <f>SUM(D59:G59)</f>
        <v>340000</v>
      </c>
      <c r="I59" s="186"/>
      <c r="J59" s="147">
        <v>348842</v>
      </c>
      <c r="K59" s="187"/>
      <c r="L59" s="35"/>
    </row>
    <row r="60" spans="2:14" ht="69.75" customHeight="1">
      <c r="B60" s="75" t="s">
        <v>92</v>
      </c>
      <c r="C60" s="183"/>
      <c r="D60" s="147">
        <v>50000</v>
      </c>
      <c r="E60" s="147"/>
      <c r="F60" s="147">
        <v>48434.58</v>
      </c>
      <c r="G60" s="184"/>
      <c r="H60" s="185">
        <f>SUM(D60:G60)</f>
        <v>98434.58</v>
      </c>
      <c r="I60" s="186"/>
      <c r="J60" s="147">
        <f>102921.51+45794.39</f>
        <v>148715.9</v>
      </c>
      <c r="K60" s="187"/>
      <c r="L60" s="35"/>
    </row>
    <row r="61" spans="2:14" ht="57" customHeight="1">
      <c r="B61" s="75" t="s">
        <v>93</v>
      </c>
      <c r="C61" s="188"/>
      <c r="D61" s="147">
        <v>35000</v>
      </c>
      <c r="E61" s="147">
        <v>25000</v>
      </c>
      <c r="F61" s="147">
        <v>50000</v>
      </c>
      <c r="G61" s="184"/>
      <c r="H61" s="185">
        <f>SUM(D61:G61)</f>
        <v>110000</v>
      </c>
      <c r="I61" s="186"/>
      <c r="J61" s="147">
        <f>52064.68+32110.66</f>
        <v>84175.34</v>
      </c>
      <c r="K61" s="187"/>
      <c r="L61" s="35"/>
    </row>
    <row r="62" spans="2:14" ht="65.25" customHeight="1">
      <c r="B62" s="90" t="s">
        <v>94</v>
      </c>
      <c r="C62" s="183"/>
      <c r="D62" s="147">
        <v>25000</v>
      </c>
      <c r="E62" s="147">
        <v>11017.66</v>
      </c>
      <c r="F62" s="147">
        <v>45000</v>
      </c>
      <c r="G62" s="184"/>
      <c r="H62" s="185">
        <f>SUM(D62:G62)</f>
        <v>81017.66</v>
      </c>
      <c r="I62" s="186"/>
      <c r="J62" s="147">
        <v>53824.76</v>
      </c>
      <c r="K62" s="187"/>
      <c r="L62" s="35"/>
    </row>
    <row r="63" spans="2:14" ht="38.25" customHeight="1">
      <c r="B63" s="4"/>
      <c r="C63" s="91" t="s">
        <v>95</v>
      </c>
      <c r="D63" s="94">
        <f>SUM(D59:D62)</f>
        <v>300000</v>
      </c>
      <c r="E63" s="94">
        <f>SUM(E59:E62)</f>
        <v>36017.660000000003</v>
      </c>
      <c r="F63" s="94">
        <f>SUM(F59:F62)</f>
        <v>293434.58</v>
      </c>
      <c r="G63" s="94">
        <f>SUM(G59:G62)</f>
        <v>0</v>
      </c>
      <c r="H63" s="94">
        <f>SUM(H59:H62)</f>
        <v>629452.24000000011</v>
      </c>
      <c r="I63" s="9">
        <f>(I59*H59)+(I60*H60)+(I61*H61)+(I62*H62)</f>
        <v>0</v>
      </c>
      <c r="J63" s="9">
        <f>SUM(J59:J62)</f>
        <v>635558</v>
      </c>
      <c r="K63" s="183"/>
      <c r="L63" s="7"/>
    </row>
    <row r="64" spans="2:14" ht="15.75" customHeight="1">
      <c r="B64" s="4"/>
      <c r="C64" s="180"/>
      <c r="D64" s="146"/>
      <c r="E64" s="146"/>
      <c r="F64" s="146"/>
      <c r="G64" s="146"/>
      <c r="H64" s="146"/>
      <c r="I64" s="146"/>
      <c r="J64" s="146"/>
      <c r="K64" s="180"/>
      <c r="L64" s="7"/>
    </row>
    <row r="65" spans="2:12" ht="15.75" customHeight="1">
      <c r="B65" s="4"/>
      <c r="C65" s="180"/>
      <c r="D65" s="146"/>
      <c r="E65" s="146"/>
      <c r="F65" s="146"/>
      <c r="G65" s="146"/>
      <c r="H65" s="146"/>
      <c r="I65" s="146"/>
      <c r="J65" s="146"/>
      <c r="K65" s="180"/>
      <c r="L65" s="7"/>
    </row>
    <row r="66" spans="2:12" ht="15.75" customHeight="1">
      <c r="B66" s="4"/>
      <c r="C66" s="180"/>
      <c r="D66" s="146"/>
      <c r="E66" s="146"/>
      <c r="F66" s="146"/>
      <c r="G66" s="146"/>
      <c r="H66" s="146"/>
      <c r="I66" s="146"/>
      <c r="J66" s="146"/>
      <c r="K66" s="180"/>
      <c r="L66" s="7"/>
    </row>
    <row r="67" spans="2:12" ht="15.75" customHeight="1">
      <c r="B67" s="4"/>
      <c r="C67" s="180"/>
      <c r="D67" s="146"/>
      <c r="E67" s="146"/>
      <c r="F67" s="146"/>
      <c r="G67" s="146"/>
      <c r="H67" s="146"/>
      <c r="I67" s="146"/>
      <c r="J67" s="146"/>
      <c r="K67" s="180"/>
      <c r="L67" s="7"/>
    </row>
    <row r="68" spans="2:12" ht="15.75" customHeight="1">
      <c r="B68" s="4"/>
      <c r="C68" s="180"/>
      <c r="D68" s="146"/>
      <c r="E68" s="146"/>
      <c r="F68" s="146"/>
      <c r="G68" s="146">
        <f>G69-G74</f>
        <v>-2.5233644992113113E-3</v>
      </c>
      <c r="H68" s="146"/>
      <c r="I68" s="146"/>
      <c r="J68" s="146"/>
      <c r="K68" s="180"/>
      <c r="L68" s="7"/>
    </row>
    <row r="69" spans="2:12" ht="15.75" customHeight="1">
      <c r="B69" s="4"/>
      <c r="C69" s="180"/>
      <c r="D69" s="146"/>
      <c r="E69" s="146"/>
      <c r="F69" s="146"/>
      <c r="G69" s="146">
        <f>700000/1.07</f>
        <v>654205.60747663549</v>
      </c>
      <c r="H69" s="146"/>
      <c r="I69" s="146"/>
      <c r="J69" s="146"/>
      <c r="K69" s="180"/>
      <c r="L69" s="7"/>
    </row>
    <row r="70" spans="2:12" ht="15.75" customHeight="1" thickBot="1">
      <c r="B70" s="4"/>
      <c r="C70" s="180"/>
      <c r="D70" s="146"/>
      <c r="E70" s="146"/>
      <c r="F70" s="146"/>
      <c r="G70" s="146"/>
      <c r="H70" s="146"/>
      <c r="I70" s="146"/>
      <c r="J70" s="146"/>
      <c r="K70" s="180"/>
      <c r="L70" s="7"/>
    </row>
    <row r="71" spans="2:12" ht="15.75">
      <c r="B71" s="4"/>
      <c r="C71" s="234" t="s">
        <v>96</v>
      </c>
      <c r="D71" s="235"/>
      <c r="E71" s="235"/>
      <c r="F71" s="235"/>
      <c r="G71" s="235"/>
      <c r="H71" s="236"/>
      <c r="I71" s="7"/>
      <c r="J71" s="119"/>
      <c r="K71" s="7"/>
    </row>
    <row r="72" spans="2:12" ht="40.5" customHeight="1">
      <c r="B72" s="4"/>
      <c r="C72" s="244"/>
      <c r="D72" s="9" t="s">
        <v>97</v>
      </c>
      <c r="E72" s="9" t="s">
        <v>98</v>
      </c>
      <c r="F72" s="9" t="s">
        <v>99</v>
      </c>
      <c r="G72" s="9" t="s">
        <v>100</v>
      </c>
      <c r="H72" s="246" t="s">
        <v>10</v>
      </c>
      <c r="I72" s="180"/>
      <c r="J72" s="146"/>
      <c r="K72" s="7"/>
    </row>
    <row r="73" spans="2:12" ht="24.75" customHeight="1">
      <c r="B73" s="4"/>
      <c r="C73" s="245"/>
      <c r="D73" s="84" t="str">
        <f>D13</f>
        <v>OIM Mauritanie</v>
      </c>
      <c r="E73" s="84" t="str">
        <f>E13</f>
        <v>FAO Mauritanie</v>
      </c>
      <c r="F73" s="84" t="str">
        <f>F13</f>
        <v>OIM Mali</v>
      </c>
      <c r="G73" s="84" t="str">
        <f>G13</f>
        <v>FAO Mali</v>
      </c>
      <c r="H73" s="247"/>
      <c r="I73" s="180"/>
      <c r="J73" s="146"/>
      <c r="K73" s="7"/>
    </row>
    <row r="74" spans="2:12" ht="41.25" customHeight="1">
      <c r="B74" s="189"/>
      <c r="C74" s="190" t="s">
        <v>101</v>
      </c>
      <c r="D74" s="191">
        <f>SUM(D55,D30,D25,D20)</f>
        <v>587850.47</v>
      </c>
      <c r="E74" s="191">
        <f>SUM(E50,E45,E35,E30,E25)</f>
        <v>524730</v>
      </c>
      <c r="F74" s="191">
        <f>SUM(F55,F50,F45,F35,F30,F25)</f>
        <v>367500</v>
      </c>
      <c r="G74" s="191">
        <f>SUM(G55,G50,G45,G35,G30,G25,G20)</f>
        <v>654205.61</v>
      </c>
      <c r="H74" s="192">
        <f>SUM(D74:G74)</f>
        <v>2134286.08</v>
      </c>
      <c r="I74" s="180"/>
      <c r="J74" s="146"/>
      <c r="K74" s="189"/>
    </row>
    <row r="75" spans="2:12" ht="51.75" customHeight="1">
      <c r="B75" s="193"/>
      <c r="C75" s="190" t="s">
        <v>102</v>
      </c>
      <c r="D75" s="191">
        <f>D74*0.07</f>
        <v>41149.532899999998</v>
      </c>
      <c r="E75" s="191">
        <f>E74*0.07</f>
        <v>36731.100000000006</v>
      </c>
      <c r="F75" s="191">
        <f>F74*0.07</f>
        <v>25725.000000000004</v>
      </c>
      <c r="G75" s="191">
        <f>G74*0.07</f>
        <v>45794.392700000004</v>
      </c>
      <c r="H75" s="192">
        <f>H74*0.07</f>
        <v>149400.02560000002</v>
      </c>
      <c r="I75" s="193"/>
      <c r="J75" s="194"/>
      <c r="K75" s="195"/>
    </row>
    <row r="76" spans="2:12" ht="51.75" customHeight="1" thickBot="1">
      <c r="B76" s="193"/>
      <c r="C76" s="6" t="s">
        <v>10</v>
      </c>
      <c r="D76" s="78">
        <f>SUM(D74:D75)</f>
        <v>629000.00289999996</v>
      </c>
      <c r="E76" s="78">
        <f>SUM(E74:E75)</f>
        <v>561461.1</v>
      </c>
      <c r="F76" s="78">
        <f>SUM(F74:F75)</f>
        <v>393225</v>
      </c>
      <c r="G76" s="161">
        <f>SUM(G74:G75)</f>
        <v>700000.00269999995</v>
      </c>
      <c r="H76" s="89">
        <f>SUM(H74:H75)</f>
        <v>2283686.1055999999</v>
      </c>
      <c r="I76" s="193"/>
      <c r="J76" s="194"/>
      <c r="K76" s="195"/>
    </row>
    <row r="77" spans="2:12" ht="42" customHeight="1">
      <c r="B77" s="193"/>
      <c r="K77" s="2"/>
      <c r="L77" s="195"/>
    </row>
    <row r="78" spans="2:12" s="24" customFormat="1" ht="29.25" customHeight="1" thickBot="1">
      <c r="B78" s="180"/>
      <c r="C78" s="4"/>
      <c r="D78" s="19"/>
      <c r="E78" s="19"/>
      <c r="F78" s="19"/>
      <c r="G78" s="19"/>
      <c r="H78" s="19"/>
      <c r="I78" s="19"/>
      <c r="J78" s="121"/>
      <c r="K78" s="7"/>
      <c r="L78" s="189"/>
    </row>
    <row r="79" spans="2:12" ht="23.25" customHeight="1">
      <c r="B79" s="195"/>
      <c r="C79" s="238" t="s">
        <v>103</v>
      </c>
      <c r="D79" s="239"/>
      <c r="E79" s="240"/>
      <c r="F79" s="240"/>
      <c r="G79" s="240"/>
      <c r="H79" s="240"/>
      <c r="I79" s="241"/>
      <c r="J79" s="122"/>
      <c r="K79" s="195"/>
    </row>
    <row r="80" spans="2:12" ht="41.25" customHeight="1">
      <c r="B80" s="195"/>
      <c r="C80" s="16"/>
      <c r="D80" s="9" t="s">
        <v>97</v>
      </c>
      <c r="E80" s="9" t="s">
        <v>98</v>
      </c>
      <c r="F80" s="9" t="s">
        <v>99</v>
      </c>
      <c r="G80" s="9" t="s">
        <v>100</v>
      </c>
      <c r="H80" s="248" t="s">
        <v>10</v>
      </c>
      <c r="I80" s="250" t="s">
        <v>104</v>
      </c>
      <c r="J80" s="122"/>
      <c r="K80" s="195"/>
    </row>
    <row r="81" spans="2:12" ht="27.75" customHeight="1">
      <c r="B81" s="195"/>
      <c r="C81" s="16"/>
      <c r="D81" s="14" t="str">
        <f>D13</f>
        <v>OIM Mauritanie</v>
      </c>
      <c r="E81" s="14" t="str">
        <f>E13</f>
        <v>FAO Mauritanie</v>
      </c>
      <c r="F81" s="14" t="str">
        <f>F13</f>
        <v>OIM Mali</v>
      </c>
      <c r="G81" s="14" t="str">
        <f>G13</f>
        <v>FAO Mali</v>
      </c>
      <c r="H81" s="249"/>
      <c r="I81" s="251"/>
      <c r="J81" s="122"/>
      <c r="K81" s="195"/>
    </row>
    <row r="82" spans="2:12" ht="55.5" customHeight="1">
      <c r="B82" s="195"/>
      <c r="C82" s="15" t="s">
        <v>105</v>
      </c>
      <c r="D82" s="76">
        <f>$D$76*I82</f>
        <v>440300.00202999997</v>
      </c>
      <c r="E82" s="77">
        <f>$E$76*I82</f>
        <v>393022.76999999996</v>
      </c>
      <c r="F82" s="77">
        <f>$F$76*I82</f>
        <v>275257.5</v>
      </c>
      <c r="G82" s="77">
        <f>$G$76*I82</f>
        <v>490000.00188999996</v>
      </c>
      <c r="H82" s="77">
        <f>SUM(D82:G82)</f>
        <v>1598580.2739199998</v>
      </c>
      <c r="I82" s="98">
        <v>0.7</v>
      </c>
      <c r="J82" s="119"/>
      <c r="K82" s="195"/>
    </row>
    <row r="83" spans="2:12" ht="57.75" customHeight="1">
      <c r="B83" s="237"/>
      <c r="C83" s="92" t="s">
        <v>106</v>
      </c>
      <c r="D83" s="76">
        <f>$D$76*I83</f>
        <v>188700.00086999999</v>
      </c>
      <c r="E83" s="77">
        <f>$E$76*I83</f>
        <v>168438.33</v>
      </c>
      <c r="F83" s="77">
        <f>$F$76*I83</f>
        <v>117967.5</v>
      </c>
      <c r="G83" s="77">
        <f>$G$76*I83</f>
        <v>210000.00080999997</v>
      </c>
      <c r="H83" s="93">
        <f>SUM(D83:G83)</f>
        <v>685105.83167999994</v>
      </c>
      <c r="I83" s="99">
        <v>0.3</v>
      </c>
      <c r="J83" s="119"/>
    </row>
    <row r="84" spans="2:12" ht="57.75" customHeight="1">
      <c r="B84" s="237"/>
      <c r="C84" s="92" t="s">
        <v>107</v>
      </c>
      <c r="D84" s="76">
        <f>$D$76*I84</f>
        <v>0</v>
      </c>
      <c r="E84" s="77">
        <f>$E$76*I84</f>
        <v>0</v>
      </c>
      <c r="F84" s="77">
        <f>$F$76*I84</f>
        <v>0</v>
      </c>
      <c r="G84" s="77">
        <f>$G$76*I84</f>
        <v>0</v>
      </c>
      <c r="H84" s="93">
        <f>SUM(D84:G84)</f>
        <v>0</v>
      </c>
      <c r="I84" s="100">
        <v>0</v>
      </c>
      <c r="J84" s="123"/>
    </row>
    <row r="85" spans="2:12" ht="38.25" customHeight="1" thickBot="1">
      <c r="B85" s="237"/>
      <c r="C85" s="6" t="s">
        <v>10</v>
      </c>
      <c r="D85" s="78">
        <f t="shared" ref="D85:I85" si="6">SUM(D82:D84)</f>
        <v>629000.00289999996</v>
      </c>
      <c r="E85" s="78">
        <f t="shared" si="6"/>
        <v>561461.1</v>
      </c>
      <c r="F85" s="78">
        <f t="shared" si="6"/>
        <v>393225</v>
      </c>
      <c r="G85" s="78">
        <f t="shared" si="6"/>
        <v>700000.00269999995</v>
      </c>
      <c r="H85" s="78">
        <f t="shared" si="6"/>
        <v>2283686.1055999999</v>
      </c>
      <c r="I85" s="79">
        <f t="shared" si="6"/>
        <v>1</v>
      </c>
      <c r="J85" s="124"/>
    </row>
    <row r="86" spans="2:12" ht="21.75" customHeight="1" thickBot="1">
      <c r="B86" s="237"/>
      <c r="C86" s="1"/>
      <c r="D86" s="5"/>
      <c r="E86" s="5"/>
      <c r="F86" s="5"/>
      <c r="G86" s="5"/>
      <c r="H86" s="5"/>
      <c r="I86" s="5"/>
      <c r="J86" s="125"/>
    </row>
    <row r="87" spans="2:12" ht="49.5" customHeight="1">
      <c r="B87" s="237"/>
      <c r="C87" s="80" t="s">
        <v>108</v>
      </c>
      <c r="D87" s="81">
        <f>SUM(I20,I25,I30,,I35,I45,I50,I55,I63)*1.07</f>
        <v>609716.07128000003</v>
      </c>
      <c r="E87" s="19"/>
      <c r="F87" s="19"/>
      <c r="G87" s="19"/>
      <c r="H87" s="19"/>
      <c r="I87" s="130" t="s">
        <v>109</v>
      </c>
      <c r="J87" s="131">
        <f>SUM(J55,J50,J45,J35,J30,J25,J20)</f>
        <v>2059144.6800000002</v>
      </c>
      <c r="K87" s="298"/>
    </row>
    <row r="88" spans="2:12" ht="28.5" customHeight="1" thickBot="1">
      <c r="B88" s="237"/>
      <c r="C88" s="82" t="s">
        <v>110</v>
      </c>
      <c r="D88" s="118">
        <f>D87/H76</f>
        <v>0.26698768704896397</v>
      </c>
      <c r="E88" s="29"/>
      <c r="F88" s="29"/>
      <c r="G88" s="29"/>
      <c r="H88" s="29"/>
      <c r="I88" s="132" t="s">
        <v>111</v>
      </c>
      <c r="J88" s="133">
        <f>J87/H74</f>
        <v>0.96479319211040349</v>
      </c>
    </row>
    <row r="89" spans="2:12" ht="28.5" customHeight="1">
      <c r="B89" s="237"/>
      <c r="C89" s="252"/>
      <c r="D89" s="253"/>
      <c r="E89" s="30"/>
      <c r="F89" s="30"/>
      <c r="G89" s="30"/>
      <c r="H89" s="30"/>
    </row>
    <row r="90" spans="2:12" ht="28.5" customHeight="1">
      <c r="B90" s="237"/>
      <c r="C90" s="82" t="s">
        <v>112</v>
      </c>
      <c r="D90" s="83">
        <f>SUM(D61:G62)*1.07</f>
        <v>204388.89620000002</v>
      </c>
      <c r="E90" s="31"/>
      <c r="F90" s="31"/>
      <c r="G90" s="31"/>
      <c r="H90" s="31"/>
    </row>
    <row r="91" spans="2:12" ht="23.25" customHeight="1">
      <c r="B91" s="237"/>
      <c r="C91" s="82" t="s">
        <v>113</v>
      </c>
      <c r="D91" s="118">
        <f>D90/H76</f>
        <v>8.949955762256577E-2</v>
      </c>
      <c r="E91" s="31"/>
      <c r="F91" s="31"/>
      <c r="G91" s="31"/>
      <c r="H91" s="31"/>
    </row>
    <row r="92" spans="2:12" ht="66.75" customHeight="1" thickBot="1">
      <c r="B92" s="237"/>
      <c r="C92" s="242" t="s">
        <v>114</v>
      </c>
      <c r="D92" s="243"/>
      <c r="E92" s="20"/>
      <c r="F92" s="20"/>
      <c r="G92" s="20"/>
      <c r="H92" s="20"/>
      <c r="J92" s="126"/>
    </row>
    <row r="93" spans="2:12" ht="55.5" customHeight="1">
      <c r="B93" s="237"/>
      <c r="L93" s="24"/>
    </row>
    <row r="94" spans="2:12" ht="42.75" customHeight="1">
      <c r="B94" s="237"/>
    </row>
    <row r="95" spans="2:12" ht="21.75" customHeight="1">
      <c r="B95" s="237"/>
    </row>
    <row r="96" spans="2:12" ht="21.75" customHeight="1">
      <c r="B96" s="237"/>
    </row>
    <row r="97" spans="2:2" ht="23.25" customHeight="1">
      <c r="B97" s="237"/>
    </row>
    <row r="98" spans="2:2" ht="23.25" customHeight="1"/>
    <row r="99" spans="2:2" ht="21.75" customHeight="1"/>
    <row r="100" spans="2:2" ht="16.5" customHeight="1"/>
    <row r="101" spans="2:2" ht="29.25" customHeight="1"/>
    <row r="102" spans="2:2" ht="24.75" customHeight="1"/>
    <row r="103" spans="2:2" ht="33" customHeight="1"/>
    <row r="105" spans="2:2" ht="15" customHeight="1"/>
    <row r="106" spans="2:2" ht="25.5" customHeight="1"/>
  </sheetData>
  <sheetProtection formatCells="0" formatColumns="0" formatRows="0"/>
  <mergeCells count="21">
    <mergeCell ref="C71:H71"/>
    <mergeCell ref="B83:B97"/>
    <mergeCell ref="C79:I79"/>
    <mergeCell ref="C92:D92"/>
    <mergeCell ref="C72:C73"/>
    <mergeCell ref="H72:H73"/>
    <mergeCell ref="H80:H81"/>
    <mergeCell ref="I80:I81"/>
    <mergeCell ref="C89:D89"/>
    <mergeCell ref="B6:N6"/>
    <mergeCell ref="B2:E2"/>
    <mergeCell ref="B9:I9"/>
    <mergeCell ref="C21:K21"/>
    <mergeCell ref="C15:K15"/>
    <mergeCell ref="C36:K36"/>
    <mergeCell ref="C46:K46"/>
    <mergeCell ref="C51:K51"/>
    <mergeCell ref="C14:K14"/>
    <mergeCell ref="C32:K32"/>
    <mergeCell ref="C33:K33"/>
    <mergeCell ref="C26:K26"/>
  </mergeCells>
  <phoneticPr fontId="22" type="noConversion"/>
  <conditionalFormatting sqref="D88">
    <cfRule type="cellIs" dxfId="25" priority="46" operator="lessThan">
      <formula>0.15</formula>
    </cfRule>
  </conditionalFormatting>
  <conditionalFormatting sqref="D91">
    <cfRule type="cellIs" dxfId="24" priority="44" operator="lessThan">
      <formula>0.05</formula>
    </cfRule>
  </conditionalFormatting>
  <conditionalFormatting sqref="I85:J85">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88:H88" xr:uid="{00000000-0002-0000-0000-000000000000}"/>
    <dataValidation allowBlank="1" showInputMessage="1" showErrorMessage="1" prompt="M&amp;E Budget Cannot be Less than 5%_x000a_" sqref="D91:H91" xr:uid="{00000000-0002-0000-0000-000001000000}"/>
    <dataValidation allowBlank="1" showInputMessage="1" showErrorMessage="1" prompt="Insert *text* description of Outcome here" sqref="C32:K32 C14:K14" xr:uid="{00000000-0002-0000-0000-000002000000}"/>
    <dataValidation allowBlank="1" showInputMessage="1" showErrorMessage="1" prompt="Insert *text* description of Output here" sqref="C15 C21 C26 C33 C36 C46 C51" xr:uid="{00000000-0002-0000-0000-000003000000}"/>
    <dataValidation allowBlank="1" showInputMessage="1" showErrorMessage="1" prompt="Insert *text* description of Activity here" sqref="C16 C22 C27 C34 C37 C47 C52" xr:uid="{00000000-0002-0000-0000-000004000000}"/>
    <dataValidation allowBlank="1" showInputMessage="1" showErrorMessage="1" prompt="Insert name of recipient agency here _x000a_" sqref="D13:H13" xr:uid="{00000000-0002-0000-0000-000005000000}"/>
    <dataValidation allowBlank="1" showErrorMessage="1" prompt="% Towards Gender Equality and Women's Empowerment Must be Higher than 15%_x000a_" sqref="D90:H90" xr:uid="{00000000-0002-0000-0000-000006000000}"/>
  </dataValidations>
  <pageMargins left="0.7" right="0.7" top="0.75" bottom="0.75" header="0.3" footer="0.3"/>
  <pageSetup scale="74" orientation="landscape"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54"/>
  <sheetViews>
    <sheetView showGridLines="0" showZeros="0" topLeftCell="A190" zoomScale="80" zoomScaleNormal="80" workbookViewId="0">
      <selection activeCell="J210" sqref="J210"/>
    </sheetView>
  </sheetViews>
  <sheetFormatPr defaultColWidth="9.140625" defaultRowHeight="15.75"/>
  <cols>
    <col min="1" max="1" width="4.42578125" style="38" customWidth="1"/>
    <col min="2" max="2" width="3.140625" style="38" customWidth="1"/>
    <col min="3" max="3" width="51.42578125" style="38" customWidth="1"/>
    <col min="4" max="4" width="34.140625" style="39" customWidth="1"/>
    <col min="5" max="5" width="35" style="39" customWidth="1"/>
    <col min="6" max="7" width="34" style="39" customWidth="1"/>
    <col min="8" max="8" width="25.5703125" style="38" customWidth="1"/>
    <col min="9" max="9" width="21.42578125" style="38" customWidth="1"/>
    <col min="10" max="10" width="16.85546875" style="38" customWidth="1"/>
    <col min="11" max="11" width="19.42578125" style="38" customWidth="1"/>
    <col min="12" max="12" width="19" style="38" customWidth="1"/>
    <col min="13" max="13" width="26" style="38" customWidth="1"/>
    <col min="14" max="14" width="21.140625" style="38" customWidth="1"/>
    <col min="15" max="15" width="7" style="38" customWidth="1"/>
    <col min="16" max="16" width="24.140625" style="38" customWidth="1"/>
    <col min="17" max="17" width="26.42578125" style="38" customWidth="1"/>
    <col min="18" max="18" width="30.140625" style="38" customWidth="1"/>
    <col min="19" max="19" width="33" style="38" customWidth="1"/>
    <col min="20" max="21" width="22.5703125" style="38" customWidth="1"/>
    <col min="22" max="22" width="23.42578125" style="38" customWidth="1"/>
    <col min="23" max="23" width="32.140625" style="38" customWidth="1"/>
    <col min="24" max="24" width="9.140625" style="38"/>
    <col min="25" max="25" width="17.5703125" style="38" customWidth="1"/>
    <col min="26" max="26" width="26.42578125" style="38" customWidth="1"/>
    <col min="27" max="27" width="22.42578125" style="38" customWidth="1"/>
    <col min="28" max="28" width="29.5703125" style="38" customWidth="1"/>
    <col min="29" max="29" width="23.42578125" style="38" customWidth="1"/>
    <col min="30" max="30" width="18.42578125" style="38" customWidth="1"/>
    <col min="31" max="31" width="17.42578125" style="38" customWidth="1"/>
    <col min="32" max="32" width="25.140625" style="38" customWidth="1"/>
    <col min="33" max="16384" width="9.140625" style="38"/>
  </cols>
  <sheetData>
    <row r="1" spans="2:15" ht="24" customHeight="1">
      <c r="B1" s="196"/>
      <c r="C1" s="196"/>
      <c r="D1" s="197"/>
      <c r="E1" s="197"/>
      <c r="F1" s="197"/>
      <c r="G1" s="197"/>
      <c r="H1" s="196"/>
      <c r="I1" s="196"/>
      <c r="J1" s="196"/>
      <c r="K1" s="196"/>
      <c r="L1" s="196"/>
      <c r="M1" s="11"/>
      <c r="N1" s="3"/>
      <c r="O1" s="196"/>
    </row>
    <row r="2" spans="2:15" ht="46.5" customHeight="1">
      <c r="B2" s="196"/>
      <c r="C2" s="229" t="s">
        <v>0</v>
      </c>
      <c r="D2" s="229"/>
      <c r="E2" s="229"/>
      <c r="F2" s="229"/>
      <c r="G2" s="134"/>
      <c r="H2" s="21"/>
      <c r="I2" s="22"/>
      <c r="J2" s="22"/>
      <c r="K2" s="196"/>
      <c r="L2" s="196"/>
      <c r="M2" s="11"/>
      <c r="N2" s="3"/>
      <c r="O2" s="196"/>
    </row>
    <row r="3" spans="2:15" ht="24" customHeight="1">
      <c r="B3" s="196"/>
      <c r="C3" s="25"/>
      <c r="D3" s="23"/>
      <c r="E3" s="23"/>
      <c r="F3" s="23"/>
      <c r="G3" s="23"/>
      <c r="H3" s="23"/>
      <c r="I3" s="23"/>
      <c r="J3" s="23"/>
      <c r="K3" s="196"/>
      <c r="L3" s="196"/>
      <c r="M3" s="11"/>
      <c r="N3" s="3"/>
      <c r="O3" s="196"/>
    </row>
    <row r="4" spans="2:15" ht="24" customHeight="1" thickBot="1">
      <c r="B4" s="196"/>
      <c r="C4" s="25"/>
      <c r="D4" s="23"/>
      <c r="E4" s="23"/>
      <c r="F4" s="23"/>
      <c r="G4" s="23"/>
      <c r="H4" s="23"/>
      <c r="I4" s="23"/>
      <c r="J4" s="23"/>
      <c r="K4" s="196"/>
      <c r="L4" s="196"/>
      <c r="M4" s="11"/>
      <c r="N4" s="3"/>
      <c r="O4" s="196"/>
    </row>
    <row r="5" spans="2:15" ht="30" customHeight="1">
      <c r="B5" s="196"/>
      <c r="C5" s="257" t="s">
        <v>1</v>
      </c>
      <c r="D5" s="258"/>
      <c r="E5" s="258"/>
      <c r="F5" s="258"/>
      <c r="G5" s="258"/>
      <c r="H5" s="259"/>
      <c r="I5" s="196"/>
      <c r="J5" s="196"/>
      <c r="K5" s="11"/>
      <c r="L5" s="3"/>
      <c r="M5" s="196"/>
      <c r="N5" s="196"/>
      <c r="O5" s="196"/>
    </row>
    <row r="6" spans="2:15" ht="24" customHeight="1">
      <c r="B6" s="196"/>
      <c r="C6" s="264" t="s">
        <v>115</v>
      </c>
      <c r="D6" s="265"/>
      <c r="E6" s="265"/>
      <c r="F6" s="265"/>
      <c r="G6" s="265"/>
      <c r="H6" s="266"/>
      <c r="I6" s="196"/>
      <c r="J6" s="196"/>
      <c r="K6" s="11"/>
      <c r="L6" s="3"/>
      <c r="M6" s="196"/>
      <c r="N6" s="196"/>
      <c r="O6" s="196"/>
    </row>
    <row r="7" spans="2:15" ht="41.25" customHeight="1">
      <c r="B7" s="196"/>
      <c r="C7" s="264"/>
      <c r="D7" s="265"/>
      <c r="E7" s="265"/>
      <c r="F7" s="265"/>
      <c r="G7" s="265"/>
      <c r="H7" s="266"/>
      <c r="I7" s="196"/>
      <c r="J7" s="196"/>
      <c r="K7" s="11"/>
      <c r="L7" s="3"/>
      <c r="M7" s="196"/>
      <c r="N7" s="196"/>
      <c r="O7" s="196"/>
    </row>
    <row r="8" spans="2:15" ht="24" customHeight="1" thickBot="1">
      <c r="B8" s="196"/>
      <c r="C8" s="267"/>
      <c r="D8" s="268"/>
      <c r="E8" s="268"/>
      <c r="F8" s="268"/>
      <c r="G8" s="268"/>
      <c r="H8" s="269"/>
      <c r="I8" s="196"/>
      <c r="J8" s="196"/>
      <c r="K8" s="11"/>
      <c r="L8" s="3"/>
      <c r="M8" s="196"/>
      <c r="N8" s="196"/>
      <c r="O8" s="196"/>
    </row>
    <row r="9" spans="2:15" ht="24" customHeight="1" thickBot="1">
      <c r="B9" s="196"/>
      <c r="C9" s="33"/>
      <c r="D9" s="33"/>
      <c r="E9" s="33"/>
      <c r="F9" s="33"/>
      <c r="G9" s="33"/>
      <c r="H9" s="196"/>
      <c r="I9" s="196"/>
      <c r="J9" s="196"/>
      <c r="K9" s="196"/>
      <c r="L9" s="196"/>
      <c r="M9" s="11"/>
      <c r="N9" s="3"/>
      <c r="O9" s="196"/>
    </row>
    <row r="10" spans="2:15" ht="25.5" customHeight="1" thickBot="1">
      <c r="B10" s="196"/>
      <c r="C10" s="230" t="s">
        <v>116</v>
      </c>
      <c r="D10" s="231"/>
      <c r="E10" s="231"/>
      <c r="F10" s="232"/>
      <c r="G10" s="141"/>
      <c r="H10" s="196"/>
      <c r="I10" s="196"/>
      <c r="J10" s="196"/>
      <c r="K10" s="196"/>
      <c r="L10" s="196"/>
      <c r="M10" s="11"/>
      <c r="N10" s="3"/>
      <c r="O10" s="196"/>
    </row>
    <row r="11" spans="2:15" ht="24" customHeight="1">
      <c r="B11" s="196"/>
      <c r="C11" s="33"/>
      <c r="D11" s="33"/>
      <c r="E11" s="33"/>
      <c r="F11" s="33"/>
      <c r="G11" s="33"/>
      <c r="H11" s="196"/>
      <c r="I11" s="196"/>
      <c r="J11" s="196"/>
      <c r="K11" s="196"/>
      <c r="L11" s="196"/>
      <c r="M11" s="11"/>
      <c r="N11" s="3"/>
      <c r="O11" s="196"/>
    </row>
    <row r="12" spans="2:15" ht="40.5" customHeight="1">
      <c r="B12" s="196"/>
      <c r="C12" s="33"/>
      <c r="D12" s="9" t="s">
        <v>97</v>
      </c>
      <c r="E12" s="9" t="s">
        <v>98</v>
      </c>
      <c r="F12" s="9" t="s">
        <v>99</v>
      </c>
      <c r="G12" s="9" t="s">
        <v>100</v>
      </c>
      <c r="H12" s="248" t="s">
        <v>10</v>
      </c>
      <c r="I12" s="196"/>
      <c r="J12" s="196"/>
      <c r="K12" s="196"/>
      <c r="L12" s="196"/>
      <c r="M12" s="11"/>
      <c r="N12" s="3"/>
      <c r="O12" s="196"/>
    </row>
    <row r="13" spans="2:15" ht="24" customHeight="1">
      <c r="B13" s="196"/>
      <c r="C13" s="33"/>
      <c r="D13" s="84" t="str">
        <f>'1) Tableau budgétaire 1'!D13</f>
        <v>OIM Mauritanie</v>
      </c>
      <c r="E13" s="84" t="str">
        <f>'1) Tableau budgétaire 1'!E13</f>
        <v>FAO Mauritanie</v>
      </c>
      <c r="F13" s="84" t="str">
        <f>'1) Tableau budgétaire 1'!F13</f>
        <v>OIM Mali</v>
      </c>
      <c r="G13" s="84" t="str">
        <f>'1) Tableau budgétaire 1'!G13</f>
        <v>FAO Mali</v>
      </c>
      <c r="H13" s="249"/>
      <c r="I13" s="196"/>
      <c r="J13" s="196"/>
      <c r="K13" s="196"/>
      <c r="L13" s="196"/>
      <c r="M13" s="11"/>
      <c r="N13" s="3"/>
      <c r="O13" s="196"/>
    </row>
    <row r="14" spans="2:15" ht="24" customHeight="1">
      <c r="B14" s="254" t="s">
        <v>117</v>
      </c>
      <c r="C14" s="255"/>
      <c r="D14" s="255"/>
      <c r="E14" s="255"/>
      <c r="F14" s="255"/>
      <c r="G14" s="255"/>
      <c r="H14" s="256"/>
      <c r="I14" s="196"/>
      <c r="J14" s="196"/>
      <c r="K14" s="196"/>
      <c r="L14" s="196"/>
      <c r="M14" s="11"/>
      <c r="N14" s="3"/>
      <c r="O14" s="196"/>
    </row>
    <row r="15" spans="2:15" ht="22.5" customHeight="1">
      <c r="B15" s="196"/>
      <c r="C15" s="254" t="s">
        <v>118</v>
      </c>
      <c r="D15" s="255"/>
      <c r="E15" s="255"/>
      <c r="F15" s="255"/>
      <c r="G15" s="255"/>
      <c r="H15" s="256"/>
      <c r="I15" s="196"/>
      <c r="J15" s="196"/>
      <c r="K15" s="196"/>
      <c r="L15" s="196"/>
      <c r="M15" s="11"/>
      <c r="N15" s="3"/>
      <c r="O15" s="196"/>
    </row>
    <row r="16" spans="2:15" ht="24.75" customHeight="1" thickBot="1">
      <c r="B16" s="196"/>
      <c r="C16" s="46" t="s">
        <v>119</v>
      </c>
      <c r="D16" s="47">
        <f>'1) Tableau budgétaire 1'!D20</f>
        <v>286850.46999999997</v>
      </c>
      <c r="E16" s="47">
        <f>'1) Tableau budgétaire 1'!E20</f>
        <v>0</v>
      </c>
      <c r="F16" s="47">
        <f>'1) Tableau budgétaire 1'!F20</f>
        <v>40000</v>
      </c>
      <c r="G16" s="47">
        <f>'1) Tableau budgétaire 1'!G20</f>
        <v>53798.64</v>
      </c>
      <c r="H16" s="48">
        <f t="shared" ref="H16:H24" si="0">SUM(D16:G16)</f>
        <v>380649.11</v>
      </c>
      <c r="I16" s="196"/>
      <c r="J16" s="196"/>
      <c r="K16" s="196"/>
      <c r="L16" s="196"/>
      <c r="M16" s="11"/>
      <c r="N16" s="3"/>
      <c r="O16" s="196"/>
    </row>
    <row r="17" spans="3:15" ht="21.75" customHeight="1">
      <c r="C17" s="44" t="s">
        <v>120</v>
      </c>
      <c r="D17" s="198"/>
      <c r="E17" s="199"/>
      <c r="F17" s="199"/>
      <c r="G17" s="199">
        <v>15438</v>
      </c>
      <c r="H17" s="45">
        <f t="shared" si="0"/>
        <v>15438</v>
      </c>
      <c r="I17" s="196"/>
      <c r="J17" s="196"/>
      <c r="K17" s="196"/>
      <c r="L17" s="196"/>
      <c r="M17" s="196"/>
      <c r="N17" s="196"/>
      <c r="O17" s="196"/>
    </row>
    <row r="18" spans="3:15">
      <c r="C18" s="36" t="s">
        <v>121</v>
      </c>
      <c r="D18" s="200">
        <v>65000</v>
      </c>
      <c r="E18" s="174"/>
      <c r="F18" s="174"/>
      <c r="G18" s="174">
        <v>10540</v>
      </c>
      <c r="H18" s="45">
        <f t="shared" si="0"/>
        <v>75540</v>
      </c>
      <c r="I18" s="196"/>
      <c r="J18" s="196"/>
      <c r="K18" s="196"/>
      <c r="L18" s="196"/>
      <c r="M18" s="196"/>
      <c r="N18" s="196"/>
      <c r="O18" s="196"/>
    </row>
    <row r="19" spans="3:15" ht="15.75" customHeight="1">
      <c r="C19" s="36" t="s">
        <v>122</v>
      </c>
      <c r="D19" s="143">
        <v>100850.47</v>
      </c>
      <c r="E19" s="200"/>
      <c r="F19" s="200">
        <v>20000</v>
      </c>
      <c r="G19" s="201"/>
      <c r="H19" s="45">
        <f t="shared" si="0"/>
        <v>120850.47</v>
      </c>
      <c r="I19" s="196"/>
      <c r="J19" s="196"/>
      <c r="K19" s="196"/>
      <c r="L19" s="196"/>
      <c r="M19" s="196"/>
      <c r="N19" s="196"/>
      <c r="O19" s="196"/>
    </row>
    <row r="20" spans="3:15">
      <c r="C20" s="37" t="s">
        <v>123</v>
      </c>
      <c r="D20" s="200">
        <v>34000</v>
      </c>
      <c r="E20" s="200"/>
      <c r="F20" s="200">
        <v>15000</v>
      </c>
      <c r="G20" s="201"/>
      <c r="H20" s="45">
        <f t="shared" si="0"/>
        <v>49000</v>
      </c>
      <c r="I20" s="196"/>
      <c r="J20" s="196"/>
      <c r="K20" s="196"/>
      <c r="L20" s="196"/>
      <c r="M20" s="196"/>
      <c r="N20" s="196"/>
      <c r="O20" s="196"/>
    </row>
    <row r="21" spans="3:15">
      <c r="C21" s="36" t="s">
        <v>124</v>
      </c>
      <c r="D21" s="200">
        <v>25000</v>
      </c>
      <c r="E21" s="200"/>
      <c r="F21" s="200">
        <v>5000</v>
      </c>
      <c r="G21" s="201">
        <v>2195</v>
      </c>
      <c r="H21" s="45">
        <f t="shared" si="0"/>
        <v>32195</v>
      </c>
      <c r="I21" s="196"/>
      <c r="J21" s="196"/>
      <c r="K21" s="196"/>
      <c r="L21" s="196"/>
      <c r="M21" s="196"/>
      <c r="N21" s="196"/>
      <c r="O21" s="196"/>
    </row>
    <row r="22" spans="3:15" ht="21.75" customHeight="1">
      <c r="C22" s="36" t="s">
        <v>125</v>
      </c>
      <c r="D22" s="200"/>
      <c r="E22" s="200"/>
      <c r="F22" s="200"/>
      <c r="G22" s="201">
        <v>6760</v>
      </c>
      <c r="H22" s="45">
        <f t="shared" si="0"/>
        <v>6760</v>
      </c>
      <c r="I22" s="196"/>
      <c r="J22" s="196"/>
      <c r="K22" s="196"/>
      <c r="L22" s="196"/>
      <c r="M22" s="196"/>
      <c r="N22" s="196"/>
      <c r="O22" s="196"/>
    </row>
    <row r="23" spans="3:15" ht="36.75" customHeight="1">
      <c r="C23" s="36" t="s">
        <v>126</v>
      </c>
      <c r="D23" s="200">
        <v>62000</v>
      </c>
      <c r="E23" s="200"/>
      <c r="F23" s="200"/>
      <c r="G23" s="201">
        <v>18865.64</v>
      </c>
      <c r="H23" s="45">
        <f t="shared" si="0"/>
        <v>80865.64</v>
      </c>
      <c r="I23" s="196"/>
      <c r="J23" s="196"/>
      <c r="K23" s="196"/>
      <c r="L23" s="196"/>
      <c r="M23" s="196"/>
      <c r="N23" s="196"/>
      <c r="O23" s="196"/>
    </row>
    <row r="24" spans="3:15" ht="15.75" customHeight="1">
      <c r="C24" s="40" t="s">
        <v>127</v>
      </c>
      <c r="D24" s="49">
        <f>SUM(D17:D23)</f>
        <v>286850.46999999997</v>
      </c>
      <c r="E24" s="49">
        <f>SUM(E17:E23)</f>
        <v>0</v>
      </c>
      <c r="F24" s="49">
        <f>SUM(F17:F23)</f>
        <v>40000</v>
      </c>
      <c r="G24" s="49">
        <f>SUM(G17:G23)</f>
        <v>53798.64</v>
      </c>
      <c r="H24" s="45">
        <f t="shared" si="0"/>
        <v>380649.11</v>
      </c>
      <c r="I24" s="196"/>
      <c r="J24" s="196"/>
      <c r="K24" s="196"/>
      <c r="L24" s="196"/>
      <c r="M24" s="196"/>
      <c r="N24" s="196"/>
      <c r="O24" s="196"/>
    </row>
    <row r="25" spans="3:15" s="39" customFormat="1">
      <c r="C25" s="50"/>
      <c r="D25" s="51"/>
      <c r="E25" s="51"/>
      <c r="F25" s="51"/>
      <c r="G25" s="51"/>
      <c r="H25" s="95"/>
      <c r="I25" s="197"/>
      <c r="J25" s="197"/>
      <c r="K25" s="197"/>
      <c r="L25" s="197"/>
      <c r="M25" s="197"/>
      <c r="N25" s="197"/>
      <c r="O25" s="197"/>
    </row>
    <row r="26" spans="3:15">
      <c r="C26" s="254" t="s">
        <v>128</v>
      </c>
      <c r="D26" s="255"/>
      <c r="E26" s="255"/>
      <c r="F26" s="255"/>
      <c r="G26" s="255"/>
      <c r="H26" s="256"/>
      <c r="I26" s="196"/>
      <c r="J26" s="196"/>
      <c r="K26" s="196"/>
      <c r="L26" s="196"/>
      <c r="M26" s="196"/>
      <c r="N26" s="196"/>
      <c r="O26" s="196"/>
    </row>
    <row r="27" spans="3:15" ht="27" customHeight="1" thickBot="1">
      <c r="C27" s="46" t="s">
        <v>129</v>
      </c>
      <c r="D27" s="47">
        <f>'1) Tableau budgétaire 1'!D25</f>
        <v>110000</v>
      </c>
      <c r="E27" s="47">
        <f>'1) Tableau budgétaire 1'!E25</f>
        <v>25000</v>
      </c>
      <c r="F27" s="47">
        <f>'1) Tableau budgétaire 1'!F25</f>
        <v>25000</v>
      </c>
      <c r="G27" s="47">
        <f>'1) Tableau budgétaire 1'!G25</f>
        <v>51400.97</v>
      </c>
      <c r="H27" s="48">
        <f t="shared" ref="H27:H35" si="1">SUM(D27:G27)</f>
        <v>211400.97</v>
      </c>
      <c r="I27" s="196"/>
      <c r="J27" s="196"/>
      <c r="K27" s="196"/>
      <c r="L27" s="196"/>
      <c r="M27" s="196"/>
      <c r="N27" s="196"/>
      <c r="O27" s="196"/>
    </row>
    <row r="28" spans="3:15" ht="16.5" thickBot="1">
      <c r="C28" s="44" t="s">
        <v>120</v>
      </c>
      <c r="D28" s="198"/>
      <c r="E28" s="199">
        <v>3000</v>
      </c>
      <c r="F28" s="199"/>
      <c r="G28" s="199"/>
      <c r="H28" s="48">
        <f t="shared" si="1"/>
        <v>3000</v>
      </c>
      <c r="I28" s="196"/>
      <c r="J28" s="196"/>
      <c r="K28" s="196"/>
      <c r="L28" s="196"/>
      <c r="M28" s="196"/>
      <c r="N28" s="196"/>
      <c r="O28" s="196"/>
    </row>
    <row r="29" spans="3:15" ht="16.5" thickBot="1">
      <c r="C29" s="36" t="s">
        <v>121</v>
      </c>
      <c r="D29" s="200">
        <v>45000</v>
      </c>
      <c r="E29" s="174">
        <v>17000</v>
      </c>
      <c r="F29" s="174">
        <v>10000</v>
      </c>
      <c r="G29" s="174">
        <v>17566</v>
      </c>
      <c r="H29" s="48">
        <f t="shared" si="1"/>
        <v>89566</v>
      </c>
      <c r="I29" s="196"/>
      <c r="J29" s="196"/>
      <c r="K29" s="196"/>
      <c r="L29" s="196"/>
      <c r="M29" s="196"/>
      <c r="N29" s="196"/>
      <c r="O29" s="196"/>
    </row>
    <row r="30" spans="3:15" ht="32.25" thickBot="1">
      <c r="C30" s="36" t="s">
        <v>122</v>
      </c>
      <c r="D30" s="200"/>
      <c r="E30" s="200"/>
      <c r="F30" s="200"/>
      <c r="G30" s="201"/>
      <c r="H30" s="48">
        <f t="shared" si="1"/>
        <v>0</v>
      </c>
      <c r="I30" s="196"/>
      <c r="J30" s="196"/>
      <c r="K30" s="196"/>
      <c r="L30" s="196"/>
      <c r="M30" s="196"/>
      <c r="N30" s="196"/>
      <c r="O30" s="196"/>
    </row>
    <row r="31" spans="3:15" ht="16.5" thickBot="1">
      <c r="C31" s="37" t="s">
        <v>123</v>
      </c>
      <c r="D31" s="200">
        <v>30000</v>
      </c>
      <c r="E31" s="200"/>
      <c r="F31" s="200"/>
      <c r="G31" s="201">
        <v>19735</v>
      </c>
      <c r="H31" s="48">
        <f t="shared" si="1"/>
        <v>49735</v>
      </c>
      <c r="I31" s="196"/>
      <c r="J31" s="196"/>
      <c r="K31" s="196"/>
      <c r="L31" s="196"/>
      <c r="M31" s="196"/>
      <c r="N31" s="196"/>
      <c r="O31" s="196"/>
    </row>
    <row r="32" spans="3:15" ht="16.5" thickBot="1">
      <c r="C32" s="36" t="s">
        <v>124</v>
      </c>
      <c r="D32" s="200">
        <v>14000</v>
      </c>
      <c r="E32" s="200">
        <v>5000</v>
      </c>
      <c r="F32" s="200">
        <v>5000</v>
      </c>
      <c r="G32" s="201">
        <v>4385</v>
      </c>
      <c r="H32" s="48">
        <f t="shared" si="1"/>
        <v>28385</v>
      </c>
      <c r="I32" s="196"/>
      <c r="J32" s="196"/>
      <c r="K32" s="196"/>
      <c r="L32" s="196"/>
      <c r="M32" s="196"/>
      <c r="N32" s="196"/>
      <c r="O32" s="196"/>
    </row>
    <row r="33" spans="3:15" ht="16.5" thickBot="1">
      <c r="C33" s="36" t="s">
        <v>125</v>
      </c>
      <c r="D33" s="200"/>
      <c r="E33" s="200"/>
      <c r="F33" s="200">
        <v>10000</v>
      </c>
      <c r="G33" s="201"/>
      <c r="H33" s="48">
        <f t="shared" si="1"/>
        <v>10000</v>
      </c>
      <c r="I33" s="196"/>
      <c r="J33" s="196"/>
      <c r="K33" s="196"/>
      <c r="L33" s="196"/>
      <c r="M33" s="196"/>
      <c r="N33" s="196"/>
      <c r="O33" s="196"/>
    </row>
    <row r="34" spans="3:15" ht="32.25" thickBot="1">
      <c r="C34" s="36" t="s">
        <v>126</v>
      </c>
      <c r="D34" s="200">
        <v>21000</v>
      </c>
      <c r="E34" s="200"/>
      <c r="F34" s="200"/>
      <c r="G34" s="201">
        <v>9714.9699999999993</v>
      </c>
      <c r="H34" s="48">
        <f t="shared" si="1"/>
        <v>30714.97</v>
      </c>
      <c r="I34" s="196"/>
      <c r="J34" s="196"/>
      <c r="K34" s="196"/>
      <c r="L34" s="196"/>
      <c r="M34" s="196"/>
      <c r="N34" s="196"/>
      <c r="O34" s="196"/>
    </row>
    <row r="35" spans="3:15" ht="16.5" thickBot="1">
      <c r="C35" s="40" t="s">
        <v>127</v>
      </c>
      <c r="D35" s="49">
        <f>SUM(D28:D34)</f>
        <v>110000</v>
      </c>
      <c r="E35" s="49">
        <f>SUM(E28:E34)</f>
        <v>25000</v>
      </c>
      <c r="F35" s="49">
        <f>SUM(F28:F34)</f>
        <v>25000</v>
      </c>
      <c r="G35" s="49">
        <f>SUM(G28:G34)</f>
        <v>51400.97</v>
      </c>
      <c r="H35" s="48">
        <f t="shared" si="1"/>
        <v>211400.97</v>
      </c>
      <c r="I35" s="196"/>
      <c r="J35" s="196"/>
      <c r="K35" s="196"/>
      <c r="L35" s="196"/>
      <c r="M35" s="196"/>
      <c r="N35" s="196"/>
      <c r="O35" s="196"/>
    </row>
    <row r="36" spans="3:15" s="39" customFormat="1">
      <c r="C36" s="50"/>
      <c r="D36" s="51"/>
      <c r="E36" s="51"/>
      <c r="F36" s="51"/>
      <c r="G36" s="51"/>
      <c r="H36" s="52"/>
      <c r="I36" s="197"/>
      <c r="J36" s="197"/>
      <c r="K36" s="197"/>
      <c r="L36" s="197"/>
      <c r="M36" s="197"/>
      <c r="N36" s="197"/>
      <c r="O36" s="197"/>
    </row>
    <row r="37" spans="3:15">
      <c r="C37" s="254" t="s">
        <v>130</v>
      </c>
      <c r="D37" s="255"/>
      <c r="E37" s="255"/>
      <c r="F37" s="255"/>
      <c r="G37" s="255"/>
      <c r="H37" s="256"/>
      <c r="I37" s="196"/>
      <c r="J37" s="196"/>
      <c r="K37" s="196"/>
      <c r="L37" s="196"/>
      <c r="M37" s="196"/>
      <c r="N37" s="196"/>
      <c r="O37" s="196"/>
    </row>
    <row r="38" spans="3:15" ht="21.75" customHeight="1" thickBot="1">
      <c r="C38" s="46" t="s">
        <v>131</v>
      </c>
      <c r="D38" s="47">
        <f>'1) Tableau budgétaire 1'!D30</f>
        <v>144000</v>
      </c>
      <c r="E38" s="47">
        <f>'1) Tableau budgétaire 1'!E30</f>
        <v>10000</v>
      </c>
      <c r="F38" s="47">
        <f>'1) Tableau budgétaire 1'!F30</f>
        <v>86518</v>
      </c>
      <c r="G38" s="47">
        <f>'1) Tableau budgétaire 1'!G30</f>
        <v>93989</v>
      </c>
      <c r="H38" s="48">
        <f t="shared" ref="H38:H46" si="2">SUM(D38:G38)</f>
        <v>334507</v>
      </c>
      <c r="I38" s="196"/>
      <c r="J38" s="196"/>
      <c r="K38" s="196"/>
      <c r="L38" s="196"/>
      <c r="M38" s="196"/>
      <c r="N38" s="196"/>
      <c r="O38" s="196"/>
    </row>
    <row r="39" spans="3:15" ht="16.5" thickBot="1">
      <c r="C39" s="44" t="s">
        <v>120</v>
      </c>
      <c r="D39" s="198"/>
      <c r="E39" s="199">
        <v>3500</v>
      </c>
      <c r="F39" s="199"/>
      <c r="G39" s="199">
        <v>26464</v>
      </c>
      <c r="H39" s="48">
        <f t="shared" si="2"/>
        <v>29964</v>
      </c>
      <c r="I39" s="196"/>
      <c r="J39" s="196"/>
      <c r="K39" s="196"/>
      <c r="L39" s="196"/>
      <c r="M39" s="196"/>
      <c r="N39" s="196"/>
      <c r="O39" s="196"/>
    </row>
    <row r="40" spans="3:15" s="39" customFormat="1" ht="15.75" customHeight="1" thickBot="1">
      <c r="C40" s="36" t="s">
        <v>121</v>
      </c>
      <c r="D40" s="200">
        <v>33000</v>
      </c>
      <c r="E40" s="174"/>
      <c r="F40" s="174"/>
      <c r="G40" s="174"/>
      <c r="H40" s="48">
        <f t="shared" si="2"/>
        <v>33000</v>
      </c>
      <c r="I40" s="197"/>
      <c r="J40" s="197"/>
      <c r="K40" s="197"/>
      <c r="L40" s="197"/>
      <c r="M40" s="197"/>
      <c r="N40" s="197"/>
      <c r="O40" s="197"/>
    </row>
    <row r="41" spans="3:15" s="39" customFormat="1" ht="32.25" thickBot="1">
      <c r="C41" s="36" t="s">
        <v>122</v>
      </c>
      <c r="D41" s="200"/>
      <c r="E41" s="200"/>
      <c r="F41" s="200"/>
      <c r="G41" s="201"/>
      <c r="H41" s="48">
        <f t="shared" si="2"/>
        <v>0</v>
      </c>
      <c r="I41" s="197"/>
      <c r="J41" s="197"/>
      <c r="K41" s="197"/>
      <c r="L41" s="197"/>
      <c r="M41" s="197"/>
      <c r="N41" s="197"/>
      <c r="O41" s="197"/>
    </row>
    <row r="42" spans="3:15" s="39" customFormat="1" ht="16.5" thickBot="1">
      <c r="C42" s="37" t="s">
        <v>123</v>
      </c>
      <c r="D42" s="200">
        <v>20000</v>
      </c>
      <c r="E42" s="200"/>
      <c r="F42" s="200">
        <v>45000</v>
      </c>
      <c r="G42" s="201">
        <v>32890</v>
      </c>
      <c r="H42" s="48">
        <f t="shared" si="2"/>
        <v>97890</v>
      </c>
      <c r="I42" s="197"/>
      <c r="J42" s="197"/>
      <c r="K42" s="197"/>
      <c r="L42" s="197"/>
      <c r="M42" s="197"/>
      <c r="N42" s="197"/>
      <c r="O42" s="197"/>
    </row>
    <row r="43" spans="3:15" ht="16.5" thickBot="1">
      <c r="C43" s="36" t="s">
        <v>124</v>
      </c>
      <c r="D43" s="200">
        <v>26000</v>
      </c>
      <c r="E43" s="200">
        <v>1500</v>
      </c>
      <c r="F43" s="200"/>
      <c r="G43" s="201">
        <v>8770</v>
      </c>
      <c r="H43" s="48">
        <f t="shared" si="2"/>
        <v>36270</v>
      </c>
      <c r="I43" s="196"/>
      <c r="J43" s="196"/>
      <c r="K43" s="196"/>
      <c r="L43" s="196"/>
      <c r="M43" s="196"/>
      <c r="N43" s="196"/>
      <c r="O43" s="196"/>
    </row>
    <row r="44" spans="3:15" ht="16.5" thickBot="1">
      <c r="C44" s="36" t="s">
        <v>125</v>
      </c>
      <c r="D44" s="200"/>
      <c r="E44" s="200">
        <v>5000</v>
      </c>
      <c r="F44" s="200">
        <v>41518</v>
      </c>
      <c r="G44" s="201">
        <v>5865</v>
      </c>
      <c r="H44" s="48">
        <f t="shared" si="2"/>
        <v>52383</v>
      </c>
      <c r="I44" s="196"/>
      <c r="J44" s="196"/>
      <c r="K44" s="196"/>
      <c r="L44" s="196"/>
      <c r="M44" s="196"/>
      <c r="N44" s="196"/>
      <c r="O44" s="196"/>
    </row>
    <row r="45" spans="3:15" ht="32.25" thickBot="1">
      <c r="C45" s="36" t="s">
        <v>126</v>
      </c>
      <c r="D45" s="200">
        <v>65000</v>
      </c>
      <c r="E45" s="200"/>
      <c r="F45" s="200"/>
      <c r="G45" s="201">
        <v>20000</v>
      </c>
      <c r="H45" s="48">
        <f t="shared" si="2"/>
        <v>85000</v>
      </c>
      <c r="I45" s="196"/>
      <c r="J45" s="196"/>
      <c r="K45" s="196"/>
      <c r="L45" s="196"/>
      <c r="M45" s="196"/>
      <c r="N45" s="196"/>
      <c r="O45" s="196"/>
    </row>
    <row r="46" spans="3:15" ht="16.5" thickBot="1">
      <c r="C46" s="102" t="s">
        <v>127</v>
      </c>
      <c r="D46" s="103">
        <f>SUM(D39:D45)</f>
        <v>144000</v>
      </c>
      <c r="E46" s="103">
        <f>SUM(E39:E45)</f>
        <v>10000</v>
      </c>
      <c r="F46" s="103">
        <f>SUM(F39:F45)</f>
        <v>86518</v>
      </c>
      <c r="G46" s="103">
        <f>SUM(G39:G45)</f>
        <v>93989</v>
      </c>
      <c r="H46" s="48">
        <f t="shared" si="2"/>
        <v>334507</v>
      </c>
      <c r="I46" s="196"/>
      <c r="J46" s="196"/>
      <c r="K46" s="196"/>
      <c r="L46" s="196"/>
      <c r="M46" s="196"/>
      <c r="N46" s="196"/>
      <c r="O46" s="196"/>
    </row>
    <row r="47" spans="3:15">
      <c r="C47" s="202"/>
      <c r="D47" s="203"/>
      <c r="E47" s="203"/>
      <c r="F47" s="203"/>
      <c r="G47" s="203"/>
      <c r="H47" s="204"/>
      <c r="I47" s="196"/>
      <c r="J47" s="196"/>
      <c r="K47" s="196"/>
      <c r="L47" s="196"/>
      <c r="M47" s="196"/>
      <c r="N47" s="196"/>
      <c r="O47" s="196"/>
    </row>
    <row r="48" spans="3:15" s="39" customFormat="1">
      <c r="C48" s="260" t="s">
        <v>132</v>
      </c>
      <c r="D48" s="261"/>
      <c r="E48" s="261"/>
      <c r="F48" s="261"/>
      <c r="G48" s="261"/>
      <c r="H48" s="262"/>
      <c r="I48" s="197"/>
      <c r="J48" s="197"/>
      <c r="K48" s="197"/>
      <c r="L48" s="197"/>
      <c r="M48" s="197"/>
      <c r="N48" s="197"/>
      <c r="O48" s="197"/>
    </row>
    <row r="49" spans="2:15" ht="20.25" customHeight="1" thickBot="1">
      <c r="B49" s="196"/>
      <c r="C49" s="46" t="s">
        <v>133</v>
      </c>
      <c r="D49" s="47" t="e">
        <f>'1) Tableau budgétaire 1'!#REF!</f>
        <v>#REF!</v>
      </c>
      <c r="E49" s="47" t="e">
        <f>'1) Tableau budgétaire 1'!#REF!</f>
        <v>#REF!</v>
      </c>
      <c r="F49" s="47" t="e">
        <f>'1) Tableau budgétaire 1'!#REF!</f>
        <v>#REF!</v>
      </c>
      <c r="G49" s="47" t="e">
        <f>'1) Tableau budgétaire 1'!#REF!</f>
        <v>#REF!</v>
      </c>
      <c r="H49" s="48" t="e">
        <f>SUM(D49:G49)</f>
        <v>#REF!</v>
      </c>
      <c r="I49" s="196"/>
      <c r="J49" s="196"/>
      <c r="K49" s="196"/>
      <c r="L49" s="196"/>
      <c r="M49" s="196"/>
      <c r="N49" s="196"/>
      <c r="O49" s="196"/>
    </row>
    <row r="50" spans="2:15" ht="16.5" thickBot="1">
      <c r="B50" s="196"/>
      <c r="C50" s="44" t="s">
        <v>120</v>
      </c>
      <c r="D50" s="198"/>
      <c r="E50" s="199"/>
      <c r="F50" s="199"/>
      <c r="G50" s="199"/>
      <c r="H50" s="48">
        <f t="shared" ref="H50:H57" si="3">SUM(D50:G50)</f>
        <v>0</v>
      </c>
      <c r="I50" s="196"/>
      <c r="J50" s="196"/>
      <c r="K50" s="196"/>
      <c r="L50" s="196"/>
      <c r="M50" s="196"/>
      <c r="N50" s="196"/>
      <c r="O50" s="196"/>
    </row>
    <row r="51" spans="2:15" ht="15.75" customHeight="1" thickBot="1">
      <c r="B51" s="196"/>
      <c r="C51" s="36" t="s">
        <v>121</v>
      </c>
      <c r="D51" s="200"/>
      <c r="E51" s="174"/>
      <c r="F51" s="174"/>
      <c r="G51" s="174"/>
      <c r="H51" s="48">
        <f t="shared" si="3"/>
        <v>0</v>
      </c>
      <c r="I51" s="196"/>
      <c r="J51" s="196"/>
      <c r="K51" s="196"/>
      <c r="L51" s="196"/>
      <c r="M51" s="196"/>
      <c r="N51" s="196"/>
      <c r="O51" s="196"/>
    </row>
    <row r="52" spans="2:15" ht="32.25" customHeight="1" thickBot="1">
      <c r="B52" s="196"/>
      <c r="C52" s="36" t="s">
        <v>122</v>
      </c>
      <c r="D52" s="200"/>
      <c r="E52" s="200"/>
      <c r="F52" s="200"/>
      <c r="G52" s="200"/>
      <c r="H52" s="48">
        <f t="shared" si="3"/>
        <v>0</v>
      </c>
      <c r="I52" s="196"/>
      <c r="J52" s="196"/>
      <c r="K52" s="196"/>
      <c r="L52" s="196"/>
      <c r="M52" s="196"/>
      <c r="N52" s="196"/>
      <c r="O52" s="196"/>
    </row>
    <row r="53" spans="2:15" s="39" customFormat="1" ht="16.5" thickBot="1">
      <c r="B53" s="197"/>
      <c r="C53" s="37" t="s">
        <v>123</v>
      </c>
      <c r="D53" s="200"/>
      <c r="E53" s="200"/>
      <c r="F53" s="200"/>
      <c r="G53" s="200"/>
      <c r="H53" s="48">
        <f t="shared" si="3"/>
        <v>0</v>
      </c>
      <c r="I53" s="197"/>
      <c r="J53" s="197"/>
      <c r="K53" s="197"/>
      <c r="L53" s="197"/>
      <c r="M53" s="197"/>
      <c r="N53" s="197"/>
      <c r="O53" s="197"/>
    </row>
    <row r="54" spans="2:15" ht="16.5" thickBot="1">
      <c r="B54" s="196"/>
      <c r="C54" s="36" t="s">
        <v>124</v>
      </c>
      <c r="D54" s="200"/>
      <c r="E54" s="200"/>
      <c r="F54" s="200"/>
      <c r="G54" s="200"/>
      <c r="H54" s="48">
        <f t="shared" si="3"/>
        <v>0</v>
      </c>
      <c r="I54" s="196"/>
      <c r="J54" s="196"/>
      <c r="K54" s="196"/>
      <c r="L54" s="196"/>
      <c r="M54" s="196"/>
      <c r="N54" s="196"/>
      <c r="O54" s="196"/>
    </row>
    <row r="55" spans="2:15" ht="16.5" thickBot="1">
      <c r="B55" s="196"/>
      <c r="C55" s="36" t="s">
        <v>125</v>
      </c>
      <c r="D55" s="200"/>
      <c r="E55" s="200"/>
      <c r="F55" s="200"/>
      <c r="G55" s="200"/>
      <c r="H55" s="48">
        <f t="shared" si="3"/>
        <v>0</v>
      </c>
      <c r="I55" s="196"/>
      <c r="J55" s="196"/>
      <c r="K55" s="196"/>
      <c r="L55" s="196"/>
      <c r="M55" s="196"/>
      <c r="N55" s="196"/>
      <c r="O55" s="196"/>
    </row>
    <row r="56" spans="2:15" ht="32.25" thickBot="1">
      <c r="B56" s="196"/>
      <c r="C56" s="36" t="s">
        <v>126</v>
      </c>
      <c r="D56" s="200"/>
      <c r="E56" s="200"/>
      <c r="F56" s="200"/>
      <c r="G56" s="200"/>
      <c r="H56" s="48">
        <f t="shared" si="3"/>
        <v>0</v>
      </c>
      <c r="I56" s="196"/>
      <c r="J56" s="196"/>
      <c r="K56" s="196"/>
      <c r="L56" s="196"/>
      <c r="M56" s="196"/>
      <c r="N56" s="196"/>
      <c r="O56" s="196"/>
    </row>
    <row r="57" spans="2:15" ht="21" customHeight="1" thickBot="1">
      <c r="B57" s="196"/>
      <c r="C57" s="40" t="s">
        <v>127</v>
      </c>
      <c r="D57" s="49">
        <f>SUM(D50:D56)</f>
        <v>0</v>
      </c>
      <c r="E57" s="49">
        <f>SUM(E50:E56)</f>
        <v>0</v>
      </c>
      <c r="F57" s="49">
        <f>SUM(F50:F56)</f>
        <v>0</v>
      </c>
      <c r="G57" s="49">
        <f>SUM(G50:G56)</f>
        <v>0</v>
      </c>
      <c r="H57" s="48">
        <f t="shared" si="3"/>
        <v>0</v>
      </c>
      <c r="I57" s="196"/>
      <c r="J57" s="196"/>
      <c r="K57" s="196"/>
      <c r="L57" s="196"/>
      <c r="M57" s="196"/>
      <c r="N57" s="196"/>
      <c r="O57" s="196"/>
    </row>
    <row r="58" spans="2:15" s="39" customFormat="1" ht="22.5" customHeight="1">
      <c r="B58" s="197"/>
      <c r="C58" s="53"/>
      <c r="D58" s="51"/>
      <c r="E58" s="51"/>
      <c r="F58" s="51"/>
      <c r="G58" s="51"/>
      <c r="H58" s="52"/>
      <c r="I58" s="197"/>
      <c r="J58" s="197"/>
      <c r="K58" s="197"/>
      <c r="L58" s="197"/>
      <c r="M58" s="197"/>
      <c r="N58" s="197"/>
      <c r="O58" s="197"/>
    </row>
    <row r="59" spans="2:15">
      <c r="B59" s="254" t="s">
        <v>134</v>
      </c>
      <c r="C59" s="255"/>
      <c r="D59" s="255"/>
      <c r="E59" s="255"/>
      <c r="F59" s="255"/>
      <c r="G59" s="255"/>
      <c r="H59" s="256"/>
      <c r="I59" s="196"/>
      <c r="J59" s="196"/>
      <c r="K59" s="196"/>
      <c r="L59" s="196"/>
      <c r="M59" s="196"/>
      <c r="N59" s="196"/>
      <c r="O59" s="196"/>
    </row>
    <row r="60" spans="2:15">
      <c r="B60" s="196"/>
      <c r="C60" s="254" t="s">
        <v>49</v>
      </c>
      <c r="D60" s="255"/>
      <c r="E60" s="255"/>
      <c r="F60" s="255"/>
      <c r="G60" s="255"/>
      <c r="H60" s="256"/>
      <c r="I60" s="196"/>
      <c r="J60" s="196"/>
      <c r="K60" s="196"/>
      <c r="L60" s="196"/>
      <c r="M60" s="196"/>
      <c r="N60" s="196"/>
      <c r="O60" s="196"/>
    </row>
    <row r="61" spans="2:15" ht="24" customHeight="1" thickBot="1">
      <c r="B61" s="196"/>
      <c r="C61" s="46" t="s">
        <v>135</v>
      </c>
      <c r="D61" s="47">
        <f>'1) Tableau budgétaire 1'!D35</f>
        <v>0</v>
      </c>
      <c r="E61" s="47">
        <f>'1) Tableau budgétaire 1'!E35</f>
        <v>10000</v>
      </c>
      <c r="F61" s="47">
        <f>'1) Tableau budgétaire 1'!F35</f>
        <v>10000</v>
      </c>
      <c r="G61" s="47">
        <f>'1) Tableau budgétaire 1'!G35</f>
        <v>37095</v>
      </c>
      <c r="H61" s="48">
        <f>SUM(D61:G61)</f>
        <v>57095</v>
      </c>
      <c r="I61" s="196"/>
      <c r="J61" s="196"/>
      <c r="K61" s="196"/>
      <c r="L61" s="196"/>
      <c r="M61" s="196"/>
      <c r="N61" s="196"/>
      <c r="O61" s="196"/>
    </row>
    <row r="62" spans="2:15" ht="15.75" customHeight="1" thickBot="1">
      <c r="B62" s="196"/>
      <c r="C62" s="44" t="s">
        <v>120</v>
      </c>
      <c r="D62" s="198"/>
      <c r="E62" s="199">
        <v>2000</v>
      </c>
      <c r="F62" s="199"/>
      <c r="G62" s="199">
        <v>6616</v>
      </c>
      <c r="H62" s="48">
        <f t="shared" ref="H62:H69" si="4">SUM(D62:G62)</f>
        <v>8616</v>
      </c>
      <c r="I62" s="196"/>
      <c r="J62" s="196"/>
      <c r="K62" s="196"/>
      <c r="L62" s="196"/>
      <c r="M62" s="196"/>
      <c r="N62" s="196"/>
      <c r="O62" s="196"/>
    </row>
    <row r="63" spans="2:15" ht="15.75" customHeight="1" thickBot="1">
      <c r="B63" s="196"/>
      <c r="C63" s="36" t="s">
        <v>121</v>
      </c>
      <c r="D63" s="200"/>
      <c r="E63" s="174">
        <v>5000</v>
      </c>
      <c r="F63" s="174"/>
      <c r="G63" s="174">
        <v>4684</v>
      </c>
      <c r="H63" s="48">
        <f t="shared" si="4"/>
        <v>9684</v>
      </c>
      <c r="I63" s="196"/>
      <c r="J63" s="196"/>
      <c r="K63" s="196"/>
      <c r="L63" s="196"/>
      <c r="M63" s="196"/>
      <c r="N63" s="196"/>
      <c r="O63" s="196"/>
    </row>
    <row r="64" spans="2:15" ht="15.75" customHeight="1" thickBot="1">
      <c r="B64" s="196"/>
      <c r="C64" s="36" t="s">
        <v>122</v>
      </c>
      <c r="D64" s="200"/>
      <c r="E64" s="200"/>
      <c r="F64" s="200"/>
      <c r="G64" s="201"/>
      <c r="H64" s="48">
        <f t="shared" si="4"/>
        <v>0</v>
      </c>
      <c r="I64" s="196"/>
      <c r="J64" s="196"/>
      <c r="K64" s="196"/>
      <c r="L64" s="196"/>
      <c r="M64" s="196"/>
      <c r="N64" s="196"/>
      <c r="O64" s="196"/>
    </row>
    <row r="65" spans="2:15" ht="18.75" customHeight="1" thickBot="1">
      <c r="B65" s="196"/>
      <c r="C65" s="37" t="s">
        <v>123</v>
      </c>
      <c r="D65" s="200"/>
      <c r="E65" s="200"/>
      <c r="F65" s="200"/>
      <c r="G65" s="201"/>
      <c r="H65" s="48">
        <f t="shared" si="4"/>
        <v>0</v>
      </c>
      <c r="I65" s="196"/>
      <c r="J65" s="196"/>
      <c r="K65" s="196"/>
      <c r="L65" s="196"/>
      <c r="M65" s="196"/>
      <c r="N65" s="196"/>
      <c r="O65" s="196"/>
    </row>
    <row r="66" spans="2:15" ht="16.5" thickBot="1">
      <c r="B66" s="196"/>
      <c r="C66" s="36" t="s">
        <v>124</v>
      </c>
      <c r="D66" s="200"/>
      <c r="E66" s="200">
        <v>3000</v>
      </c>
      <c r="F66" s="200"/>
      <c r="G66" s="201">
        <v>1315</v>
      </c>
      <c r="H66" s="48">
        <f t="shared" si="4"/>
        <v>4315</v>
      </c>
      <c r="I66" s="196"/>
      <c r="J66" s="196"/>
      <c r="K66" s="196"/>
      <c r="L66" s="196"/>
      <c r="M66" s="196"/>
      <c r="N66" s="196"/>
      <c r="O66" s="196"/>
    </row>
    <row r="67" spans="2:15" s="39" customFormat="1" ht="21.75" customHeight="1" thickBot="1">
      <c r="B67" s="196"/>
      <c r="C67" s="36" t="s">
        <v>125</v>
      </c>
      <c r="D67" s="200"/>
      <c r="E67" s="200"/>
      <c r="F67" s="200">
        <v>10000</v>
      </c>
      <c r="G67" s="201">
        <v>6765</v>
      </c>
      <c r="H67" s="48">
        <f t="shared" si="4"/>
        <v>16765</v>
      </c>
      <c r="I67" s="197"/>
      <c r="J67" s="197"/>
      <c r="K67" s="197"/>
      <c r="L67" s="197"/>
      <c r="M67" s="197"/>
      <c r="N67" s="197"/>
      <c r="O67" s="197"/>
    </row>
    <row r="68" spans="2:15" s="39" customFormat="1" ht="32.25" thickBot="1">
      <c r="B68" s="196"/>
      <c r="C68" s="36" t="s">
        <v>126</v>
      </c>
      <c r="D68" s="200"/>
      <c r="E68" s="200"/>
      <c r="F68" s="200"/>
      <c r="G68" s="201">
        <v>17715</v>
      </c>
      <c r="H68" s="48">
        <f t="shared" si="4"/>
        <v>17715</v>
      </c>
      <c r="I68" s="197"/>
      <c r="J68" s="197"/>
      <c r="K68" s="197"/>
      <c r="L68" s="197"/>
      <c r="M68" s="197"/>
      <c r="N68" s="197"/>
      <c r="O68" s="197"/>
    </row>
    <row r="69" spans="2:15" ht="16.5" thickBot="1">
      <c r="B69" s="196"/>
      <c r="C69" s="40" t="s">
        <v>127</v>
      </c>
      <c r="D69" s="49">
        <f>SUM(D62:D68)</f>
        <v>0</v>
      </c>
      <c r="E69" s="49">
        <f>SUM(E62:E68)</f>
        <v>10000</v>
      </c>
      <c r="F69" s="49">
        <f>SUM(F62:F68)</f>
        <v>10000</v>
      </c>
      <c r="G69" s="49">
        <f>SUM(G62:G68)</f>
        <v>37095</v>
      </c>
      <c r="H69" s="48">
        <f t="shared" si="4"/>
        <v>57095</v>
      </c>
      <c r="I69" s="196"/>
      <c r="J69" s="196"/>
      <c r="K69" s="196"/>
      <c r="L69" s="196"/>
      <c r="M69" s="196"/>
      <c r="N69" s="196"/>
      <c r="O69" s="196"/>
    </row>
    <row r="70" spans="2:15" s="39" customFormat="1">
      <c r="B70" s="197"/>
      <c r="C70" s="50"/>
      <c r="D70" s="51"/>
      <c r="E70" s="51"/>
      <c r="F70" s="51"/>
      <c r="G70" s="51"/>
      <c r="H70" s="52"/>
      <c r="I70" s="197"/>
      <c r="J70" s="197"/>
      <c r="K70" s="197"/>
      <c r="L70" s="197"/>
      <c r="M70" s="197"/>
      <c r="N70" s="197"/>
      <c r="O70" s="197"/>
    </row>
    <row r="71" spans="2:15">
      <c r="B71" s="197"/>
      <c r="C71" s="254" t="s">
        <v>53</v>
      </c>
      <c r="D71" s="255"/>
      <c r="E71" s="255"/>
      <c r="F71" s="255"/>
      <c r="G71" s="255"/>
      <c r="H71" s="256"/>
      <c r="I71" s="196"/>
      <c r="J71" s="196"/>
      <c r="K71" s="196"/>
      <c r="L71" s="196"/>
      <c r="M71" s="196"/>
      <c r="N71" s="196"/>
      <c r="O71" s="196"/>
    </row>
    <row r="72" spans="2:15" ht="21.75" customHeight="1" thickBot="1">
      <c r="B72" s="196"/>
      <c r="C72" s="46" t="s">
        <v>136</v>
      </c>
      <c r="D72" s="47">
        <f>'1) Tableau budgétaire 1'!D45</f>
        <v>0</v>
      </c>
      <c r="E72" s="47">
        <f>'1) Tableau budgétaire 1'!E45</f>
        <v>459730</v>
      </c>
      <c r="F72" s="47">
        <f>'1) Tableau budgétaire 1'!F45</f>
        <v>190982</v>
      </c>
      <c r="G72" s="47">
        <f>'1) Tableau budgétaire 1'!G45</f>
        <v>371680</v>
      </c>
      <c r="H72" s="48">
        <f>SUM(D72:G72)</f>
        <v>1022392</v>
      </c>
      <c r="I72" s="196"/>
      <c r="J72" s="196"/>
      <c r="K72" s="196"/>
      <c r="L72" s="196"/>
      <c r="M72" s="196"/>
      <c r="N72" s="196"/>
      <c r="O72" s="196"/>
    </row>
    <row r="73" spans="2:15" ht="15.75" customHeight="1" thickBot="1">
      <c r="B73" s="196"/>
      <c r="C73" s="44" t="s">
        <v>120</v>
      </c>
      <c r="D73" s="198"/>
      <c r="E73" s="199">
        <v>72500</v>
      </c>
      <c r="F73" s="199"/>
      <c r="G73" s="199">
        <v>66161</v>
      </c>
      <c r="H73" s="48">
        <f t="shared" ref="H73:H80" si="5">SUM(D73:G73)</f>
        <v>138661</v>
      </c>
      <c r="I73" s="196"/>
      <c r="J73" s="196"/>
      <c r="K73" s="196"/>
      <c r="L73" s="196"/>
      <c r="M73" s="196"/>
      <c r="N73" s="196"/>
      <c r="O73" s="196"/>
    </row>
    <row r="74" spans="2:15" ht="15.75" customHeight="1" thickBot="1">
      <c r="B74" s="196"/>
      <c r="C74" s="36" t="s">
        <v>121</v>
      </c>
      <c r="D74" s="200"/>
      <c r="E74" s="174">
        <v>263230</v>
      </c>
      <c r="F74" s="174">
        <v>35000</v>
      </c>
      <c r="G74" s="174">
        <v>37474</v>
      </c>
      <c r="H74" s="48">
        <f t="shared" si="5"/>
        <v>335704</v>
      </c>
      <c r="I74" s="196"/>
      <c r="J74" s="196"/>
      <c r="K74" s="196"/>
      <c r="L74" s="196"/>
      <c r="M74" s="196"/>
      <c r="N74" s="196"/>
      <c r="O74" s="196"/>
    </row>
    <row r="75" spans="2:15" ht="15.75" customHeight="1" thickBot="1">
      <c r="B75" s="196"/>
      <c r="C75" s="36" t="s">
        <v>122</v>
      </c>
      <c r="D75" s="200"/>
      <c r="E75" s="200">
        <v>46000</v>
      </c>
      <c r="F75" s="200"/>
      <c r="G75" s="201">
        <v>57950</v>
      </c>
      <c r="H75" s="48">
        <f t="shared" si="5"/>
        <v>103950</v>
      </c>
      <c r="I75" s="196"/>
      <c r="J75" s="196"/>
      <c r="K75" s="196"/>
      <c r="L75" s="196"/>
      <c r="M75" s="196"/>
      <c r="N75" s="196"/>
      <c r="O75" s="196"/>
    </row>
    <row r="76" spans="2:15" ht="16.5" thickBot="1">
      <c r="B76" s="196"/>
      <c r="C76" s="37" t="s">
        <v>123</v>
      </c>
      <c r="D76" s="200"/>
      <c r="E76" s="200"/>
      <c r="F76" s="200">
        <v>130982</v>
      </c>
      <c r="G76" s="201">
        <v>184175</v>
      </c>
      <c r="H76" s="48">
        <f t="shared" si="5"/>
        <v>315157</v>
      </c>
      <c r="I76" s="196"/>
      <c r="J76" s="196"/>
      <c r="K76" s="196"/>
      <c r="L76" s="196"/>
      <c r="M76" s="196"/>
      <c r="N76" s="196"/>
      <c r="O76" s="196"/>
    </row>
    <row r="77" spans="2:15" ht="16.5" thickBot="1">
      <c r="B77" s="196"/>
      <c r="C77" s="36" t="s">
        <v>124</v>
      </c>
      <c r="D77" s="200"/>
      <c r="E77" s="200">
        <v>15000</v>
      </c>
      <c r="F77" s="200"/>
      <c r="G77" s="201">
        <v>8775</v>
      </c>
      <c r="H77" s="48">
        <f t="shared" si="5"/>
        <v>23775</v>
      </c>
      <c r="I77" s="196"/>
      <c r="J77" s="196"/>
      <c r="K77" s="196"/>
      <c r="L77" s="196"/>
      <c r="M77" s="196"/>
      <c r="N77" s="196"/>
      <c r="O77" s="196"/>
    </row>
    <row r="78" spans="2:15" ht="16.5" thickBot="1">
      <c r="B78" s="196"/>
      <c r="C78" s="36" t="s">
        <v>125</v>
      </c>
      <c r="D78" s="200"/>
      <c r="E78" s="200">
        <v>18000</v>
      </c>
      <c r="F78" s="200">
        <v>25000</v>
      </c>
      <c r="G78" s="201"/>
      <c r="H78" s="48">
        <f>SUM(D78:G78)</f>
        <v>43000</v>
      </c>
      <c r="I78" s="196"/>
      <c r="J78" s="196"/>
      <c r="K78" s="196"/>
      <c r="L78" s="196"/>
      <c r="M78" s="196"/>
      <c r="N78" s="196"/>
      <c r="O78" s="196"/>
    </row>
    <row r="79" spans="2:15" ht="32.25" thickBot="1">
      <c r="B79" s="196"/>
      <c r="C79" s="36" t="s">
        <v>126</v>
      </c>
      <c r="D79" s="200"/>
      <c r="E79" s="200">
        <v>45000</v>
      </c>
      <c r="F79" s="200"/>
      <c r="G79" s="154">
        <v>17145</v>
      </c>
      <c r="H79" s="48">
        <f>SUM(D79:G79)</f>
        <v>62145</v>
      </c>
      <c r="I79" s="196"/>
      <c r="J79" s="196"/>
      <c r="K79" s="196"/>
      <c r="L79" s="196"/>
      <c r="M79" s="196"/>
      <c r="N79" s="196"/>
      <c r="O79" s="196"/>
    </row>
    <row r="80" spans="2:15" ht="16.5" thickBot="1">
      <c r="B80" s="196"/>
      <c r="C80" s="40" t="s">
        <v>127</v>
      </c>
      <c r="D80" s="49">
        <f>SUM(D73:D79)</f>
        <v>0</v>
      </c>
      <c r="E80" s="49">
        <f>SUM(E73:E79)</f>
        <v>459730</v>
      </c>
      <c r="F80" s="49">
        <f>SUM(F73:F79)</f>
        <v>190982</v>
      </c>
      <c r="G80" s="47">
        <f>SUM(G73:G79)</f>
        <v>371680</v>
      </c>
      <c r="H80" s="48">
        <f t="shared" si="5"/>
        <v>1022392</v>
      </c>
      <c r="I80" s="196"/>
      <c r="J80" s="196"/>
      <c r="K80" s="196"/>
      <c r="L80" s="196"/>
      <c r="M80" s="196"/>
      <c r="N80" s="196"/>
      <c r="O80" s="196"/>
    </row>
    <row r="81" spans="2:15" s="39" customFormat="1">
      <c r="B81" s="197"/>
      <c r="C81" s="50"/>
      <c r="D81" s="51"/>
      <c r="E81" s="51"/>
      <c r="F81" s="51"/>
      <c r="G81" s="51"/>
      <c r="H81" s="52"/>
      <c r="I81" s="197"/>
      <c r="J81" s="197"/>
      <c r="K81" s="197"/>
      <c r="L81" s="197"/>
      <c r="M81" s="197"/>
      <c r="N81" s="197"/>
      <c r="O81" s="197"/>
    </row>
    <row r="82" spans="2:15">
      <c r="B82" s="196"/>
      <c r="C82" s="254" t="s">
        <v>68</v>
      </c>
      <c r="D82" s="255"/>
      <c r="E82" s="255"/>
      <c r="F82" s="255"/>
      <c r="G82" s="255"/>
      <c r="H82" s="256"/>
      <c r="I82" s="196"/>
      <c r="J82" s="196"/>
      <c r="K82" s="196"/>
      <c r="L82" s="196"/>
      <c r="M82" s="196"/>
      <c r="N82" s="196"/>
      <c r="O82" s="196"/>
    </row>
    <row r="83" spans="2:15" ht="21.75" customHeight="1" thickBot="1">
      <c r="B83" s="197"/>
      <c r="C83" s="46" t="s">
        <v>137</v>
      </c>
      <c r="D83" s="47">
        <f>'1) Tableau budgétaire 1'!D50</f>
        <v>0</v>
      </c>
      <c r="E83" s="47">
        <f>'1) Tableau budgétaire 1'!E50</f>
        <v>20000</v>
      </c>
      <c r="F83" s="47">
        <f>'1) Tableau budgétaire 1'!F50</f>
        <v>40000</v>
      </c>
      <c r="G83" s="47">
        <f>'1) Tableau budgétaire 1'!G50</f>
        <v>38932</v>
      </c>
      <c r="H83" s="48">
        <f>SUM(D83:G83)</f>
        <v>98932</v>
      </c>
      <c r="I83" s="196"/>
      <c r="J83" s="196"/>
      <c r="K83" s="196"/>
      <c r="L83" s="196"/>
      <c r="M83" s="196"/>
      <c r="N83" s="196"/>
      <c r="O83" s="196"/>
    </row>
    <row r="84" spans="2:15" ht="18" customHeight="1" thickBot="1">
      <c r="B84" s="196"/>
      <c r="C84" s="44" t="s">
        <v>120</v>
      </c>
      <c r="D84" s="198"/>
      <c r="E84" s="199">
        <v>3000</v>
      </c>
      <c r="F84" s="199"/>
      <c r="G84" s="199">
        <v>13232</v>
      </c>
      <c r="H84" s="48">
        <f t="shared" ref="H84:H91" si="6">SUM(D84:G84)</f>
        <v>16232</v>
      </c>
      <c r="I84" s="196"/>
      <c r="J84" s="196"/>
      <c r="K84" s="196"/>
      <c r="L84" s="196"/>
      <c r="M84" s="196"/>
      <c r="N84" s="196"/>
      <c r="O84" s="196"/>
    </row>
    <row r="85" spans="2:15" ht="15.75" customHeight="1" thickBot="1">
      <c r="B85" s="196"/>
      <c r="C85" s="36" t="s">
        <v>121</v>
      </c>
      <c r="D85" s="200"/>
      <c r="E85" s="174">
        <v>5000</v>
      </c>
      <c r="F85" s="174"/>
      <c r="G85" s="174"/>
      <c r="H85" s="48">
        <f t="shared" si="6"/>
        <v>5000</v>
      </c>
      <c r="I85" s="196"/>
      <c r="J85" s="196"/>
      <c r="K85" s="196"/>
      <c r="L85" s="196"/>
      <c r="M85" s="196"/>
      <c r="N85" s="196"/>
      <c r="O85" s="196"/>
    </row>
    <row r="86" spans="2:15" s="39" customFormat="1" ht="15.75" customHeight="1" thickBot="1">
      <c r="B86" s="196"/>
      <c r="C86" s="36" t="s">
        <v>122</v>
      </c>
      <c r="D86" s="200"/>
      <c r="E86" s="200"/>
      <c r="F86" s="200"/>
      <c r="G86" s="201"/>
      <c r="H86" s="48">
        <f t="shared" si="6"/>
        <v>0</v>
      </c>
      <c r="I86" s="197"/>
      <c r="J86" s="197"/>
      <c r="K86" s="197"/>
      <c r="L86" s="197"/>
      <c r="M86" s="197"/>
      <c r="N86" s="197"/>
      <c r="O86" s="197"/>
    </row>
    <row r="87" spans="2:15" ht="16.5" thickBot="1">
      <c r="B87" s="197"/>
      <c r="C87" s="37" t="s">
        <v>123</v>
      </c>
      <c r="D87" s="200"/>
      <c r="E87" s="200"/>
      <c r="F87" s="200">
        <v>10000</v>
      </c>
      <c r="G87" s="201"/>
      <c r="H87" s="48">
        <f t="shared" si="6"/>
        <v>10000</v>
      </c>
      <c r="I87" s="196"/>
      <c r="J87" s="196"/>
      <c r="K87" s="196"/>
      <c r="L87" s="196"/>
      <c r="M87" s="196"/>
      <c r="N87" s="196"/>
      <c r="O87" s="196"/>
    </row>
    <row r="88" spans="2:15" ht="16.5" thickBot="1">
      <c r="B88" s="197"/>
      <c r="C88" s="36" t="s">
        <v>124</v>
      </c>
      <c r="D88" s="200"/>
      <c r="E88" s="200"/>
      <c r="F88" s="200"/>
      <c r="G88" s="201"/>
      <c r="H88" s="48">
        <f t="shared" si="6"/>
        <v>0</v>
      </c>
      <c r="I88" s="196"/>
      <c r="J88" s="196"/>
      <c r="K88" s="196"/>
      <c r="L88" s="196"/>
      <c r="M88" s="196"/>
      <c r="N88" s="196"/>
      <c r="O88" s="196"/>
    </row>
    <row r="89" spans="2:15" ht="16.5" thickBot="1">
      <c r="B89" s="197"/>
      <c r="C89" s="36" t="s">
        <v>125</v>
      </c>
      <c r="D89" s="200"/>
      <c r="E89" s="200">
        <v>10000</v>
      </c>
      <c r="F89" s="200">
        <v>30000</v>
      </c>
      <c r="G89" s="201">
        <v>25700</v>
      </c>
      <c r="H89" s="48">
        <f t="shared" si="6"/>
        <v>65700</v>
      </c>
      <c r="I89" s="196"/>
      <c r="J89" s="196"/>
      <c r="K89" s="196"/>
      <c r="L89" s="196"/>
      <c r="M89" s="196"/>
      <c r="N89" s="196"/>
      <c r="O89" s="196"/>
    </row>
    <row r="90" spans="2:15" ht="32.25" thickBot="1">
      <c r="B90" s="196"/>
      <c r="C90" s="36" t="s">
        <v>126</v>
      </c>
      <c r="D90" s="200"/>
      <c r="E90" s="200">
        <v>2000</v>
      </c>
      <c r="F90" s="200"/>
      <c r="G90" s="201"/>
      <c r="H90" s="48">
        <f t="shared" si="6"/>
        <v>2000</v>
      </c>
      <c r="I90" s="196"/>
      <c r="J90" s="196"/>
      <c r="K90" s="196"/>
      <c r="L90" s="196"/>
      <c r="M90" s="196"/>
      <c r="N90" s="196"/>
      <c r="O90" s="196"/>
    </row>
    <row r="91" spans="2:15" ht="16.5" thickBot="1">
      <c r="B91" s="196"/>
      <c r="C91" s="40" t="s">
        <v>127</v>
      </c>
      <c r="D91" s="49">
        <f>SUM(D84:D90)</f>
        <v>0</v>
      </c>
      <c r="E91" s="49">
        <f>SUM(E84:E90)</f>
        <v>20000</v>
      </c>
      <c r="F91" s="49">
        <f>SUM(F84:F90)</f>
        <v>40000</v>
      </c>
      <c r="G91" s="155">
        <f>SUM(G84:G90)</f>
        <v>38932</v>
      </c>
      <c r="H91" s="48">
        <f t="shared" si="6"/>
        <v>98932</v>
      </c>
      <c r="I91" s="196"/>
      <c r="J91" s="196"/>
      <c r="K91" s="196"/>
      <c r="L91" s="196"/>
      <c r="M91" s="196"/>
      <c r="N91" s="196"/>
      <c r="O91" s="196"/>
    </row>
    <row r="92" spans="2:15" s="39" customFormat="1">
      <c r="B92" s="197"/>
      <c r="C92" s="50"/>
      <c r="D92" s="51"/>
      <c r="E92" s="51"/>
      <c r="F92" s="51"/>
      <c r="G92" s="51"/>
      <c r="H92" s="52"/>
      <c r="I92" s="197"/>
      <c r="J92" s="197"/>
      <c r="K92" s="197"/>
      <c r="L92" s="197"/>
      <c r="M92" s="197"/>
      <c r="N92" s="197"/>
      <c r="O92" s="197"/>
    </row>
    <row r="93" spans="2:15">
      <c r="B93" s="196"/>
      <c r="C93" s="254" t="s">
        <v>76</v>
      </c>
      <c r="D93" s="255"/>
      <c r="E93" s="255"/>
      <c r="F93" s="255"/>
      <c r="G93" s="255"/>
      <c r="H93" s="256"/>
      <c r="I93" s="196"/>
      <c r="J93" s="196"/>
      <c r="K93" s="196"/>
      <c r="L93" s="196"/>
      <c r="M93" s="196"/>
      <c r="N93" s="196"/>
      <c r="O93" s="196"/>
    </row>
    <row r="94" spans="2:15" ht="21.75" customHeight="1" thickBot="1">
      <c r="B94" s="196"/>
      <c r="C94" s="46" t="s">
        <v>138</v>
      </c>
      <c r="D94" s="47">
        <f>'1) Tableau budgétaire 1'!D55</f>
        <v>47000</v>
      </c>
      <c r="E94" s="47">
        <f>'1) Tableau budgétaire 1'!E55</f>
        <v>0</v>
      </c>
      <c r="F94" s="47">
        <f>'1) Tableau budgétaire 1'!F55</f>
        <v>15000</v>
      </c>
      <c r="G94" s="47">
        <f>'1) Tableau budgétaire 1'!G55</f>
        <v>7310</v>
      </c>
      <c r="H94" s="48">
        <f>SUM(D94:G94)</f>
        <v>69310</v>
      </c>
      <c r="I94" s="196"/>
      <c r="J94" s="196"/>
      <c r="K94" s="196"/>
      <c r="L94" s="196"/>
      <c r="M94" s="196"/>
      <c r="N94" s="196"/>
      <c r="O94" s="196"/>
    </row>
    <row r="95" spans="2:15" ht="15.75" customHeight="1" thickBot="1">
      <c r="B95" s="196"/>
      <c r="C95" s="44" t="s">
        <v>120</v>
      </c>
      <c r="D95" s="198"/>
      <c r="E95" s="199"/>
      <c r="F95" s="199"/>
      <c r="G95" s="199"/>
      <c r="H95" s="48">
        <f t="shared" ref="H95:H102" si="7">SUM(D95:G95)</f>
        <v>0</v>
      </c>
      <c r="I95" s="196"/>
      <c r="J95" s="196"/>
      <c r="K95" s="196"/>
      <c r="L95" s="196"/>
      <c r="M95" s="196"/>
      <c r="N95" s="196"/>
      <c r="O95" s="196"/>
    </row>
    <row r="96" spans="2:15" ht="15.75" customHeight="1" thickBot="1">
      <c r="B96" s="197"/>
      <c r="C96" s="36" t="s">
        <v>121</v>
      </c>
      <c r="D96" s="200">
        <v>15000</v>
      </c>
      <c r="E96" s="174"/>
      <c r="F96" s="174"/>
      <c r="G96" s="174"/>
      <c r="H96" s="48">
        <f t="shared" si="7"/>
        <v>15000</v>
      </c>
      <c r="I96" s="196"/>
      <c r="J96" s="196"/>
      <c r="K96" s="196"/>
      <c r="L96" s="196"/>
      <c r="M96" s="196"/>
      <c r="N96" s="196"/>
      <c r="O96" s="196"/>
    </row>
    <row r="97" spans="2:15" ht="15.75" customHeight="1" thickBot="1">
      <c r="B97" s="196"/>
      <c r="C97" s="36" t="s">
        <v>122</v>
      </c>
      <c r="D97" s="200"/>
      <c r="E97" s="200"/>
      <c r="F97" s="200"/>
      <c r="G97" s="201"/>
      <c r="H97" s="48">
        <f t="shared" si="7"/>
        <v>0</v>
      </c>
      <c r="I97" s="196"/>
      <c r="J97" s="196"/>
      <c r="K97" s="196"/>
      <c r="L97" s="196"/>
      <c r="M97" s="196"/>
      <c r="N97" s="196"/>
      <c r="O97" s="196"/>
    </row>
    <row r="98" spans="2:15" ht="16.5" thickBot="1">
      <c r="B98" s="196"/>
      <c r="C98" s="37" t="s">
        <v>123</v>
      </c>
      <c r="D98" s="200">
        <v>11000</v>
      </c>
      <c r="E98" s="200"/>
      <c r="F98" s="200">
        <v>5000</v>
      </c>
      <c r="G98" s="201"/>
      <c r="H98" s="48">
        <f t="shared" si="7"/>
        <v>16000</v>
      </c>
      <c r="I98" s="196"/>
      <c r="J98" s="196"/>
      <c r="K98" s="196"/>
      <c r="L98" s="196"/>
      <c r="M98" s="196"/>
      <c r="N98" s="196"/>
      <c r="O98" s="196"/>
    </row>
    <row r="99" spans="2:15" ht="16.5" thickBot="1">
      <c r="B99" s="196"/>
      <c r="C99" s="36" t="s">
        <v>124</v>
      </c>
      <c r="D99" s="200"/>
      <c r="E99" s="200"/>
      <c r="F99" s="200"/>
      <c r="G99" s="201"/>
      <c r="H99" s="48">
        <f t="shared" si="7"/>
        <v>0</v>
      </c>
      <c r="I99" s="196"/>
      <c r="J99" s="196"/>
      <c r="K99" s="196"/>
      <c r="L99" s="196"/>
      <c r="M99" s="196"/>
      <c r="N99" s="196"/>
      <c r="O99" s="196"/>
    </row>
    <row r="100" spans="2:15" ht="25.5" customHeight="1" thickBot="1">
      <c r="B100" s="196"/>
      <c r="C100" s="36" t="s">
        <v>125</v>
      </c>
      <c r="D100" s="200"/>
      <c r="E100" s="200"/>
      <c r="F100" s="200">
        <v>10000</v>
      </c>
      <c r="G100" s="201">
        <v>7310</v>
      </c>
      <c r="H100" s="48">
        <f t="shared" si="7"/>
        <v>17310</v>
      </c>
      <c r="I100" s="196"/>
      <c r="J100" s="196"/>
      <c r="K100" s="196"/>
      <c r="L100" s="196"/>
      <c r="M100" s="196"/>
      <c r="N100" s="196"/>
      <c r="O100" s="196"/>
    </row>
    <row r="101" spans="2:15" ht="32.25" thickBot="1">
      <c r="B101" s="197"/>
      <c r="C101" s="36" t="s">
        <v>126</v>
      </c>
      <c r="D101" s="200">
        <v>21000</v>
      </c>
      <c r="E101" s="200"/>
      <c r="F101" s="200"/>
      <c r="G101" s="201"/>
      <c r="H101" s="48">
        <f t="shared" si="7"/>
        <v>21000</v>
      </c>
      <c r="I101" s="196"/>
      <c r="J101" s="196"/>
      <c r="K101" s="196"/>
      <c r="L101" s="196"/>
      <c r="M101" s="196"/>
      <c r="N101" s="196"/>
      <c r="O101" s="196"/>
    </row>
    <row r="102" spans="2:15" ht="15.75" customHeight="1" thickBot="1">
      <c r="B102" s="196"/>
      <c r="C102" s="40" t="s">
        <v>127</v>
      </c>
      <c r="D102" s="49">
        <f>SUM(D95:D101)</f>
        <v>47000</v>
      </c>
      <c r="E102" s="49">
        <f>SUM(E95:E101)</f>
        <v>0</v>
      </c>
      <c r="F102" s="49">
        <f>SUM(F95:F101)</f>
        <v>15000</v>
      </c>
      <c r="G102" s="155">
        <f>SUM(G95:G101)</f>
        <v>7310</v>
      </c>
      <c r="H102" s="48">
        <f t="shared" si="7"/>
        <v>69310</v>
      </c>
      <c r="I102" s="196"/>
      <c r="J102" s="196"/>
      <c r="K102" s="196"/>
      <c r="L102" s="196"/>
      <c r="M102" s="196"/>
      <c r="N102" s="196"/>
      <c r="O102" s="196"/>
    </row>
    <row r="103" spans="2:15" ht="25.5" customHeight="1">
      <c r="B103" s="196"/>
      <c r="C103" s="196"/>
      <c r="D103" s="196"/>
      <c r="E103" s="196"/>
      <c r="F103" s="196"/>
      <c r="G103" s="196"/>
      <c r="H103" s="196"/>
      <c r="I103" s="196"/>
      <c r="J103" s="196"/>
      <c r="K103" s="196"/>
      <c r="L103" s="196"/>
      <c r="M103" s="196"/>
      <c r="N103" s="196"/>
      <c r="O103" s="196"/>
    </row>
    <row r="104" spans="2:15">
      <c r="B104" s="254" t="s">
        <v>139</v>
      </c>
      <c r="C104" s="255"/>
      <c r="D104" s="255"/>
      <c r="E104" s="255"/>
      <c r="F104" s="255"/>
      <c r="G104" s="255"/>
      <c r="H104" s="256"/>
      <c r="I104" s="196"/>
      <c r="J104" s="196"/>
      <c r="K104" s="196"/>
      <c r="L104" s="196"/>
      <c r="M104" s="196"/>
      <c r="N104" s="196"/>
      <c r="O104" s="196"/>
    </row>
    <row r="105" spans="2:15">
      <c r="B105" s="196"/>
      <c r="C105" s="254" t="s">
        <v>84</v>
      </c>
      <c r="D105" s="255"/>
      <c r="E105" s="255"/>
      <c r="F105" s="255"/>
      <c r="G105" s="255"/>
      <c r="H105" s="256"/>
      <c r="I105" s="196"/>
      <c r="J105" s="196"/>
      <c r="K105" s="196"/>
      <c r="L105" s="196"/>
      <c r="M105" s="196"/>
      <c r="N105" s="196"/>
      <c r="O105" s="196"/>
    </row>
    <row r="106" spans="2:15" ht="22.5" customHeight="1" thickBot="1">
      <c r="B106" s="196"/>
      <c r="C106" s="46" t="s">
        <v>140</v>
      </c>
      <c r="D106" s="47" t="e">
        <f>'1) Tableau budgétaire 1'!#REF!</f>
        <v>#REF!</v>
      </c>
      <c r="E106" s="47" t="e">
        <f>'1) Tableau budgétaire 1'!#REF!</f>
        <v>#REF!</v>
      </c>
      <c r="F106" s="47" t="e">
        <f>'1) Tableau budgétaire 1'!#REF!</f>
        <v>#REF!</v>
      </c>
      <c r="G106" s="47" t="e">
        <f>'1) Tableau budgétaire 1'!#REF!</f>
        <v>#REF!</v>
      </c>
      <c r="H106" s="48" t="e">
        <f>SUM(D106:G106)</f>
        <v>#REF!</v>
      </c>
      <c r="I106" s="196"/>
      <c r="J106" s="196"/>
      <c r="K106" s="196"/>
      <c r="L106" s="196"/>
      <c r="M106" s="196"/>
      <c r="N106" s="196"/>
      <c r="O106" s="196"/>
    </row>
    <row r="107" spans="2:15" ht="16.5" thickBot="1">
      <c r="B107" s="196"/>
      <c r="C107" s="44" t="s">
        <v>120</v>
      </c>
      <c r="D107" s="198"/>
      <c r="E107" s="199"/>
      <c r="F107" s="199"/>
      <c r="G107" s="199"/>
      <c r="H107" s="48">
        <f t="shared" ref="H107:H114" si="8">SUM(D107:G107)</f>
        <v>0</v>
      </c>
      <c r="I107" s="196"/>
      <c r="J107" s="196"/>
      <c r="K107" s="196"/>
      <c r="L107" s="196"/>
      <c r="M107" s="196"/>
      <c r="N107" s="196"/>
      <c r="O107" s="196"/>
    </row>
    <row r="108" spans="2:15" ht="16.5" thickBot="1">
      <c r="B108" s="196"/>
      <c r="C108" s="36" t="s">
        <v>121</v>
      </c>
      <c r="D108" s="200"/>
      <c r="E108" s="174"/>
      <c r="F108" s="174"/>
      <c r="G108" s="174"/>
      <c r="H108" s="48">
        <f t="shared" si="8"/>
        <v>0</v>
      </c>
      <c r="I108" s="196"/>
      <c r="J108" s="196"/>
      <c r="K108" s="196"/>
      <c r="L108" s="196"/>
      <c r="M108" s="196"/>
      <c r="N108" s="196"/>
      <c r="O108" s="196"/>
    </row>
    <row r="109" spans="2:15" ht="15.75" customHeight="1" thickBot="1">
      <c r="B109" s="196"/>
      <c r="C109" s="36" t="s">
        <v>122</v>
      </c>
      <c r="D109" s="200"/>
      <c r="E109" s="200"/>
      <c r="F109" s="200"/>
      <c r="G109" s="200"/>
      <c r="H109" s="48">
        <f t="shared" si="8"/>
        <v>0</v>
      </c>
      <c r="I109" s="196"/>
      <c r="J109" s="196"/>
      <c r="K109" s="196"/>
      <c r="L109" s="196"/>
      <c r="M109" s="196"/>
      <c r="N109" s="196"/>
      <c r="O109" s="196"/>
    </row>
    <row r="110" spans="2:15" ht="16.5" thickBot="1">
      <c r="B110" s="196"/>
      <c r="C110" s="37" t="s">
        <v>123</v>
      </c>
      <c r="D110" s="200"/>
      <c r="E110" s="200"/>
      <c r="F110" s="200"/>
      <c r="G110" s="200"/>
      <c r="H110" s="48">
        <f t="shared" si="8"/>
        <v>0</v>
      </c>
      <c r="I110" s="196"/>
      <c r="J110" s="196"/>
      <c r="K110" s="196"/>
      <c r="L110" s="196"/>
      <c r="M110" s="196"/>
      <c r="N110" s="196"/>
      <c r="O110" s="196"/>
    </row>
    <row r="111" spans="2:15" ht="16.5" thickBot="1">
      <c r="B111" s="196"/>
      <c r="C111" s="36" t="s">
        <v>124</v>
      </c>
      <c r="D111" s="200"/>
      <c r="E111" s="200"/>
      <c r="F111" s="200"/>
      <c r="G111" s="200"/>
      <c r="H111" s="48">
        <f t="shared" si="8"/>
        <v>0</v>
      </c>
      <c r="I111" s="196"/>
      <c r="J111" s="196"/>
      <c r="K111" s="196"/>
      <c r="L111" s="196"/>
      <c r="M111" s="196"/>
      <c r="N111" s="196"/>
      <c r="O111" s="196"/>
    </row>
    <row r="112" spans="2:15" ht="16.5" thickBot="1">
      <c r="B112" s="196"/>
      <c r="C112" s="36" t="s">
        <v>125</v>
      </c>
      <c r="D112" s="200"/>
      <c r="E112" s="200"/>
      <c r="F112" s="200"/>
      <c r="G112" s="200"/>
      <c r="H112" s="48">
        <f t="shared" si="8"/>
        <v>0</v>
      </c>
      <c r="I112" s="196"/>
      <c r="J112" s="196"/>
      <c r="K112" s="196"/>
      <c r="L112" s="196"/>
      <c r="M112" s="196"/>
      <c r="N112" s="196"/>
      <c r="O112" s="196"/>
    </row>
    <row r="113" spans="3:15" ht="32.25" thickBot="1">
      <c r="C113" s="36" t="s">
        <v>126</v>
      </c>
      <c r="D113" s="200"/>
      <c r="E113" s="200"/>
      <c r="F113" s="200"/>
      <c r="G113" s="200"/>
      <c r="H113" s="48">
        <f t="shared" si="8"/>
        <v>0</v>
      </c>
      <c r="I113" s="196"/>
      <c r="J113" s="196"/>
      <c r="K113" s="196"/>
      <c r="L113" s="196"/>
      <c r="M113" s="196"/>
      <c r="N113" s="196"/>
      <c r="O113" s="196"/>
    </row>
    <row r="114" spans="3:15" ht="16.5" thickBot="1">
      <c r="C114" s="40" t="s">
        <v>127</v>
      </c>
      <c r="D114" s="49">
        <f>SUM(D107:D113)</f>
        <v>0</v>
      </c>
      <c r="E114" s="49">
        <f>SUM(E107:E113)</f>
        <v>0</v>
      </c>
      <c r="F114" s="49">
        <f>SUM(F107:F113)</f>
        <v>0</v>
      </c>
      <c r="G114" s="49">
        <f>SUM(G107:G113)</f>
        <v>0</v>
      </c>
      <c r="H114" s="48">
        <f t="shared" si="8"/>
        <v>0</v>
      </c>
      <c r="I114" s="196"/>
      <c r="J114" s="196"/>
      <c r="K114" s="196"/>
      <c r="L114" s="196"/>
      <c r="M114" s="196"/>
      <c r="N114" s="196"/>
      <c r="O114" s="196"/>
    </row>
    <row r="115" spans="3:15" s="39" customFormat="1">
      <c r="C115" s="50"/>
      <c r="D115" s="51"/>
      <c r="E115" s="51"/>
      <c r="F115" s="51"/>
      <c r="G115" s="51"/>
      <c r="H115" s="52"/>
      <c r="I115" s="197"/>
      <c r="J115" s="197"/>
      <c r="K115" s="197"/>
      <c r="L115" s="197"/>
      <c r="M115" s="197"/>
      <c r="N115" s="197"/>
      <c r="O115" s="197"/>
    </row>
    <row r="116" spans="3:15" ht="15.75" customHeight="1">
      <c r="C116" s="254" t="s">
        <v>141</v>
      </c>
      <c r="D116" s="255"/>
      <c r="E116" s="255"/>
      <c r="F116" s="255"/>
      <c r="G116" s="255"/>
      <c r="H116" s="256"/>
      <c r="I116" s="196"/>
      <c r="J116" s="196"/>
      <c r="K116" s="196"/>
      <c r="L116" s="196"/>
      <c r="M116" s="196"/>
      <c r="N116" s="196"/>
      <c r="O116" s="196"/>
    </row>
    <row r="117" spans="3:15" ht="21.75" customHeight="1" thickBot="1">
      <c r="C117" s="46" t="s">
        <v>142</v>
      </c>
      <c r="D117" s="47" t="e">
        <f>'1) Tableau budgétaire 1'!#REF!</f>
        <v>#REF!</v>
      </c>
      <c r="E117" s="47" t="e">
        <f>'1) Tableau budgétaire 1'!#REF!</f>
        <v>#REF!</v>
      </c>
      <c r="F117" s="47" t="e">
        <f>'1) Tableau budgétaire 1'!#REF!</f>
        <v>#REF!</v>
      </c>
      <c r="G117" s="47" t="e">
        <f>'1) Tableau budgétaire 1'!#REF!</f>
        <v>#REF!</v>
      </c>
      <c r="H117" s="48" t="e">
        <f>SUM(D117:G117)</f>
        <v>#REF!</v>
      </c>
      <c r="I117" s="196"/>
      <c r="J117" s="196"/>
      <c r="K117" s="196"/>
      <c r="L117" s="196"/>
      <c r="M117" s="196"/>
      <c r="N117" s="196"/>
      <c r="O117" s="196"/>
    </row>
    <row r="118" spans="3:15" ht="16.5" thickBot="1">
      <c r="C118" s="44" t="s">
        <v>120</v>
      </c>
      <c r="D118" s="198"/>
      <c r="E118" s="199"/>
      <c r="F118" s="199"/>
      <c r="G118" s="199"/>
      <c r="H118" s="48">
        <f t="shared" ref="H118:H125" si="9">SUM(D118:G118)</f>
        <v>0</v>
      </c>
      <c r="I118" s="196"/>
      <c r="J118" s="196"/>
      <c r="K118" s="196"/>
      <c r="L118" s="196"/>
      <c r="M118" s="196"/>
      <c r="N118" s="196"/>
      <c r="O118" s="196"/>
    </row>
    <row r="119" spans="3:15" ht="16.5" thickBot="1">
      <c r="C119" s="36" t="s">
        <v>121</v>
      </c>
      <c r="D119" s="200"/>
      <c r="E119" s="174"/>
      <c r="F119" s="174"/>
      <c r="G119" s="174"/>
      <c r="H119" s="48">
        <f t="shared" si="9"/>
        <v>0</v>
      </c>
      <c r="I119" s="196"/>
      <c r="J119" s="196"/>
      <c r="K119" s="196"/>
      <c r="L119" s="196"/>
      <c r="M119" s="196"/>
      <c r="N119" s="196"/>
      <c r="O119" s="196"/>
    </row>
    <row r="120" spans="3:15" ht="32.25" thickBot="1">
      <c r="C120" s="36" t="s">
        <v>122</v>
      </c>
      <c r="D120" s="200"/>
      <c r="E120" s="200"/>
      <c r="F120" s="200"/>
      <c r="G120" s="200"/>
      <c r="H120" s="48">
        <f>SUM(D120:G120)</f>
        <v>0</v>
      </c>
      <c r="I120" s="196"/>
      <c r="J120" s="196"/>
      <c r="K120" s="196"/>
      <c r="L120" s="196"/>
      <c r="M120" s="196"/>
      <c r="N120" s="196"/>
      <c r="O120" s="196"/>
    </row>
    <row r="121" spans="3:15" ht="16.5" thickBot="1">
      <c r="C121" s="37" t="s">
        <v>123</v>
      </c>
      <c r="D121" s="200"/>
      <c r="E121" s="200"/>
      <c r="F121" s="200"/>
      <c r="G121" s="200"/>
      <c r="H121" s="48">
        <f t="shared" si="9"/>
        <v>0</v>
      </c>
      <c r="I121" s="196"/>
      <c r="J121" s="196"/>
      <c r="K121" s="196"/>
      <c r="L121" s="196"/>
      <c r="M121" s="196"/>
      <c r="N121" s="196"/>
      <c r="O121" s="196"/>
    </row>
    <row r="122" spans="3:15" ht="16.5" thickBot="1">
      <c r="C122" s="36" t="s">
        <v>124</v>
      </c>
      <c r="D122" s="200"/>
      <c r="E122" s="200"/>
      <c r="F122" s="200"/>
      <c r="G122" s="200"/>
      <c r="H122" s="48">
        <f t="shared" si="9"/>
        <v>0</v>
      </c>
      <c r="I122" s="196"/>
      <c r="J122" s="196"/>
      <c r="K122" s="196"/>
      <c r="L122" s="196"/>
      <c r="M122" s="196"/>
      <c r="N122" s="196"/>
      <c r="O122" s="196"/>
    </row>
    <row r="123" spans="3:15" ht="16.5" thickBot="1">
      <c r="C123" s="36" t="s">
        <v>125</v>
      </c>
      <c r="D123" s="200"/>
      <c r="E123" s="200"/>
      <c r="F123" s="200"/>
      <c r="G123" s="200"/>
      <c r="H123" s="48">
        <f t="shared" si="9"/>
        <v>0</v>
      </c>
      <c r="I123" s="196"/>
      <c r="J123" s="196"/>
      <c r="K123" s="196"/>
      <c r="L123" s="196"/>
      <c r="M123" s="196"/>
      <c r="N123" s="196"/>
      <c r="O123" s="196"/>
    </row>
    <row r="124" spans="3:15" ht="32.25" thickBot="1">
      <c r="C124" s="36" t="s">
        <v>126</v>
      </c>
      <c r="D124" s="200"/>
      <c r="E124" s="200"/>
      <c r="F124" s="200"/>
      <c r="G124" s="200"/>
      <c r="H124" s="48">
        <f t="shared" si="9"/>
        <v>0</v>
      </c>
      <c r="I124" s="196"/>
      <c r="J124" s="196"/>
      <c r="K124" s="196"/>
      <c r="L124" s="196"/>
      <c r="M124" s="196"/>
      <c r="N124" s="196"/>
      <c r="O124" s="196"/>
    </row>
    <row r="125" spans="3:15" ht="16.5" thickBot="1">
      <c r="C125" s="40" t="s">
        <v>127</v>
      </c>
      <c r="D125" s="49">
        <f>SUM(D118:D124)</f>
        <v>0</v>
      </c>
      <c r="E125" s="49">
        <f>SUM(E118:E124)</f>
        <v>0</v>
      </c>
      <c r="F125" s="49">
        <f>SUM(F118:F124)</f>
        <v>0</v>
      </c>
      <c r="G125" s="49">
        <f>SUM(G118:G124)</f>
        <v>0</v>
      </c>
      <c r="H125" s="48">
        <f t="shared" si="9"/>
        <v>0</v>
      </c>
      <c r="I125" s="196"/>
      <c r="J125" s="196"/>
      <c r="K125" s="196"/>
      <c r="L125" s="196"/>
      <c r="M125" s="196"/>
      <c r="N125" s="196"/>
      <c r="O125" s="196"/>
    </row>
    <row r="126" spans="3:15" s="39" customFormat="1">
      <c r="C126" s="50"/>
      <c r="D126" s="51"/>
      <c r="E126" s="51"/>
      <c r="F126" s="51"/>
      <c r="G126" s="51"/>
      <c r="H126" s="52"/>
      <c r="I126" s="197"/>
      <c r="J126" s="197"/>
      <c r="K126" s="197"/>
      <c r="L126" s="197"/>
      <c r="M126" s="197"/>
      <c r="N126" s="197"/>
      <c r="O126" s="197"/>
    </row>
    <row r="127" spans="3:15">
      <c r="C127" s="254" t="s">
        <v>85</v>
      </c>
      <c r="D127" s="255"/>
      <c r="E127" s="255"/>
      <c r="F127" s="255"/>
      <c r="G127" s="255"/>
      <c r="H127" s="256"/>
      <c r="I127" s="196"/>
      <c r="J127" s="196"/>
      <c r="K127" s="196"/>
      <c r="L127" s="196"/>
      <c r="M127" s="196"/>
      <c r="N127" s="196"/>
      <c r="O127" s="196"/>
    </row>
    <row r="128" spans="3:15" ht="21" customHeight="1" thickBot="1">
      <c r="C128" s="46" t="s">
        <v>143</v>
      </c>
      <c r="D128" s="47" t="e">
        <f>'1) Tableau budgétaire 1'!#REF!</f>
        <v>#REF!</v>
      </c>
      <c r="E128" s="47" t="e">
        <f>'1) Tableau budgétaire 1'!#REF!</f>
        <v>#REF!</v>
      </c>
      <c r="F128" s="47" t="e">
        <f>'1) Tableau budgétaire 1'!#REF!</f>
        <v>#REF!</v>
      </c>
      <c r="G128" s="47" t="e">
        <f>'1) Tableau budgétaire 1'!#REF!</f>
        <v>#REF!</v>
      </c>
      <c r="H128" s="48" t="e">
        <f>SUM(D128:G128)</f>
        <v>#REF!</v>
      </c>
      <c r="I128" s="196"/>
      <c r="J128" s="196"/>
      <c r="K128" s="196"/>
      <c r="L128" s="196"/>
      <c r="M128" s="196"/>
      <c r="N128" s="196"/>
      <c r="O128" s="196"/>
    </row>
    <row r="129" spans="3:15" ht="16.5" thickBot="1">
      <c r="C129" s="44" t="s">
        <v>120</v>
      </c>
      <c r="D129" s="198"/>
      <c r="E129" s="199"/>
      <c r="F129" s="199"/>
      <c r="G129" s="199"/>
      <c r="H129" s="48">
        <f t="shared" ref="H129:H135" si="10">SUM(D129:G129)</f>
        <v>0</v>
      </c>
      <c r="I129" s="196"/>
      <c r="J129" s="196"/>
      <c r="K129" s="196"/>
      <c r="L129" s="196"/>
      <c r="M129" s="196"/>
      <c r="N129" s="196"/>
      <c r="O129" s="196"/>
    </row>
    <row r="130" spans="3:15" ht="16.5" thickBot="1">
      <c r="C130" s="36" t="s">
        <v>121</v>
      </c>
      <c r="D130" s="200"/>
      <c r="E130" s="174"/>
      <c r="F130" s="174"/>
      <c r="G130" s="174"/>
      <c r="H130" s="48">
        <f t="shared" si="10"/>
        <v>0</v>
      </c>
      <c r="I130" s="196"/>
      <c r="J130" s="196"/>
      <c r="K130" s="196"/>
      <c r="L130" s="196"/>
      <c r="M130" s="196"/>
      <c r="N130" s="196"/>
      <c r="O130" s="196"/>
    </row>
    <row r="131" spans="3:15" ht="32.25" thickBot="1">
      <c r="C131" s="36" t="s">
        <v>122</v>
      </c>
      <c r="D131" s="200"/>
      <c r="E131" s="200"/>
      <c r="F131" s="200"/>
      <c r="G131" s="200"/>
      <c r="H131" s="48">
        <f t="shared" si="10"/>
        <v>0</v>
      </c>
      <c r="I131" s="196"/>
      <c r="J131" s="196"/>
      <c r="K131" s="196"/>
      <c r="L131" s="196"/>
      <c r="M131" s="196"/>
      <c r="N131" s="196"/>
      <c r="O131" s="196"/>
    </row>
    <row r="132" spans="3:15" ht="16.5" thickBot="1">
      <c r="C132" s="37" t="s">
        <v>123</v>
      </c>
      <c r="D132" s="200"/>
      <c r="E132" s="200"/>
      <c r="F132" s="200"/>
      <c r="G132" s="200"/>
      <c r="H132" s="48">
        <f t="shared" si="10"/>
        <v>0</v>
      </c>
      <c r="I132" s="196"/>
      <c r="J132" s="196"/>
      <c r="K132" s="196"/>
      <c r="L132" s="196"/>
      <c r="M132" s="196"/>
      <c r="N132" s="196"/>
      <c r="O132" s="196"/>
    </row>
    <row r="133" spans="3:15" ht="16.5" thickBot="1">
      <c r="C133" s="36" t="s">
        <v>124</v>
      </c>
      <c r="D133" s="200"/>
      <c r="E133" s="200"/>
      <c r="F133" s="200"/>
      <c r="G133" s="200"/>
      <c r="H133" s="48">
        <f t="shared" si="10"/>
        <v>0</v>
      </c>
      <c r="I133" s="196"/>
      <c r="J133" s="196"/>
      <c r="K133" s="196"/>
      <c r="L133" s="196"/>
      <c r="M133" s="196"/>
      <c r="N133" s="196"/>
      <c r="O133" s="196"/>
    </row>
    <row r="134" spans="3:15" ht="16.5" thickBot="1">
      <c r="C134" s="36" t="s">
        <v>125</v>
      </c>
      <c r="D134" s="200"/>
      <c r="E134" s="200"/>
      <c r="F134" s="200"/>
      <c r="G134" s="200"/>
      <c r="H134" s="48">
        <f t="shared" si="10"/>
        <v>0</v>
      </c>
      <c r="I134" s="196"/>
      <c r="J134" s="196"/>
      <c r="K134" s="196"/>
      <c r="L134" s="196"/>
      <c r="M134" s="196"/>
      <c r="N134" s="196"/>
      <c r="O134" s="196"/>
    </row>
    <row r="135" spans="3:15" ht="32.25" thickBot="1">
      <c r="C135" s="36" t="s">
        <v>126</v>
      </c>
      <c r="D135" s="200"/>
      <c r="E135" s="200"/>
      <c r="F135" s="200"/>
      <c r="G135" s="200"/>
      <c r="H135" s="48">
        <f t="shared" si="10"/>
        <v>0</v>
      </c>
      <c r="I135" s="196"/>
      <c r="J135" s="196"/>
      <c r="K135" s="196"/>
      <c r="L135" s="196"/>
      <c r="M135" s="196"/>
      <c r="N135" s="196"/>
      <c r="O135" s="196"/>
    </row>
    <row r="136" spans="3:15" ht="16.5" thickBot="1">
      <c r="C136" s="40" t="s">
        <v>127</v>
      </c>
      <c r="D136" s="49">
        <f>SUM(D129:D135)</f>
        <v>0</v>
      </c>
      <c r="E136" s="49">
        <f>SUM(E129:E135)</f>
        <v>0</v>
      </c>
      <c r="F136" s="49">
        <f>SUM(F129:F135)</f>
        <v>0</v>
      </c>
      <c r="G136" s="49">
        <f>SUM(G129:G135)</f>
        <v>0</v>
      </c>
      <c r="H136" s="48">
        <f>SUM(D136:G136)</f>
        <v>0</v>
      </c>
      <c r="I136" s="196"/>
      <c r="J136" s="196"/>
      <c r="K136" s="196"/>
      <c r="L136" s="196"/>
      <c r="M136" s="196"/>
      <c r="N136" s="196"/>
      <c r="O136" s="196"/>
    </row>
    <row r="137" spans="3:15" s="39" customFormat="1">
      <c r="C137" s="50"/>
      <c r="D137" s="51"/>
      <c r="E137" s="51"/>
      <c r="F137" s="51"/>
      <c r="G137" s="51"/>
      <c r="H137" s="52"/>
      <c r="I137" s="197"/>
      <c r="J137" s="197"/>
      <c r="K137" s="197"/>
      <c r="L137" s="197"/>
      <c r="M137" s="197"/>
      <c r="N137" s="197"/>
      <c r="O137" s="197"/>
    </row>
    <row r="138" spans="3:15">
      <c r="C138" s="254" t="s">
        <v>86</v>
      </c>
      <c r="D138" s="255"/>
      <c r="E138" s="255"/>
      <c r="F138" s="255"/>
      <c r="G138" s="255"/>
      <c r="H138" s="256"/>
      <c r="I138" s="196"/>
      <c r="J138" s="196"/>
      <c r="K138" s="196"/>
      <c r="L138" s="196"/>
      <c r="M138" s="196"/>
      <c r="N138" s="196"/>
      <c r="O138" s="196"/>
    </row>
    <row r="139" spans="3:15" ht="24" customHeight="1" thickBot="1">
      <c r="C139" s="46" t="s">
        <v>144</v>
      </c>
      <c r="D139" s="47" t="e">
        <f>'1) Tableau budgétaire 1'!#REF!</f>
        <v>#REF!</v>
      </c>
      <c r="E139" s="47" t="e">
        <f>'1) Tableau budgétaire 1'!#REF!</f>
        <v>#REF!</v>
      </c>
      <c r="F139" s="47" t="e">
        <f>'1) Tableau budgétaire 1'!#REF!</f>
        <v>#REF!</v>
      </c>
      <c r="G139" s="47" t="e">
        <f>'1) Tableau budgétaire 1'!#REF!</f>
        <v>#REF!</v>
      </c>
      <c r="H139" s="48" t="e">
        <f>SUM(D139:G139)</f>
        <v>#REF!</v>
      </c>
      <c r="I139" s="196"/>
      <c r="J139" s="196"/>
      <c r="K139" s="196"/>
      <c r="L139" s="196"/>
      <c r="M139" s="196"/>
      <c r="N139" s="196"/>
      <c r="O139" s="196"/>
    </row>
    <row r="140" spans="3:15" ht="15.75" customHeight="1" thickBot="1">
      <c r="C140" s="44" t="s">
        <v>120</v>
      </c>
      <c r="D140" s="198"/>
      <c r="E140" s="199"/>
      <c r="F140" s="199"/>
      <c r="G140" s="199"/>
      <c r="H140" s="48">
        <f t="shared" ref="H140:H147" si="11">SUM(D140:G140)</f>
        <v>0</v>
      </c>
      <c r="I140" s="196"/>
      <c r="J140" s="196"/>
      <c r="K140" s="196"/>
      <c r="L140" s="196"/>
      <c r="M140" s="196"/>
      <c r="N140" s="196"/>
      <c r="O140" s="196"/>
    </row>
    <row r="141" spans="3:15" ht="16.5" thickBot="1">
      <c r="C141" s="36" t="s">
        <v>121</v>
      </c>
      <c r="D141" s="200"/>
      <c r="E141" s="174"/>
      <c r="F141" s="174"/>
      <c r="G141" s="174"/>
      <c r="H141" s="48">
        <f t="shared" si="11"/>
        <v>0</v>
      </c>
      <c r="I141" s="196"/>
      <c r="J141" s="196"/>
      <c r="K141" s="196"/>
      <c r="L141" s="196"/>
      <c r="M141" s="196"/>
      <c r="N141" s="196"/>
      <c r="O141" s="196"/>
    </row>
    <row r="142" spans="3:15" ht="15.75" customHeight="1" thickBot="1">
      <c r="C142" s="36" t="s">
        <v>122</v>
      </c>
      <c r="D142" s="200"/>
      <c r="E142" s="200"/>
      <c r="F142" s="200"/>
      <c r="G142" s="200"/>
      <c r="H142" s="48">
        <f t="shared" si="11"/>
        <v>0</v>
      </c>
      <c r="I142" s="196"/>
      <c r="J142" s="196"/>
      <c r="K142" s="196"/>
      <c r="L142" s="196"/>
      <c r="M142" s="196"/>
      <c r="N142" s="196"/>
      <c r="O142" s="196"/>
    </row>
    <row r="143" spans="3:15" ht="16.5" thickBot="1">
      <c r="C143" s="37" t="s">
        <v>123</v>
      </c>
      <c r="D143" s="200"/>
      <c r="E143" s="200"/>
      <c r="F143" s="200"/>
      <c r="G143" s="200"/>
      <c r="H143" s="48">
        <f t="shared" si="11"/>
        <v>0</v>
      </c>
      <c r="I143" s="196"/>
      <c r="J143" s="196"/>
      <c r="K143" s="196"/>
      <c r="L143" s="196"/>
      <c r="M143" s="196"/>
      <c r="N143" s="196"/>
      <c r="O143" s="196"/>
    </row>
    <row r="144" spans="3:15" ht="16.5" thickBot="1">
      <c r="C144" s="36" t="s">
        <v>124</v>
      </c>
      <c r="D144" s="200"/>
      <c r="E144" s="200"/>
      <c r="F144" s="200"/>
      <c r="G144" s="200"/>
      <c r="H144" s="48">
        <f t="shared" si="11"/>
        <v>0</v>
      </c>
      <c r="I144" s="196"/>
      <c r="J144" s="196"/>
      <c r="K144" s="196"/>
      <c r="L144" s="196"/>
      <c r="M144" s="196"/>
      <c r="N144" s="196"/>
      <c r="O144" s="196"/>
    </row>
    <row r="145" spans="2:8" ht="15.75" customHeight="1" thickBot="1">
      <c r="B145" s="196"/>
      <c r="C145" s="36" t="s">
        <v>125</v>
      </c>
      <c r="D145" s="200"/>
      <c r="E145" s="200"/>
      <c r="F145" s="200"/>
      <c r="G145" s="200"/>
      <c r="H145" s="48">
        <f t="shared" si="11"/>
        <v>0</v>
      </c>
    </row>
    <row r="146" spans="2:8" ht="32.25" thickBot="1">
      <c r="B146" s="196"/>
      <c r="C146" s="36" t="s">
        <v>126</v>
      </c>
      <c r="D146" s="200"/>
      <c r="E146" s="200"/>
      <c r="F146" s="200"/>
      <c r="G146" s="200"/>
      <c r="H146" s="48">
        <f t="shared" si="11"/>
        <v>0</v>
      </c>
    </row>
    <row r="147" spans="2:8" ht="16.5" thickBot="1">
      <c r="B147" s="196"/>
      <c r="C147" s="40" t="s">
        <v>127</v>
      </c>
      <c r="D147" s="49">
        <f>SUM(D140:D146)</f>
        <v>0</v>
      </c>
      <c r="E147" s="49">
        <f>SUM(E140:E146)</f>
        <v>0</v>
      </c>
      <c r="F147" s="49">
        <f>SUM(F140:F146)</f>
        <v>0</v>
      </c>
      <c r="G147" s="49">
        <f>SUM(G140:G146)</f>
        <v>0</v>
      </c>
      <c r="H147" s="48">
        <f t="shared" si="11"/>
        <v>0</v>
      </c>
    </row>
    <row r="148" spans="2:8">
      <c r="B148" s="196"/>
      <c r="C148" s="196"/>
      <c r="D148" s="197"/>
      <c r="E148" s="197"/>
      <c r="F148" s="197"/>
      <c r="G148" s="197"/>
      <c r="H148" s="196"/>
    </row>
    <row r="149" spans="2:8">
      <c r="B149" s="254" t="s">
        <v>145</v>
      </c>
      <c r="C149" s="255"/>
      <c r="D149" s="255"/>
      <c r="E149" s="255"/>
      <c r="F149" s="255"/>
      <c r="G149" s="255"/>
      <c r="H149" s="256"/>
    </row>
    <row r="150" spans="2:8">
      <c r="B150" s="196"/>
      <c r="C150" s="254" t="s">
        <v>87</v>
      </c>
      <c r="D150" s="255"/>
      <c r="E150" s="255"/>
      <c r="F150" s="255"/>
      <c r="G150" s="255"/>
      <c r="H150" s="256"/>
    </row>
    <row r="151" spans="2:8" ht="24" customHeight="1" thickBot="1">
      <c r="B151" s="196"/>
      <c r="C151" s="46" t="s">
        <v>146</v>
      </c>
      <c r="D151" s="47" t="e">
        <f>'1) Tableau budgétaire 1'!#REF!</f>
        <v>#REF!</v>
      </c>
      <c r="E151" s="47" t="e">
        <f>'1) Tableau budgétaire 1'!#REF!</f>
        <v>#REF!</v>
      </c>
      <c r="F151" s="47" t="e">
        <f>'1) Tableau budgétaire 1'!#REF!</f>
        <v>#REF!</v>
      </c>
      <c r="G151" s="47" t="e">
        <f>'1) Tableau budgétaire 1'!#REF!</f>
        <v>#REF!</v>
      </c>
      <c r="H151" s="48" t="e">
        <f>SUM(D151:G151)</f>
        <v>#REF!</v>
      </c>
    </row>
    <row r="152" spans="2:8" ht="24.75" customHeight="1" thickBot="1">
      <c r="B152" s="196"/>
      <c r="C152" s="44" t="s">
        <v>120</v>
      </c>
      <c r="D152" s="198"/>
      <c r="E152" s="199"/>
      <c r="F152" s="199"/>
      <c r="G152" s="199"/>
      <c r="H152" s="48">
        <f t="shared" ref="H152:H159" si="12">SUM(D152:G152)</f>
        <v>0</v>
      </c>
    </row>
    <row r="153" spans="2:8" ht="15.75" customHeight="1" thickBot="1">
      <c r="B153" s="196"/>
      <c r="C153" s="36" t="s">
        <v>121</v>
      </c>
      <c r="D153" s="200"/>
      <c r="E153" s="174"/>
      <c r="F153" s="174"/>
      <c r="G153" s="174"/>
      <c r="H153" s="48">
        <f t="shared" si="12"/>
        <v>0</v>
      </c>
    </row>
    <row r="154" spans="2:8" ht="15.75" customHeight="1" thickBot="1">
      <c r="B154" s="196"/>
      <c r="C154" s="36" t="s">
        <v>122</v>
      </c>
      <c r="D154" s="200"/>
      <c r="E154" s="200"/>
      <c r="F154" s="200"/>
      <c r="G154" s="200"/>
      <c r="H154" s="48">
        <f t="shared" si="12"/>
        <v>0</v>
      </c>
    </row>
    <row r="155" spans="2:8" ht="15.75" customHeight="1" thickBot="1">
      <c r="B155" s="196"/>
      <c r="C155" s="37" t="s">
        <v>123</v>
      </c>
      <c r="D155" s="200"/>
      <c r="E155" s="200"/>
      <c r="F155" s="200"/>
      <c r="G155" s="200"/>
      <c r="H155" s="48">
        <f t="shared" si="12"/>
        <v>0</v>
      </c>
    </row>
    <row r="156" spans="2:8" ht="15.75" customHeight="1" thickBot="1">
      <c r="B156" s="196"/>
      <c r="C156" s="36" t="s">
        <v>124</v>
      </c>
      <c r="D156" s="200"/>
      <c r="E156" s="200"/>
      <c r="F156" s="200"/>
      <c r="G156" s="200"/>
      <c r="H156" s="48">
        <f>SUM(D156:G156)</f>
        <v>0</v>
      </c>
    </row>
    <row r="157" spans="2:8" ht="15.75" customHeight="1" thickBot="1">
      <c r="B157" s="196"/>
      <c r="C157" s="36" t="s">
        <v>125</v>
      </c>
      <c r="D157" s="200"/>
      <c r="E157" s="200"/>
      <c r="F157" s="200"/>
      <c r="G157" s="200"/>
      <c r="H157" s="48">
        <f t="shared" si="12"/>
        <v>0</v>
      </c>
    </row>
    <row r="158" spans="2:8" ht="15.75" customHeight="1" thickBot="1">
      <c r="B158" s="196"/>
      <c r="C158" s="36" t="s">
        <v>126</v>
      </c>
      <c r="D158" s="200"/>
      <c r="E158" s="200"/>
      <c r="F158" s="200"/>
      <c r="G158" s="200"/>
      <c r="H158" s="48">
        <f t="shared" si="12"/>
        <v>0</v>
      </c>
    </row>
    <row r="159" spans="2:8" ht="15.75" customHeight="1" thickBot="1">
      <c r="B159" s="196"/>
      <c r="C159" s="40" t="s">
        <v>127</v>
      </c>
      <c r="D159" s="49">
        <f>SUM(D152:D158)</f>
        <v>0</v>
      </c>
      <c r="E159" s="49">
        <f>SUM(E152:E158)</f>
        <v>0</v>
      </c>
      <c r="F159" s="49">
        <f>SUM(F152:F158)</f>
        <v>0</v>
      </c>
      <c r="G159" s="49">
        <f>SUM(G152:G158)</f>
        <v>0</v>
      </c>
      <c r="H159" s="48">
        <f t="shared" si="12"/>
        <v>0</v>
      </c>
    </row>
    <row r="160" spans="2:8" s="39" customFormat="1" ht="15.75" customHeight="1">
      <c r="B160" s="197"/>
      <c r="C160" s="50"/>
      <c r="D160" s="51"/>
      <c r="E160" s="51"/>
      <c r="F160" s="51"/>
      <c r="G160" s="51"/>
      <c r="H160" s="52"/>
    </row>
    <row r="161" spans="3:8" ht="15.75" customHeight="1">
      <c r="C161" s="254" t="s">
        <v>88</v>
      </c>
      <c r="D161" s="255"/>
      <c r="E161" s="255"/>
      <c r="F161" s="255"/>
      <c r="G161" s="255"/>
      <c r="H161" s="256"/>
    </row>
    <row r="162" spans="3:8" ht="21" customHeight="1" thickBot="1">
      <c r="C162" s="46" t="s">
        <v>147</v>
      </c>
      <c r="D162" s="47" t="e">
        <f>'1) Tableau budgétaire 1'!#REF!</f>
        <v>#REF!</v>
      </c>
      <c r="E162" s="47" t="e">
        <f>'1) Tableau budgétaire 1'!#REF!</f>
        <v>#REF!</v>
      </c>
      <c r="F162" s="47" t="e">
        <f>'1) Tableau budgétaire 1'!#REF!</f>
        <v>#REF!</v>
      </c>
      <c r="G162" s="47" t="e">
        <f>'1) Tableau budgétaire 1'!#REF!</f>
        <v>#REF!</v>
      </c>
      <c r="H162" s="48" t="e">
        <f>SUM(D162:G162)</f>
        <v>#REF!</v>
      </c>
    </row>
    <row r="163" spans="3:8" ht="15.75" customHeight="1" thickBot="1">
      <c r="C163" s="44" t="s">
        <v>120</v>
      </c>
      <c r="D163" s="198"/>
      <c r="E163" s="199"/>
      <c r="F163" s="199"/>
      <c r="G163" s="199"/>
      <c r="H163" s="48">
        <f t="shared" ref="H163:H170" si="13">SUM(D163:G163)</f>
        <v>0</v>
      </c>
    </row>
    <row r="164" spans="3:8" ht="15.75" customHeight="1" thickBot="1">
      <c r="C164" s="36" t="s">
        <v>121</v>
      </c>
      <c r="D164" s="200"/>
      <c r="E164" s="174"/>
      <c r="F164" s="174"/>
      <c r="G164" s="174"/>
      <c r="H164" s="48">
        <f t="shared" si="13"/>
        <v>0</v>
      </c>
    </row>
    <row r="165" spans="3:8" ht="15.75" customHeight="1" thickBot="1">
      <c r="C165" s="36" t="s">
        <v>122</v>
      </c>
      <c r="D165" s="200"/>
      <c r="E165" s="200"/>
      <c r="F165" s="200"/>
      <c r="G165" s="200"/>
      <c r="H165" s="48">
        <f t="shared" si="13"/>
        <v>0</v>
      </c>
    </row>
    <row r="166" spans="3:8" ht="15.75" customHeight="1" thickBot="1">
      <c r="C166" s="37" t="s">
        <v>123</v>
      </c>
      <c r="D166" s="200"/>
      <c r="E166" s="200"/>
      <c r="F166" s="200"/>
      <c r="G166" s="200"/>
      <c r="H166" s="48">
        <f t="shared" si="13"/>
        <v>0</v>
      </c>
    </row>
    <row r="167" spans="3:8" ht="15.75" customHeight="1" thickBot="1">
      <c r="C167" s="36" t="s">
        <v>124</v>
      </c>
      <c r="D167" s="200"/>
      <c r="E167" s="200"/>
      <c r="F167" s="200"/>
      <c r="G167" s="200"/>
      <c r="H167" s="48">
        <f t="shared" si="13"/>
        <v>0</v>
      </c>
    </row>
    <row r="168" spans="3:8" ht="15.75" customHeight="1" thickBot="1">
      <c r="C168" s="36" t="s">
        <v>125</v>
      </c>
      <c r="D168" s="200"/>
      <c r="E168" s="200"/>
      <c r="F168" s="200"/>
      <c r="G168" s="200"/>
      <c r="H168" s="48">
        <f t="shared" si="13"/>
        <v>0</v>
      </c>
    </row>
    <row r="169" spans="3:8" ht="15.75" customHeight="1" thickBot="1">
      <c r="C169" s="36" t="s">
        <v>126</v>
      </c>
      <c r="D169" s="200"/>
      <c r="E169" s="200"/>
      <c r="F169" s="200"/>
      <c r="G169" s="200"/>
      <c r="H169" s="48">
        <f t="shared" si="13"/>
        <v>0</v>
      </c>
    </row>
    <row r="170" spans="3:8" ht="15.75" customHeight="1" thickBot="1">
      <c r="C170" s="40" t="s">
        <v>127</v>
      </c>
      <c r="D170" s="49">
        <f>SUM(D163:D169)</f>
        <v>0</v>
      </c>
      <c r="E170" s="49">
        <f>SUM(E163:E169)</f>
        <v>0</v>
      </c>
      <c r="F170" s="49">
        <f>SUM(F163:F169)</f>
        <v>0</v>
      </c>
      <c r="G170" s="49">
        <f>SUM(G163:G169)</f>
        <v>0</v>
      </c>
      <c r="H170" s="48">
        <f t="shared" si="13"/>
        <v>0</v>
      </c>
    </row>
    <row r="171" spans="3:8" s="39" customFormat="1" ht="15.75" customHeight="1">
      <c r="C171" s="50"/>
      <c r="D171" s="51"/>
      <c r="E171" s="51"/>
      <c r="F171" s="51"/>
      <c r="G171" s="51"/>
      <c r="H171" s="52"/>
    </row>
    <row r="172" spans="3:8" ht="15.75" customHeight="1">
      <c r="C172" s="254" t="s">
        <v>89</v>
      </c>
      <c r="D172" s="255"/>
      <c r="E172" s="255"/>
      <c r="F172" s="255"/>
      <c r="G172" s="255"/>
      <c r="H172" s="256"/>
    </row>
    <row r="173" spans="3:8" ht="19.5" customHeight="1" thickBot="1">
      <c r="C173" s="46" t="s">
        <v>148</v>
      </c>
      <c r="D173" s="47" t="e">
        <f>'1) Tableau budgétaire 1'!#REF!</f>
        <v>#REF!</v>
      </c>
      <c r="E173" s="47" t="e">
        <f>'1) Tableau budgétaire 1'!#REF!</f>
        <v>#REF!</v>
      </c>
      <c r="F173" s="47" t="e">
        <f>'1) Tableau budgétaire 1'!#REF!</f>
        <v>#REF!</v>
      </c>
      <c r="G173" s="47" t="e">
        <f>'1) Tableau budgétaire 1'!#REF!</f>
        <v>#REF!</v>
      </c>
      <c r="H173" s="48" t="e">
        <f>SUM(D173:G173)</f>
        <v>#REF!</v>
      </c>
    </row>
    <row r="174" spans="3:8" ht="15.75" customHeight="1" thickBot="1">
      <c r="C174" s="44" t="s">
        <v>120</v>
      </c>
      <c r="D174" s="198"/>
      <c r="E174" s="199"/>
      <c r="F174" s="199"/>
      <c r="G174" s="199"/>
      <c r="H174" s="48">
        <f t="shared" ref="H174:H181" si="14">SUM(D174:G174)</f>
        <v>0</v>
      </c>
    </row>
    <row r="175" spans="3:8" ht="15.75" customHeight="1" thickBot="1">
      <c r="C175" s="36" t="s">
        <v>121</v>
      </c>
      <c r="D175" s="200"/>
      <c r="E175" s="174"/>
      <c r="F175" s="174"/>
      <c r="G175" s="174"/>
      <c r="H175" s="48">
        <f>SUM(D175:G175)</f>
        <v>0</v>
      </c>
    </row>
    <row r="176" spans="3:8" ht="15.75" customHeight="1" thickBot="1">
      <c r="C176" s="36" t="s">
        <v>122</v>
      </c>
      <c r="D176" s="200"/>
      <c r="E176" s="200"/>
      <c r="F176" s="200"/>
      <c r="G176" s="200"/>
      <c r="H176" s="48">
        <f t="shared" si="14"/>
        <v>0</v>
      </c>
    </row>
    <row r="177" spans="3:8" ht="15.75" customHeight="1" thickBot="1">
      <c r="C177" s="37" t="s">
        <v>123</v>
      </c>
      <c r="D177" s="200"/>
      <c r="E177" s="200"/>
      <c r="F177" s="200"/>
      <c r="G177" s="200"/>
      <c r="H177" s="48">
        <f t="shared" si="14"/>
        <v>0</v>
      </c>
    </row>
    <row r="178" spans="3:8" ht="15.75" customHeight="1" thickBot="1">
      <c r="C178" s="36" t="s">
        <v>124</v>
      </c>
      <c r="D178" s="200"/>
      <c r="E178" s="200"/>
      <c r="F178" s="200"/>
      <c r="G178" s="200"/>
      <c r="H178" s="48">
        <f t="shared" si="14"/>
        <v>0</v>
      </c>
    </row>
    <row r="179" spans="3:8" ht="15.75" customHeight="1" thickBot="1">
      <c r="C179" s="36" t="s">
        <v>125</v>
      </c>
      <c r="D179" s="200"/>
      <c r="E179" s="200"/>
      <c r="F179" s="200"/>
      <c r="G179" s="200"/>
      <c r="H179" s="48">
        <f t="shared" si="14"/>
        <v>0</v>
      </c>
    </row>
    <row r="180" spans="3:8" ht="15.75" customHeight="1" thickBot="1">
      <c r="C180" s="36" t="s">
        <v>126</v>
      </c>
      <c r="D180" s="200"/>
      <c r="E180" s="200"/>
      <c r="F180" s="200"/>
      <c r="G180" s="200"/>
      <c r="H180" s="48">
        <f t="shared" si="14"/>
        <v>0</v>
      </c>
    </row>
    <row r="181" spans="3:8" ht="15.75" customHeight="1" thickBot="1">
      <c r="C181" s="40" t="s">
        <v>127</v>
      </c>
      <c r="D181" s="49">
        <f>SUM(D174:D180)</f>
        <v>0</v>
      </c>
      <c r="E181" s="49">
        <f>SUM(E174:E180)</f>
        <v>0</v>
      </c>
      <c r="F181" s="49">
        <f>SUM(F174:F180)</f>
        <v>0</v>
      </c>
      <c r="G181" s="49">
        <f>SUM(G174:G180)</f>
        <v>0</v>
      </c>
      <c r="H181" s="48">
        <f t="shared" si="14"/>
        <v>0</v>
      </c>
    </row>
    <row r="182" spans="3:8" s="39" customFormat="1" ht="15.75" customHeight="1">
      <c r="C182" s="50"/>
      <c r="D182" s="51"/>
      <c r="E182" s="51"/>
      <c r="F182" s="51"/>
      <c r="G182" s="51"/>
      <c r="H182" s="52"/>
    </row>
    <row r="183" spans="3:8" ht="15.75" customHeight="1">
      <c r="C183" s="254" t="s">
        <v>90</v>
      </c>
      <c r="D183" s="255"/>
      <c r="E183" s="255"/>
      <c r="F183" s="255"/>
      <c r="G183" s="255"/>
      <c r="H183" s="256"/>
    </row>
    <row r="184" spans="3:8" ht="22.5" customHeight="1" thickBot="1">
      <c r="C184" s="46" t="s">
        <v>149</v>
      </c>
      <c r="D184" s="47" t="e">
        <f>'1) Tableau budgétaire 1'!#REF!</f>
        <v>#REF!</v>
      </c>
      <c r="E184" s="47" t="e">
        <f>'1) Tableau budgétaire 1'!#REF!</f>
        <v>#REF!</v>
      </c>
      <c r="F184" s="47" t="e">
        <f>'1) Tableau budgétaire 1'!#REF!</f>
        <v>#REF!</v>
      </c>
      <c r="G184" s="47" t="e">
        <f>'1) Tableau budgétaire 1'!#REF!</f>
        <v>#REF!</v>
      </c>
      <c r="H184" s="48" t="e">
        <f>SUM(D184:G184)</f>
        <v>#REF!</v>
      </c>
    </row>
    <row r="185" spans="3:8" ht="15.75" customHeight="1" thickBot="1">
      <c r="C185" s="44" t="s">
        <v>120</v>
      </c>
      <c r="D185" s="198"/>
      <c r="E185" s="199"/>
      <c r="F185" s="199"/>
      <c r="G185" s="199"/>
      <c r="H185" s="48">
        <f t="shared" ref="H185:H192" si="15">SUM(D185:G185)</f>
        <v>0</v>
      </c>
    </row>
    <row r="186" spans="3:8" ht="15.75" customHeight="1" thickBot="1">
      <c r="C186" s="36" t="s">
        <v>121</v>
      </c>
      <c r="D186" s="200"/>
      <c r="E186" s="174"/>
      <c r="F186" s="174"/>
      <c r="G186" s="174"/>
      <c r="H186" s="48">
        <f t="shared" si="15"/>
        <v>0</v>
      </c>
    </row>
    <row r="187" spans="3:8" ht="15.75" customHeight="1" thickBot="1">
      <c r="C187" s="36" t="s">
        <v>122</v>
      </c>
      <c r="D187" s="200"/>
      <c r="E187" s="200"/>
      <c r="F187" s="200"/>
      <c r="G187" s="200"/>
      <c r="H187" s="48">
        <f t="shared" si="15"/>
        <v>0</v>
      </c>
    </row>
    <row r="188" spans="3:8" ht="15.75" customHeight="1" thickBot="1">
      <c r="C188" s="37" t="s">
        <v>123</v>
      </c>
      <c r="D188" s="200"/>
      <c r="E188" s="200"/>
      <c r="F188" s="200"/>
      <c r="G188" s="200"/>
      <c r="H188" s="48">
        <f t="shared" si="15"/>
        <v>0</v>
      </c>
    </row>
    <row r="189" spans="3:8" ht="15.75" customHeight="1" thickBot="1">
      <c r="C189" s="36" t="s">
        <v>124</v>
      </c>
      <c r="D189" s="200"/>
      <c r="E189" s="200"/>
      <c r="F189" s="200"/>
      <c r="G189" s="200"/>
      <c r="H189" s="48">
        <f t="shared" si="15"/>
        <v>0</v>
      </c>
    </row>
    <row r="190" spans="3:8" ht="15.75" customHeight="1" thickBot="1">
      <c r="C190" s="36" t="s">
        <v>125</v>
      </c>
      <c r="D190" s="200"/>
      <c r="E190" s="200"/>
      <c r="F190" s="200"/>
      <c r="G190" s="200"/>
      <c r="H190" s="48">
        <f t="shared" si="15"/>
        <v>0</v>
      </c>
    </row>
    <row r="191" spans="3:8" ht="15.75" customHeight="1" thickBot="1">
      <c r="C191" s="36" t="s">
        <v>126</v>
      </c>
      <c r="D191" s="200"/>
      <c r="E191" s="200"/>
      <c r="F191" s="200"/>
      <c r="G191" s="200"/>
      <c r="H191" s="48">
        <f>SUM(D191:G191)</f>
        <v>0</v>
      </c>
    </row>
    <row r="192" spans="3:8" ht="15.75" customHeight="1" thickBot="1">
      <c r="C192" s="40" t="s">
        <v>127</v>
      </c>
      <c r="D192" s="49">
        <f>SUM(D185:D191)</f>
        <v>0</v>
      </c>
      <c r="E192" s="49">
        <f>SUM(E185:E191)</f>
        <v>0</v>
      </c>
      <c r="F192" s="49">
        <f>SUM(F185:F191)</f>
        <v>0</v>
      </c>
      <c r="G192" s="49">
        <f>SUM(G185:G191)</f>
        <v>0</v>
      </c>
      <c r="H192" s="48">
        <f t="shared" si="15"/>
        <v>0</v>
      </c>
    </row>
    <row r="193" spans="3:8" ht="15.75" customHeight="1">
      <c r="C193" s="196"/>
      <c r="D193" s="197"/>
      <c r="E193" s="197"/>
      <c r="F193" s="197"/>
      <c r="G193" s="197"/>
      <c r="H193" s="196"/>
    </row>
    <row r="194" spans="3:8" ht="15.75" customHeight="1">
      <c r="C194" s="254" t="s">
        <v>150</v>
      </c>
      <c r="D194" s="255"/>
      <c r="E194" s="255"/>
      <c r="F194" s="255"/>
      <c r="G194" s="255"/>
      <c r="H194" s="256"/>
    </row>
    <row r="195" spans="3:8" ht="36" customHeight="1" thickBot="1">
      <c r="C195" s="46" t="s">
        <v>151</v>
      </c>
      <c r="D195" s="47">
        <f>'1) Tableau budgétaire 1'!D63</f>
        <v>300000</v>
      </c>
      <c r="E195" s="47">
        <f>'1) Tableau budgétaire 1'!E63</f>
        <v>36017.660000000003</v>
      </c>
      <c r="F195" s="47">
        <f>'1) Tableau budgétaire 1'!F63</f>
        <v>293434.58</v>
      </c>
      <c r="G195" s="47">
        <f>'1) Tableau budgétaire 1'!G63</f>
        <v>0</v>
      </c>
      <c r="H195" s="48">
        <f>SUM(D195:G195)</f>
        <v>629452.24</v>
      </c>
    </row>
    <row r="196" spans="3:8" ht="15.75" customHeight="1" thickBot="1">
      <c r="C196" s="44" t="s">
        <v>120</v>
      </c>
      <c r="D196" s="198">
        <v>190000</v>
      </c>
      <c r="E196" s="199">
        <v>12000</v>
      </c>
      <c r="F196" s="199">
        <v>150000</v>
      </c>
      <c r="G196" s="199"/>
      <c r="H196" s="48">
        <f t="shared" ref="H196:H202" si="16">SUM(D196:G196)</f>
        <v>352000</v>
      </c>
    </row>
    <row r="197" spans="3:8" ht="15.75" customHeight="1" thickBot="1">
      <c r="C197" s="36" t="s">
        <v>121</v>
      </c>
      <c r="D197" s="200"/>
      <c r="E197" s="174"/>
      <c r="F197" s="174"/>
      <c r="G197" s="174"/>
      <c r="H197" s="48">
        <f t="shared" si="16"/>
        <v>0</v>
      </c>
    </row>
    <row r="198" spans="3:8" ht="15.75" customHeight="1" thickBot="1">
      <c r="C198" s="36" t="s">
        <v>122</v>
      </c>
      <c r="D198" s="200"/>
      <c r="E198" s="200"/>
      <c r="F198" s="200"/>
      <c r="G198" s="200"/>
      <c r="H198" s="48">
        <f>SUM(D198:G198)</f>
        <v>0</v>
      </c>
    </row>
    <row r="199" spans="3:8" ht="15.75" customHeight="1" thickBot="1">
      <c r="C199" s="37" t="s">
        <v>123</v>
      </c>
      <c r="D199" s="200">
        <v>35000</v>
      </c>
      <c r="E199" s="200"/>
      <c r="F199" s="200">
        <v>50000</v>
      </c>
      <c r="G199" s="200"/>
      <c r="H199" s="48">
        <f t="shared" si="16"/>
        <v>85000</v>
      </c>
    </row>
    <row r="200" spans="3:8" ht="15.75" customHeight="1" thickBot="1">
      <c r="C200" s="36" t="s">
        <v>124</v>
      </c>
      <c r="D200" s="200"/>
      <c r="E200" s="200">
        <v>12000</v>
      </c>
      <c r="F200" s="200"/>
      <c r="G200" s="200"/>
      <c r="H200" s="48">
        <f t="shared" si="16"/>
        <v>12000</v>
      </c>
    </row>
    <row r="201" spans="3:8" ht="15.75" customHeight="1" thickBot="1">
      <c r="C201" s="36" t="s">
        <v>125</v>
      </c>
      <c r="D201" s="200"/>
      <c r="E201" s="200">
        <v>7017.66</v>
      </c>
      <c r="F201" s="200"/>
      <c r="G201" s="200"/>
      <c r="H201" s="48">
        <f t="shared" si="16"/>
        <v>7017.66</v>
      </c>
    </row>
    <row r="202" spans="3:8" ht="15.75" customHeight="1" thickBot="1">
      <c r="C202" s="36" t="s">
        <v>126</v>
      </c>
      <c r="D202" s="200">
        <v>75000</v>
      </c>
      <c r="E202" s="200">
        <v>5000</v>
      </c>
      <c r="F202" s="200">
        <v>93434.58</v>
      </c>
      <c r="G202" s="200"/>
      <c r="H202" s="48">
        <f t="shared" si="16"/>
        <v>173434.58000000002</v>
      </c>
    </row>
    <row r="203" spans="3:8" ht="15.75" customHeight="1" thickBot="1">
      <c r="C203" s="40" t="s">
        <v>127</v>
      </c>
      <c r="D203" s="49">
        <f>SUM(D196:D202)</f>
        <v>300000</v>
      </c>
      <c r="E203" s="49">
        <f>SUM(E196:E202)</f>
        <v>36017.660000000003</v>
      </c>
      <c r="F203" s="49">
        <f>SUM(F196:F202)</f>
        <v>293434.58</v>
      </c>
      <c r="G203" s="49">
        <f>SUM(G196:G202)</f>
        <v>0</v>
      </c>
      <c r="H203" s="48">
        <f>SUM(D203:G203)</f>
        <v>629452.24</v>
      </c>
    </row>
    <row r="204" spans="3:8" ht="15.75" customHeight="1" thickBot="1">
      <c r="C204" s="196"/>
      <c r="D204" s="197"/>
      <c r="E204" s="197"/>
      <c r="F204" s="197"/>
      <c r="G204" s="197"/>
      <c r="H204" s="196"/>
    </row>
    <row r="205" spans="3:8" ht="19.5" customHeight="1" thickBot="1">
      <c r="C205" s="270" t="s">
        <v>96</v>
      </c>
      <c r="D205" s="271"/>
      <c r="E205" s="271"/>
      <c r="F205" s="271"/>
      <c r="G205" s="271"/>
      <c r="H205" s="272"/>
    </row>
    <row r="206" spans="3:8" ht="42.75" customHeight="1">
      <c r="C206" s="56"/>
      <c r="D206" s="9" t="s">
        <v>97</v>
      </c>
      <c r="E206" s="9" t="s">
        <v>98</v>
      </c>
      <c r="F206" s="9" t="s">
        <v>99</v>
      </c>
      <c r="G206" s="9" t="s">
        <v>100</v>
      </c>
      <c r="H206" s="263" t="s">
        <v>96</v>
      </c>
    </row>
    <row r="207" spans="3:8" ht="19.5" customHeight="1">
      <c r="C207" s="110"/>
      <c r="D207" s="140" t="str">
        <f>'1) Tableau budgétaire 1'!D13</f>
        <v>OIM Mauritanie</v>
      </c>
      <c r="E207" s="140" t="str">
        <f>'1) Tableau budgétaire 1'!E13</f>
        <v>FAO Mauritanie</v>
      </c>
      <c r="F207" s="140" t="str">
        <f>'1) Tableau budgétaire 1'!F13</f>
        <v>OIM Mali</v>
      </c>
      <c r="G207" s="9" t="str">
        <f>'1) Tableau budgétaire 1'!G13</f>
        <v>FAO Mali</v>
      </c>
      <c r="H207" s="251"/>
    </row>
    <row r="208" spans="3:8" ht="19.5" customHeight="1">
      <c r="C208" s="107" t="s">
        <v>120</v>
      </c>
      <c r="D208" s="205">
        <f t="shared" ref="D208:F209" si="17">SUM(D185,D174,D163,D152,D140,D129,D118,D107,D95,D84,D73,D62,D50,D39,D28,D17,D196)</f>
        <v>190000</v>
      </c>
      <c r="E208" s="205">
        <f t="shared" si="17"/>
        <v>96000</v>
      </c>
      <c r="F208" s="205">
        <f t="shared" si="17"/>
        <v>150000</v>
      </c>
      <c r="G208" s="159">
        <f t="shared" ref="G208:G214" si="18">SUM(G185,G174,G163,G152,G140,G129,G118,G107,G95,G84,G73,G62,G50,G39,G28,G17,G196)</f>
        <v>127911</v>
      </c>
      <c r="H208" s="55">
        <f t="shared" ref="H208:H215" si="19">SUM(D208:G208)</f>
        <v>563911</v>
      </c>
    </row>
    <row r="209" spans="3:15" ht="34.5" customHeight="1">
      <c r="C209" s="108" t="s">
        <v>121</v>
      </c>
      <c r="D209" s="205">
        <f t="shared" si="17"/>
        <v>158000</v>
      </c>
      <c r="E209" s="205">
        <f t="shared" si="17"/>
        <v>290230</v>
      </c>
      <c r="F209" s="205">
        <f t="shared" si="17"/>
        <v>45000</v>
      </c>
      <c r="G209" s="159">
        <f t="shared" si="18"/>
        <v>70264</v>
      </c>
      <c r="H209" s="55">
        <f t="shared" si="19"/>
        <v>563494</v>
      </c>
      <c r="I209" s="196"/>
      <c r="J209" s="196"/>
      <c r="K209" s="196"/>
      <c r="L209" s="196"/>
      <c r="M209" s="196"/>
      <c r="N209" s="196"/>
      <c r="O209" s="196"/>
    </row>
    <row r="210" spans="3:15" ht="48" customHeight="1">
      <c r="C210" s="108" t="s">
        <v>122</v>
      </c>
      <c r="D210" s="205">
        <f t="shared" ref="D210:F214" si="20">SUM(D187,D176,D165,D154,D142,D131,D120,D109,D97,D86,D75,D64,D52,D41,D30,D19,D198)</f>
        <v>100850.47</v>
      </c>
      <c r="E210" s="205">
        <f t="shared" si="20"/>
        <v>46000</v>
      </c>
      <c r="F210" s="205">
        <f t="shared" si="20"/>
        <v>20000</v>
      </c>
      <c r="G210" s="159">
        <f t="shared" si="18"/>
        <v>57950</v>
      </c>
      <c r="H210" s="55">
        <f t="shared" si="19"/>
        <v>224800.47</v>
      </c>
      <c r="I210" s="196"/>
      <c r="J210" s="196"/>
      <c r="K210" s="196"/>
      <c r="L210" s="196"/>
      <c r="M210" s="196"/>
      <c r="N210" s="196"/>
      <c r="O210" s="196"/>
    </row>
    <row r="211" spans="3:15" ht="33" customHeight="1">
      <c r="C211" s="109" t="s">
        <v>123</v>
      </c>
      <c r="D211" s="205">
        <f t="shared" si="20"/>
        <v>130000</v>
      </c>
      <c r="E211" s="205">
        <f t="shared" si="20"/>
        <v>0</v>
      </c>
      <c r="F211" s="205">
        <f t="shared" si="20"/>
        <v>255982</v>
      </c>
      <c r="G211" s="159">
        <f t="shared" si="18"/>
        <v>236800</v>
      </c>
      <c r="H211" s="55">
        <f t="shared" si="19"/>
        <v>622782</v>
      </c>
      <c r="I211" s="196"/>
      <c r="J211" s="196"/>
      <c r="K211" s="196"/>
      <c r="L211" s="196"/>
      <c r="M211" s="196"/>
      <c r="N211" s="196"/>
      <c r="O211" s="196"/>
    </row>
    <row r="212" spans="3:15" ht="21" customHeight="1">
      <c r="C212" s="108" t="s">
        <v>124</v>
      </c>
      <c r="D212" s="205">
        <f t="shared" si="20"/>
        <v>65000</v>
      </c>
      <c r="E212" s="205">
        <f t="shared" si="20"/>
        <v>36500</v>
      </c>
      <c r="F212" s="205">
        <f t="shared" si="20"/>
        <v>10000</v>
      </c>
      <c r="G212" s="159">
        <f t="shared" si="18"/>
        <v>25440</v>
      </c>
      <c r="H212" s="55">
        <f t="shared" si="19"/>
        <v>136940</v>
      </c>
      <c r="I212" s="146"/>
      <c r="J212" s="146"/>
      <c r="K212" s="146"/>
      <c r="L212" s="146"/>
      <c r="M212" s="146"/>
      <c r="N212" s="206"/>
      <c r="O212" s="196"/>
    </row>
    <row r="213" spans="3:15" ht="39.75" customHeight="1">
      <c r="C213" s="108" t="s">
        <v>125</v>
      </c>
      <c r="D213" s="205">
        <f t="shared" si="20"/>
        <v>0</v>
      </c>
      <c r="E213" s="205">
        <f t="shared" si="20"/>
        <v>40017.660000000003</v>
      </c>
      <c r="F213" s="205">
        <f t="shared" si="20"/>
        <v>126518</v>
      </c>
      <c r="G213" s="159">
        <f t="shared" si="18"/>
        <v>52400</v>
      </c>
      <c r="H213" s="55">
        <f t="shared" si="19"/>
        <v>218935.66</v>
      </c>
      <c r="I213" s="146"/>
      <c r="J213" s="146"/>
      <c r="K213" s="146"/>
      <c r="L213" s="146"/>
      <c r="M213" s="146"/>
      <c r="N213" s="206"/>
      <c r="O213" s="196"/>
    </row>
    <row r="214" spans="3:15" ht="39.75" customHeight="1">
      <c r="C214" s="108" t="s">
        <v>126</v>
      </c>
      <c r="D214" s="207">
        <f t="shared" si="20"/>
        <v>244000</v>
      </c>
      <c r="E214" s="207">
        <f t="shared" si="20"/>
        <v>52000</v>
      </c>
      <c r="F214" s="207">
        <f t="shared" si="20"/>
        <v>93434.58</v>
      </c>
      <c r="G214" s="159">
        <f t="shared" si="18"/>
        <v>83440.61</v>
      </c>
      <c r="H214" s="55">
        <f t="shared" si="19"/>
        <v>472875.19</v>
      </c>
      <c r="I214" s="146"/>
      <c r="J214" s="146"/>
      <c r="K214" s="146"/>
      <c r="L214" s="146"/>
      <c r="M214" s="146"/>
      <c r="N214" s="206"/>
      <c r="O214" s="196"/>
    </row>
    <row r="215" spans="3:15" ht="22.5" customHeight="1">
      <c r="C215" s="190" t="s">
        <v>101</v>
      </c>
      <c r="D215" s="208">
        <f>SUM(D208:D214)</f>
        <v>887850.47</v>
      </c>
      <c r="E215" s="208">
        <f>SUM(E208:E214)</f>
        <v>560747.66</v>
      </c>
      <c r="F215" s="208">
        <f>SUM(F208:F214)</f>
        <v>700934.58</v>
      </c>
      <c r="G215" s="159">
        <f>SUM(G208:G214)</f>
        <v>654205.61</v>
      </c>
      <c r="H215" s="209">
        <f t="shared" si="19"/>
        <v>2803738.32</v>
      </c>
      <c r="I215" s="146"/>
      <c r="J215" s="146"/>
      <c r="K215" s="146"/>
      <c r="L215" s="146"/>
      <c r="M215" s="146"/>
      <c r="N215" s="206"/>
      <c r="O215" s="196"/>
    </row>
    <row r="216" spans="3:15" ht="26.25" customHeight="1" thickBot="1">
      <c r="C216" s="190" t="s">
        <v>102</v>
      </c>
      <c r="D216" s="210">
        <f>D215*0.07</f>
        <v>62149.532900000006</v>
      </c>
      <c r="E216" s="210">
        <f>E215*0.07</f>
        <v>39252.336200000005</v>
      </c>
      <c r="F216" s="210">
        <f>F215*0.07</f>
        <v>49065.420600000005</v>
      </c>
      <c r="G216" s="160">
        <f>G215*0.07</f>
        <v>45794.392700000004</v>
      </c>
      <c r="H216" s="211">
        <f>H215*0.07</f>
        <v>196261.68240000002</v>
      </c>
      <c r="I216" s="19"/>
      <c r="J216" s="19"/>
      <c r="K216" s="19"/>
      <c r="L216" s="19"/>
      <c r="M216" s="212"/>
      <c r="N216" s="197"/>
      <c r="O216" s="196"/>
    </row>
    <row r="217" spans="3:15" ht="23.25" customHeight="1" thickBot="1">
      <c r="C217" s="96" t="s">
        <v>152</v>
      </c>
      <c r="D217" s="97">
        <f>SUM(D215:D216)</f>
        <v>950000.00289999996</v>
      </c>
      <c r="E217" s="97">
        <f>SUM(E215:E216)</f>
        <v>599999.99620000005</v>
      </c>
      <c r="F217" s="156">
        <f>SUM(F215:F216)</f>
        <v>750000.00059999991</v>
      </c>
      <c r="G217" s="158">
        <f>SUM(G215:G216)</f>
        <v>700000.00269999995</v>
      </c>
      <c r="H217" s="157">
        <f>SUM(H215:H216)</f>
        <v>3000000.0023999996</v>
      </c>
      <c r="I217" s="19"/>
      <c r="J217" s="19"/>
      <c r="K217" s="19"/>
      <c r="L217" s="19"/>
      <c r="M217" s="212"/>
      <c r="N217" s="197"/>
      <c r="O217" s="196"/>
    </row>
    <row r="218" spans="3:15" ht="15.75" customHeight="1">
      <c r="C218" s="196"/>
      <c r="D218" s="197"/>
      <c r="E218" s="197"/>
      <c r="F218" s="197"/>
      <c r="G218" s="197"/>
      <c r="H218" s="196"/>
      <c r="I218" s="196"/>
      <c r="J218" s="196"/>
      <c r="K218" s="196"/>
      <c r="L218" s="196"/>
      <c r="M218" s="41"/>
      <c r="N218" s="196"/>
      <c r="O218" s="196"/>
    </row>
    <row r="219" spans="3:15" ht="15.75" customHeight="1">
      <c r="C219" s="196"/>
      <c r="D219" s="197"/>
      <c r="E219" s="197"/>
      <c r="F219" s="197"/>
      <c r="G219" s="197"/>
      <c r="H219" s="196"/>
      <c r="I219" s="28"/>
      <c r="J219" s="28"/>
      <c r="K219" s="196"/>
      <c r="L219" s="196"/>
      <c r="M219" s="41"/>
      <c r="N219" s="196"/>
      <c r="O219" s="196"/>
    </row>
    <row r="220" spans="3:15" ht="15.75" customHeight="1">
      <c r="C220" s="196"/>
      <c r="D220" s="197"/>
      <c r="E220" s="197"/>
      <c r="F220" s="197"/>
      <c r="G220" s="197"/>
      <c r="H220" s="196"/>
      <c r="I220" s="28"/>
      <c r="J220" s="28"/>
      <c r="K220" s="196"/>
      <c r="L220" s="196"/>
      <c r="M220" s="196"/>
      <c r="N220" s="196"/>
      <c r="O220" s="196"/>
    </row>
    <row r="221" spans="3:15" ht="40.5" customHeight="1">
      <c r="C221" s="196"/>
      <c r="D221" s="197"/>
      <c r="E221" s="197"/>
      <c r="F221" s="197"/>
      <c r="G221" s="197"/>
      <c r="H221" s="196"/>
      <c r="I221" s="28"/>
      <c r="J221" s="28"/>
      <c r="K221" s="196"/>
      <c r="L221" s="196"/>
      <c r="M221" s="42"/>
      <c r="N221" s="196"/>
      <c r="O221" s="196"/>
    </row>
    <row r="222" spans="3:15" ht="24.75" customHeight="1">
      <c r="C222" s="196"/>
      <c r="D222" s="197"/>
      <c r="E222" s="197"/>
      <c r="F222" s="197"/>
      <c r="G222" s="197"/>
      <c r="H222" s="196"/>
      <c r="I222" s="28"/>
      <c r="J222" s="28"/>
      <c r="K222" s="196"/>
      <c r="L222" s="196"/>
      <c r="M222" s="42"/>
      <c r="N222" s="196"/>
      <c r="O222" s="196"/>
    </row>
    <row r="223" spans="3:15" ht="41.25" customHeight="1">
      <c r="C223" s="196"/>
      <c r="D223" s="197"/>
      <c r="E223" s="197"/>
      <c r="F223" s="197"/>
      <c r="G223" s="197"/>
      <c r="H223" s="196"/>
      <c r="I223" s="213"/>
      <c r="J223" s="28"/>
      <c r="K223" s="196"/>
      <c r="L223" s="196"/>
      <c r="M223" s="42"/>
      <c r="N223" s="196"/>
      <c r="O223" s="196"/>
    </row>
    <row r="224" spans="3:15" ht="51.75" customHeight="1">
      <c r="C224" s="196"/>
      <c r="D224" s="197"/>
      <c r="E224" s="197"/>
      <c r="F224" s="197"/>
      <c r="G224" s="197"/>
      <c r="H224" s="196"/>
      <c r="I224" s="213"/>
      <c r="J224" s="28"/>
      <c r="K224" s="196"/>
      <c r="L224" s="196"/>
      <c r="M224" s="42"/>
      <c r="N224" s="196"/>
      <c r="O224" s="196"/>
    </row>
    <row r="225" spans="3:15" ht="42" customHeight="1">
      <c r="C225" s="196"/>
      <c r="D225" s="197"/>
      <c r="E225" s="197"/>
      <c r="F225" s="197"/>
      <c r="G225" s="197"/>
      <c r="H225" s="196"/>
      <c r="I225" s="28"/>
      <c r="J225" s="28"/>
      <c r="K225" s="196"/>
      <c r="L225" s="196"/>
      <c r="M225" s="42"/>
      <c r="N225" s="196"/>
      <c r="O225" s="196"/>
    </row>
    <row r="226" spans="3:15" s="39" customFormat="1" ht="42" customHeight="1">
      <c r="C226" s="196"/>
      <c r="D226" s="197"/>
      <c r="E226" s="197"/>
      <c r="F226" s="197"/>
      <c r="G226" s="197"/>
      <c r="H226" s="196"/>
      <c r="I226" s="196"/>
      <c r="J226" s="28"/>
      <c r="K226" s="196"/>
      <c r="L226" s="196"/>
      <c r="M226" s="42"/>
      <c r="N226" s="196"/>
      <c r="O226" s="197"/>
    </row>
    <row r="227" spans="3:15" s="39" customFormat="1" ht="42" customHeight="1">
      <c r="C227" s="196"/>
      <c r="D227" s="197"/>
      <c r="E227" s="197"/>
      <c r="F227" s="197"/>
      <c r="G227" s="197"/>
      <c r="H227" s="196"/>
      <c r="I227" s="196"/>
      <c r="J227" s="28"/>
      <c r="K227" s="196"/>
      <c r="L227" s="196"/>
      <c r="M227" s="196"/>
      <c r="N227" s="196"/>
      <c r="O227" s="197"/>
    </row>
    <row r="228" spans="3:15" s="39" customFormat="1" ht="63.75" customHeight="1">
      <c r="C228" s="196"/>
      <c r="D228" s="197"/>
      <c r="E228" s="197"/>
      <c r="F228" s="197"/>
      <c r="G228" s="197"/>
      <c r="H228" s="196"/>
      <c r="I228" s="196"/>
      <c r="J228" s="41"/>
      <c r="K228" s="196"/>
      <c r="L228" s="196"/>
      <c r="M228" s="196"/>
      <c r="N228" s="196"/>
      <c r="O228" s="197"/>
    </row>
    <row r="229" spans="3:15" s="39" customFormat="1" ht="42" customHeight="1">
      <c r="C229" s="196"/>
      <c r="D229" s="197"/>
      <c r="E229" s="197"/>
      <c r="F229" s="197"/>
      <c r="G229" s="197"/>
      <c r="H229" s="196"/>
      <c r="I229" s="196"/>
      <c r="J229" s="196"/>
      <c r="K229" s="196"/>
      <c r="L229" s="196"/>
      <c r="M229" s="196"/>
      <c r="N229" s="41"/>
      <c r="O229" s="197"/>
    </row>
    <row r="230" spans="3:15" ht="23.25" customHeight="1">
      <c r="C230" s="196"/>
      <c r="D230" s="197"/>
      <c r="E230" s="197"/>
      <c r="F230" s="197"/>
      <c r="G230" s="197"/>
      <c r="H230" s="196"/>
      <c r="I230" s="196"/>
      <c r="J230" s="196"/>
      <c r="K230" s="196"/>
      <c r="L230" s="196"/>
      <c r="M230" s="196"/>
      <c r="N230" s="196"/>
      <c r="O230" s="196"/>
    </row>
    <row r="231" spans="3:15" ht="27.75" customHeight="1">
      <c r="C231" s="196"/>
      <c r="D231" s="197"/>
      <c r="E231" s="197"/>
      <c r="F231" s="197"/>
      <c r="G231" s="197"/>
      <c r="H231" s="196"/>
      <c r="I231" s="196"/>
      <c r="J231" s="196"/>
      <c r="K231" s="196"/>
      <c r="L231" s="196"/>
      <c r="M231" s="196"/>
      <c r="N231" s="196"/>
      <c r="O231" s="196"/>
    </row>
    <row r="232" spans="3:15" ht="55.5" customHeight="1">
      <c r="C232" s="196"/>
      <c r="D232" s="197"/>
      <c r="E232" s="197"/>
      <c r="F232" s="197"/>
      <c r="G232" s="197"/>
      <c r="H232" s="196"/>
      <c r="I232" s="196"/>
      <c r="J232" s="196"/>
      <c r="K232" s="196"/>
      <c r="L232" s="196"/>
      <c r="M232" s="196"/>
      <c r="N232" s="196"/>
      <c r="O232" s="196"/>
    </row>
    <row r="233" spans="3:15" ht="57.75" customHeight="1">
      <c r="C233" s="196"/>
      <c r="D233" s="197"/>
      <c r="E233" s="197"/>
      <c r="F233" s="197"/>
      <c r="G233" s="197"/>
      <c r="H233" s="196"/>
      <c r="I233" s="196"/>
      <c r="J233" s="196"/>
      <c r="K233" s="196"/>
      <c r="L233" s="196"/>
      <c r="M233" s="196"/>
      <c r="N233" s="196"/>
      <c r="O233" s="196"/>
    </row>
    <row r="234" spans="3:15" ht="21.75" customHeight="1">
      <c r="C234" s="196"/>
      <c r="D234" s="197"/>
      <c r="E234" s="197"/>
      <c r="F234" s="197"/>
      <c r="G234" s="197"/>
      <c r="H234" s="196"/>
      <c r="I234" s="196"/>
      <c r="J234" s="196"/>
      <c r="K234" s="196"/>
      <c r="L234" s="196"/>
      <c r="M234" s="196"/>
      <c r="N234" s="196"/>
      <c r="O234" s="196"/>
    </row>
    <row r="235" spans="3:15" ht="49.5" customHeight="1">
      <c r="C235" s="196"/>
      <c r="D235" s="197"/>
      <c r="E235" s="197"/>
      <c r="F235" s="197"/>
      <c r="G235" s="197"/>
      <c r="H235" s="196"/>
      <c r="I235" s="196"/>
      <c r="J235" s="196"/>
      <c r="K235" s="196"/>
      <c r="L235" s="196"/>
      <c r="M235" s="196"/>
      <c r="N235" s="196"/>
      <c r="O235" s="196"/>
    </row>
    <row r="236" spans="3:15" ht="28.5" customHeight="1">
      <c r="C236" s="196"/>
      <c r="D236" s="197"/>
      <c r="E236" s="197"/>
      <c r="F236" s="197"/>
      <c r="G236" s="197"/>
      <c r="H236" s="196"/>
      <c r="I236" s="196"/>
      <c r="J236" s="196"/>
      <c r="K236" s="196"/>
      <c r="L236" s="196"/>
      <c r="M236" s="196"/>
      <c r="N236" s="196"/>
      <c r="O236" s="196"/>
    </row>
    <row r="237" spans="3:15" ht="28.5" customHeight="1">
      <c r="C237" s="196"/>
      <c r="D237" s="197"/>
      <c r="E237" s="197"/>
      <c r="F237" s="197"/>
      <c r="G237" s="197"/>
      <c r="H237" s="196"/>
      <c r="I237" s="196"/>
      <c r="J237" s="196"/>
      <c r="K237" s="196"/>
      <c r="L237" s="196"/>
      <c r="M237" s="196"/>
      <c r="N237" s="196"/>
      <c r="O237" s="196"/>
    </row>
    <row r="238" spans="3:15" ht="28.5" customHeight="1">
      <c r="C238" s="196"/>
      <c r="D238" s="197"/>
      <c r="E238" s="197"/>
      <c r="F238" s="197"/>
      <c r="G238" s="197"/>
      <c r="H238" s="196"/>
      <c r="I238" s="196"/>
      <c r="J238" s="196"/>
      <c r="K238" s="196"/>
      <c r="L238" s="196"/>
      <c r="M238" s="196"/>
      <c r="N238" s="196"/>
      <c r="O238" s="196"/>
    </row>
    <row r="239" spans="3:15" ht="23.25" customHeight="1">
      <c r="C239" s="196"/>
      <c r="D239" s="197"/>
      <c r="E239" s="197"/>
      <c r="F239" s="197"/>
      <c r="G239" s="197"/>
      <c r="H239" s="196"/>
      <c r="I239" s="196"/>
      <c r="J239" s="196"/>
      <c r="K239" s="196"/>
      <c r="L239" s="196"/>
      <c r="M239" s="196"/>
      <c r="N239" s="196"/>
      <c r="O239" s="41"/>
    </row>
    <row r="240" spans="3:15" ht="43.5" customHeight="1">
      <c r="C240" s="196"/>
      <c r="D240" s="197"/>
      <c r="E240" s="197"/>
      <c r="F240" s="197"/>
      <c r="G240" s="197"/>
      <c r="H240" s="196"/>
      <c r="I240" s="196"/>
      <c r="J240" s="196"/>
      <c r="K240" s="196"/>
      <c r="L240" s="196"/>
      <c r="M240" s="196"/>
      <c r="N240" s="196"/>
      <c r="O240" s="41"/>
    </row>
    <row r="241" spans="3:15" ht="55.5" customHeight="1">
      <c r="C241" s="196"/>
      <c r="D241" s="197"/>
      <c r="E241" s="197"/>
      <c r="F241" s="197"/>
      <c r="G241" s="197"/>
      <c r="H241" s="196"/>
      <c r="I241" s="196"/>
      <c r="J241" s="196"/>
      <c r="K241" s="196"/>
      <c r="L241" s="196"/>
      <c r="M241" s="196"/>
      <c r="N241" s="196"/>
      <c r="O241" s="196"/>
    </row>
    <row r="242" spans="3:15" ht="42.75" customHeight="1">
      <c r="C242" s="196"/>
      <c r="D242" s="197"/>
      <c r="E242" s="197"/>
      <c r="F242" s="197"/>
      <c r="G242" s="197"/>
      <c r="H242" s="196"/>
      <c r="I242" s="196"/>
      <c r="J242" s="196"/>
      <c r="K242" s="196"/>
      <c r="L242" s="196"/>
      <c r="M242" s="196"/>
      <c r="N242" s="196"/>
      <c r="O242" s="41"/>
    </row>
    <row r="243" spans="3:15" ht="21.75" customHeight="1">
      <c r="C243" s="196"/>
      <c r="D243" s="197"/>
      <c r="E243" s="197"/>
      <c r="F243" s="197"/>
      <c r="G243" s="197"/>
      <c r="H243" s="196"/>
      <c r="I243" s="196"/>
      <c r="J243" s="196"/>
      <c r="K243" s="196"/>
      <c r="L243" s="196"/>
      <c r="M243" s="196"/>
      <c r="N243" s="196"/>
      <c r="O243" s="41"/>
    </row>
    <row r="244" spans="3:15" ht="21.75" customHeight="1">
      <c r="C244" s="196"/>
      <c r="D244" s="197"/>
      <c r="E244" s="197"/>
      <c r="F244" s="197"/>
      <c r="G244" s="197"/>
      <c r="H244" s="196"/>
      <c r="I244" s="196"/>
      <c r="J244" s="196"/>
      <c r="K244" s="196"/>
      <c r="L244" s="196"/>
      <c r="M244" s="196"/>
      <c r="N244" s="196"/>
      <c r="O244" s="41"/>
    </row>
    <row r="245" spans="3:15" ht="23.25" customHeight="1">
      <c r="C245" s="196"/>
      <c r="D245" s="197"/>
      <c r="E245" s="197"/>
      <c r="F245" s="197"/>
      <c r="G245" s="197"/>
      <c r="H245" s="196"/>
      <c r="I245" s="196"/>
      <c r="J245" s="196"/>
      <c r="K245" s="196"/>
      <c r="L245" s="196"/>
      <c r="M245" s="196"/>
      <c r="N245" s="196"/>
      <c r="O245" s="196"/>
    </row>
    <row r="246" spans="3:15" ht="23.25" customHeight="1">
      <c r="C246" s="196"/>
      <c r="D246" s="197"/>
      <c r="E246" s="197"/>
      <c r="F246" s="197"/>
      <c r="G246" s="197"/>
      <c r="H246" s="196"/>
      <c r="I246" s="196"/>
      <c r="J246" s="196"/>
      <c r="K246" s="196"/>
      <c r="L246" s="196"/>
      <c r="M246" s="196"/>
      <c r="N246" s="196"/>
      <c r="O246" s="196"/>
    </row>
    <row r="247" spans="3:15" ht="21.75" customHeight="1">
      <c r="C247" s="196"/>
      <c r="D247" s="197"/>
      <c r="E247" s="197"/>
      <c r="F247" s="197"/>
      <c r="G247" s="197"/>
      <c r="H247" s="196"/>
      <c r="I247" s="196"/>
      <c r="J247" s="196"/>
      <c r="K247" s="196"/>
      <c r="L247" s="196"/>
      <c r="M247" s="196"/>
      <c r="N247" s="196"/>
      <c r="O247" s="196"/>
    </row>
    <row r="248" spans="3:15" ht="16.5" customHeight="1">
      <c r="C248" s="196"/>
      <c r="D248" s="197"/>
      <c r="E248" s="197"/>
      <c r="F248" s="197"/>
      <c r="G248" s="197"/>
      <c r="H248" s="196"/>
      <c r="I248" s="196"/>
      <c r="J248" s="196"/>
      <c r="K248" s="196"/>
      <c r="L248" s="196"/>
      <c r="M248" s="196"/>
      <c r="N248" s="196"/>
      <c r="O248" s="196"/>
    </row>
    <row r="249" spans="3:15" ht="29.25" customHeight="1">
      <c r="C249" s="196"/>
      <c r="D249" s="197"/>
      <c r="E249" s="197"/>
      <c r="F249" s="197"/>
      <c r="G249" s="197"/>
      <c r="H249" s="196"/>
      <c r="I249" s="196"/>
      <c r="J249" s="196"/>
      <c r="K249" s="196"/>
      <c r="L249" s="196"/>
      <c r="M249" s="196"/>
      <c r="N249" s="196"/>
      <c r="O249" s="196"/>
    </row>
    <row r="250" spans="3:15" ht="24.75" customHeight="1">
      <c r="C250" s="196"/>
      <c r="D250" s="197"/>
      <c r="E250" s="197"/>
      <c r="F250" s="197"/>
      <c r="G250" s="197"/>
      <c r="H250" s="196"/>
      <c r="I250" s="196"/>
      <c r="J250" s="196"/>
      <c r="K250" s="196"/>
      <c r="L250" s="196"/>
      <c r="M250" s="196"/>
      <c r="N250" s="196"/>
      <c r="O250" s="196"/>
    </row>
    <row r="251" spans="3:15" ht="33" customHeight="1">
      <c r="C251" s="196"/>
      <c r="D251" s="197"/>
      <c r="E251" s="197"/>
      <c r="F251" s="197"/>
      <c r="G251" s="197"/>
      <c r="H251" s="196"/>
      <c r="I251" s="196"/>
      <c r="J251" s="196"/>
      <c r="K251" s="196"/>
      <c r="L251" s="196"/>
      <c r="M251" s="196"/>
      <c r="N251" s="196"/>
      <c r="O251" s="196"/>
    </row>
    <row r="253" spans="3:15" ht="15" customHeight="1">
      <c r="C253" s="196"/>
      <c r="D253" s="197"/>
      <c r="E253" s="197"/>
      <c r="F253" s="197"/>
      <c r="G253" s="197"/>
      <c r="H253" s="196"/>
      <c r="I253" s="196"/>
      <c r="J253" s="196"/>
      <c r="K253" s="196"/>
      <c r="L253" s="196"/>
      <c r="M253" s="196"/>
      <c r="N253" s="196"/>
      <c r="O253" s="196"/>
    </row>
    <row r="254" spans="3:15" ht="25.5" customHeight="1">
      <c r="C254" s="196"/>
      <c r="D254" s="197"/>
      <c r="E254" s="197"/>
      <c r="F254" s="197"/>
      <c r="G254" s="197"/>
      <c r="H254" s="196"/>
      <c r="I254" s="196"/>
      <c r="J254" s="196"/>
      <c r="K254" s="196"/>
      <c r="L254" s="196"/>
      <c r="M254" s="196"/>
      <c r="N254" s="196"/>
      <c r="O254" s="196"/>
    </row>
  </sheetData>
  <sheetProtection sheet="1" insertColumns="0" insertRows="0" deleteRows="0"/>
  <mergeCells count="2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 ref="C93:H93"/>
    <mergeCell ref="B104:H104"/>
    <mergeCell ref="C2:F2"/>
    <mergeCell ref="C10:F10"/>
    <mergeCell ref="B14:H14"/>
    <mergeCell ref="C15:H15"/>
    <mergeCell ref="B59:H59"/>
    <mergeCell ref="H12:H13"/>
    <mergeCell ref="C5:H5"/>
    <mergeCell ref="C26:H26"/>
    <mergeCell ref="C37:H37"/>
    <mergeCell ref="C48:H48"/>
  </mergeCells>
  <phoneticPr fontId="22" type="noConversion"/>
  <conditionalFormatting sqref="H24">
    <cfRule type="cellIs" dxfId="22" priority="18" operator="notEqual">
      <formula>$H$16</formula>
    </cfRule>
  </conditionalFormatting>
  <conditionalFormatting sqref="H35">
    <cfRule type="cellIs" dxfId="21" priority="17" operator="notEqual">
      <formula>$H$27</formula>
    </cfRule>
  </conditionalFormatting>
  <conditionalFormatting sqref="H46">
    <cfRule type="cellIs" dxfId="20" priority="16" operator="notEqual">
      <formula>$H$38</formula>
    </cfRule>
  </conditionalFormatting>
  <conditionalFormatting sqref="H57">
    <cfRule type="cellIs" dxfId="19" priority="15" operator="notEqual">
      <formula>$H$49</formula>
    </cfRule>
  </conditionalFormatting>
  <conditionalFormatting sqref="H69">
    <cfRule type="cellIs" dxfId="18" priority="14" operator="notEqual">
      <formula>$H$61</formula>
    </cfRule>
  </conditionalFormatting>
  <conditionalFormatting sqref="H80">
    <cfRule type="cellIs" dxfId="17" priority="13" operator="notEqual">
      <formula>$H$72</formula>
    </cfRule>
  </conditionalFormatting>
  <conditionalFormatting sqref="H91">
    <cfRule type="cellIs" dxfId="16" priority="12" operator="notEqual">
      <formula>$H$83</formula>
    </cfRule>
  </conditionalFormatting>
  <conditionalFormatting sqref="H102">
    <cfRule type="cellIs" dxfId="15" priority="11" operator="notEqual">
      <formula>$H$94</formula>
    </cfRule>
  </conditionalFormatting>
  <conditionalFormatting sqref="H114">
    <cfRule type="cellIs" dxfId="14" priority="10" operator="notEqual">
      <formula>$H$106</formula>
    </cfRule>
  </conditionalFormatting>
  <conditionalFormatting sqref="H125">
    <cfRule type="cellIs" dxfId="13" priority="9" operator="notEqual">
      <formula>$H$117</formula>
    </cfRule>
  </conditionalFormatting>
  <conditionalFormatting sqref="H136">
    <cfRule type="cellIs" dxfId="12" priority="8" operator="notEqual">
      <formula>$H$128</formula>
    </cfRule>
  </conditionalFormatting>
  <conditionalFormatting sqref="H147">
    <cfRule type="cellIs" dxfId="11" priority="7" operator="notEqual">
      <formula>$H$139</formula>
    </cfRule>
  </conditionalFormatting>
  <conditionalFormatting sqref="H159">
    <cfRule type="cellIs" dxfId="10" priority="6" operator="notEqual">
      <formula>$H$151</formula>
    </cfRule>
  </conditionalFormatting>
  <conditionalFormatting sqref="H170">
    <cfRule type="cellIs" dxfId="9" priority="5" operator="notEqual">
      <formula>$H$162</formula>
    </cfRule>
  </conditionalFormatting>
  <conditionalFormatting sqref="H181">
    <cfRule type="cellIs" dxfId="8" priority="4" operator="notEqual">
      <formula>$H$173</formula>
    </cfRule>
  </conditionalFormatting>
  <conditionalFormatting sqref="H192">
    <cfRule type="cellIs" dxfId="7" priority="3" operator="notEqual">
      <formula>$H$184</formula>
    </cfRule>
  </conditionalFormatting>
  <conditionalFormatting sqref="H203">
    <cfRule type="cellIs" dxfId="6"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1'!$H$76</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B14"/>
  <sheetViews>
    <sheetView showGridLines="0" topLeftCell="A7" workbookViewId="0">
      <selection activeCell="E4" sqref="E4"/>
    </sheetView>
  </sheetViews>
  <sheetFormatPr defaultColWidth="8.85546875" defaultRowHeight="15"/>
  <cols>
    <col min="2" max="2" width="73.140625" customWidth="1"/>
  </cols>
  <sheetData>
    <row r="1" spans="2:2" ht="15.75" thickBot="1"/>
    <row r="2" spans="2:2" ht="15.75" thickBot="1">
      <c r="B2" s="114" t="s">
        <v>153</v>
      </c>
    </row>
    <row r="3" spans="2:2" ht="70.5" customHeight="1">
      <c r="B3" s="115" t="s">
        <v>154</v>
      </c>
    </row>
    <row r="4" spans="2:2" ht="60">
      <c r="B4" s="112" t="s">
        <v>155</v>
      </c>
    </row>
    <row r="5" spans="2:2">
      <c r="B5" s="112"/>
    </row>
    <row r="6" spans="2:2" ht="75">
      <c r="B6" s="111" t="s">
        <v>156</v>
      </c>
    </row>
    <row r="7" spans="2:2">
      <c r="B7" s="112"/>
    </row>
    <row r="8" spans="2:2" ht="75">
      <c r="B8" s="111" t="s">
        <v>157</v>
      </c>
    </row>
    <row r="9" spans="2:2">
      <c r="B9" s="112"/>
    </row>
    <row r="10" spans="2:2" ht="30">
      <c r="B10" s="112" t="s">
        <v>158</v>
      </c>
    </row>
    <row r="11" spans="2:2">
      <c r="B11" s="112"/>
    </row>
    <row r="12" spans="2:2" ht="75">
      <c r="B12" s="111" t="s">
        <v>159</v>
      </c>
    </row>
    <row r="13" spans="2:2">
      <c r="B13" s="112"/>
    </row>
    <row r="14" spans="2:2" ht="60.75" thickBot="1">
      <c r="B14" s="113" t="s">
        <v>160</v>
      </c>
    </row>
  </sheetData>
  <sheetProtection sheet="1" objects="1" scenarios="1"/>
  <phoneticPr fontId="22"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10" zoomScale="80" zoomScaleNormal="80" zoomScaleSheetLayoutView="70" workbookViewId="0">
      <selection activeCell="G11" sqref="G11"/>
    </sheetView>
  </sheetViews>
  <sheetFormatPr defaultColWidth="8.85546875" defaultRowHeight="15"/>
  <cols>
    <col min="2" max="2" width="61.85546875" customWidth="1"/>
    <col min="4" max="4" width="17.85546875" customWidth="1"/>
  </cols>
  <sheetData>
    <row r="1" spans="2:4" ht="15.75" thickBot="1"/>
    <row r="2" spans="2:4">
      <c r="B2" s="286" t="s">
        <v>161</v>
      </c>
      <c r="C2" s="287"/>
      <c r="D2" s="288"/>
    </row>
    <row r="3" spans="2:4" ht="15.75" thickBot="1">
      <c r="B3" s="289"/>
      <c r="C3" s="290"/>
      <c r="D3" s="291"/>
    </row>
    <row r="4" spans="2:4" ht="15.75" thickBot="1"/>
    <row r="5" spans="2:4">
      <c r="B5" s="277" t="s">
        <v>162</v>
      </c>
      <c r="C5" s="278"/>
      <c r="D5" s="279"/>
    </row>
    <row r="6" spans="2:4" ht="15.75" thickBot="1">
      <c r="B6" s="280"/>
      <c r="C6" s="281"/>
      <c r="D6" s="282"/>
    </row>
    <row r="7" spans="2:4">
      <c r="B7" s="63" t="s">
        <v>163</v>
      </c>
      <c r="C7" s="275" t="e">
        <f>SUM('1) Tableau budgétaire 1'!D20:F20,'1) Tableau budgétaire 1'!D25:F25,'1) Tableau budgétaire 1'!D30:F30,'1) Tableau budgétaire 1'!#REF!)</f>
        <v>#REF!</v>
      </c>
      <c r="D7" s="276"/>
    </row>
    <row r="8" spans="2:4">
      <c r="B8" s="63" t="s">
        <v>164</v>
      </c>
      <c r="C8" s="273" t="e">
        <f>SUM(D10:D14)</f>
        <v>#REF!</v>
      </c>
      <c r="D8" s="274"/>
    </row>
    <row r="9" spans="2:4">
      <c r="B9" s="64" t="s">
        <v>165</v>
      </c>
      <c r="C9" s="65" t="s">
        <v>166</v>
      </c>
      <c r="D9" s="66" t="s">
        <v>167</v>
      </c>
    </row>
    <row r="10" spans="2:4" ht="35.1" customHeight="1">
      <c r="B10" s="85"/>
      <c r="C10" s="68"/>
      <c r="D10" s="69" t="e">
        <f>$C$7*C10</f>
        <v>#REF!</v>
      </c>
    </row>
    <row r="11" spans="2:4" ht="35.1" customHeight="1">
      <c r="B11" s="85"/>
      <c r="C11" s="68"/>
      <c r="D11" s="69" t="e">
        <f>C7*C11</f>
        <v>#REF!</v>
      </c>
    </row>
    <row r="12" spans="2:4" ht="35.1" customHeight="1">
      <c r="B12" s="86"/>
      <c r="C12" s="68"/>
      <c r="D12" s="69" t="e">
        <f>C7*C12</f>
        <v>#REF!</v>
      </c>
    </row>
    <row r="13" spans="2:4" ht="35.1" customHeight="1">
      <c r="B13" s="86"/>
      <c r="C13" s="68"/>
      <c r="D13" s="69" t="e">
        <f>C7*C13</f>
        <v>#REF!</v>
      </c>
    </row>
    <row r="14" spans="2:4" ht="35.1" customHeight="1" thickBot="1">
      <c r="B14" s="87"/>
      <c r="C14" s="68"/>
      <c r="D14" s="73" t="e">
        <f>C7*C14</f>
        <v>#REF!</v>
      </c>
    </row>
    <row r="15" spans="2:4" ht="15.75" thickBot="1"/>
    <row r="16" spans="2:4">
      <c r="B16" s="277" t="s">
        <v>168</v>
      </c>
      <c r="C16" s="278"/>
      <c r="D16" s="279"/>
    </row>
    <row r="17" spans="2:4" ht="15.75" thickBot="1">
      <c r="B17" s="283"/>
      <c r="C17" s="284"/>
      <c r="D17" s="285"/>
    </row>
    <row r="18" spans="2:4">
      <c r="B18" s="63" t="s">
        <v>163</v>
      </c>
      <c r="C18" s="275">
        <f>SUM('1) Tableau budgétaire 1'!D35:F35,'1) Tableau budgétaire 1'!D45:F45,'1) Tableau budgétaire 1'!D50:F50,'1) Tableau budgétaire 1'!D55:F55)</f>
        <v>792712</v>
      </c>
      <c r="D18" s="276"/>
    </row>
    <row r="19" spans="2:4">
      <c r="B19" s="63" t="s">
        <v>164</v>
      </c>
      <c r="C19" s="273">
        <f>SUM(D21:D25)</f>
        <v>0</v>
      </c>
      <c r="D19" s="274"/>
    </row>
    <row r="20" spans="2:4">
      <c r="B20" s="64" t="s">
        <v>165</v>
      </c>
      <c r="C20" s="65" t="s">
        <v>166</v>
      </c>
      <c r="D20" s="66" t="s">
        <v>167</v>
      </c>
    </row>
    <row r="21" spans="2:4" ht="35.1" customHeight="1">
      <c r="B21" s="67"/>
      <c r="C21" s="68"/>
      <c r="D21" s="69">
        <f>$C$18*C21</f>
        <v>0</v>
      </c>
    </row>
    <row r="22" spans="2:4" ht="35.1" customHeight="1">
      <c r="B22" s="70"/>
      <c r="C22" s="68"/>
      <c r="D22" s="69">
        <f>$C$18*C22</f>
        <v>0</v>
      </c>
    </row>
    <row r="23" spans="2:4" ht="35.1" customHeight="1">
      <c r="B23" s="71"/>
      <c r="C23" s="68"/>
      <c r="D23" s="69">
        <f>$C$18*C23</f>
        <v>0</v>
      </c>
    </row>
    <row r="24" spans="2:4" ht="35.1" customHeight="1">
      <c r="B24" s="71"/>
      <c r="C24" s="68"/>
      <c r="D24" s="69">
        <f>$C$18*C24</f>
        <v>0</v>
      </c>
    </row>
    <row r="25" spans="2:4" ht="35.1" customHeight="1" thickBot="1">
      <c r="B25" s="72"/>
      <c r="C25" s="68"/>
      <c r="D25" s="69">
        <f>$C$18*C25</f>
        <v>0</v>
      </c>
    </row>
    <row r="26" spans="2:4" ht="15.75" thickBot="1"/>
    <row r="27" spans="2:4">
      <c r="B27" s="277" t="s">
        <v>169</v>
      </c>
      <c r="C27" s="278"/>
      <c r="D27" s="279"/>
    </row>
    <row r="28" spans="2:4" ht="15.75" thickBot="1">
      <c r="B28" s="280"/>
      <c r="C28" s="281"/>
      <c r="D28" s="282"/>
    </row>
    <row r="29" spans="2:4">
      <c r="B29" s="63" t="s">
        <v>163</v>
      </c>
      <c r="C29" s="275" t="e">
        <f>SUM('1) Tableau budgétaire 1'!#REF!,'1) Tableau budgétaire 1'!#REF!,'1) Tableau budgétaire 1'!#REF!,'1) Tableau budgétaire 1'!#REF!)</f>
        <v>#REF!</v>
      </c>
      <c r="D29" s="276"/>
    </row>
    <row r="30" spans="2:4">
      <c r="B30" s="63" t="s">
        <v>164</v>
      </c>
      <c r="C30" s="273" t="e">
        <f>SUM(D32:D36)</f>
        <v>#REF!</v>
      </c>
      <c r="D30" s="274"/>
    </row>
    <row r="31" spans="2:4">
      <c r="B31" s="64" t="s">
        <v>165</v>
      </c>
      <c r="C31" s="65" t="s">
        <v>166</v>
      </c>
      <c r="D31" s="66" t="s">
        <v>167</v>
      </c>
    </row>
    <row r="32" spans="2:4" ht="35.1" customHeight="1">
      <c r="B32" s="67"/>
      <c r="C32" s="68"/>
      <c r="D32" s="69" t="e">
        <f>$C$29*C32</f>
        <v>#REF!</v>
      </c>
    </row>
    <row r="33" spans="2:4" ht="35.1" customHeight="1">
      <c r="B33" s="70"/>
      <c r="C33" s="68"/>
      <c r="D33" s="69" t="e">
        <f>$C$29*C33</f>
        <v>#REF!</v>
      </c>
    </row>
    <row r="34" spans="2:4" ht="35.1" customHeight="1">
      <c r="B34" s="71"/>
      <c r="C34" s="68"/>
      <c r="D34" s="69" t="e">
        <f>$C$29*C34</f>
        <v>#REF!</v>
      </c>
    </row>
    <row r="35" spans="2:4" ht="35.1" customHeight="1">
      <c r="B35" s="71"/>
      <c r="C35" s="68"/>
      <c r="D35" s="69" t="e">
        <f>$C$29*C35</f>
        <v>#REF!</v>
      </c>
    </row>
    <row r="36" spans="2:4" ht="35.1" customHeight="1" thickBot="1">
      <c r="B36" s="72"/>
      <c r="C36" s="68"/>
      <c r="D36" s="69" t="e">
        <f>$C$29*C36</f>
        <v>#REF!</v>
      </c>
    </row>
    <row r="37" spans="2:4" ht="15.75" thickBot="1"/>
    <row r="38" spans="2:4">
      <c r="B38" s="277" t="s">
        <v>170</v>
      </c>
      <c r="C38" s="278"/>
      <c r="D38" s="279"/>
    </row>
    <row r="39" spans="2:4" ht="15.75" thickBot="1">
      <c r="B39" s="280"/>
      <c r="C39" s="281"/>
      <c r="D39" s="282"/>
    </row>
    <row r="40" spans="2:4">
      <c r="B40" s="63" t="s">
        <v>163</v>
      </c>
      <c r="C40" s="275" t="e">
        <f>SUM('1) Tableau budgétaire 1'!#REF!,'1) Tableau budgétaire 1'!#REF!,'1) Tableau budgétaire 1'!#REF!,'1) Tableau budgétaire 1'!#REF!)</f>
        <v>#REF!</v>
      </c>
      <c r="D40" s="276"/>
    </row>
    <row r="41" spans="2:4">
      <c r="B41" s="63" t="s">
        <v>164</v>
      </c>
      <c r="C41" s="273" t="e">
        <f>SUM(D43:D47)</f>
        <v>#REF!</v>
      </c>
      <c r="D41" s="274"/>
    </row>
    <row r="42" spans="2:4">
      <c r="B42" s="64" t="s">
        <v>165</v>
      </c>
      <c r="C42" s="65" t="s">
        <v>166</v>
      </c>
      <c r="D42" s="66" t="s">
        <v>167</v>
      </c>
    </row>
    <row r="43" spans="2:4" ht="35.1" customHeight="1">
      <c r="B43" s="67"/>
      <c r="C43" s="68"/>
      <c r="D43" s="69" t="e">
        <f>$C$40*C43</f>
        <v>#REF!</v>
      </c>
    </row>
    <row r="44" spans="2:4" ht="35.1" customHeight="1">
      <c r="B44" s="70"/>
      <c r="C44" s="68"/>
      <c r="D44" s="69" t="e">
        <f>$C$40*C44</f>
        <v>#REF!</v>
      </c>
    </row>
    <row r="45" spans="2:4" ht="35.1" customHeight="1">
      <c r="B45" s="71"/>
      <c r="C45" s="68"/>
      <c r="D45" s="69" t="e">
        <f>$C$40*C45</f>
        <v>#REF!</v>
      </c>
    </row>
    <row r="46" spans="2:4" ht="35.1" customHeight="1">
      <c r="B46" s="71"/>
      <c r="C46" s="68"/>
      <c r="D46" s="69" t="e">
        <f>$C$40*C46</f>
        <v>#REF!</v>
      </c>
    </row>
    <row r="47" spans="2:4" ht="35.1" customHeight="1" thickBot="1">
      <c r="B47" s="72"/>
      <c r="C47" s="68"/>
      <c r="D47" s="73" t="e">
        <f>$C$40*C47</f>
        <v>#REF!</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phoneticPr fontId="22" type="noConversion"/>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topLeftCell="A5" zoomScale="80" zoomScaleNormal="80" workbookViewId="0">
      <selection activeCell="I10" sqref="I10"/>
    </sheetView>
  </sheetViews>
  <sheetFormatPr defaultColWidth="8.85546875" defaultRowHeight="15"/>
  <cols>
    <col min="1" max="1" width="12.42578125" customWidth="1"/>
    <col min="2" max="2" width="20.42578125" customWidth="1"/>
    <col min="3" max="6" width="25.42578125" customWidth="1"/>
    <col min="7" max="7" width="24.42578125" customWidth="1"/>
    <col min="8" max="8" width="18.42578125" customWidth="1"/>
    <col min="9" max="9" width="21.5703125" customWidth="1"/>
    <col min="10" max="11" width="15.85546875" bestFit="1" customWidth="1"/>
    <col min="12" max="12" width="11.140625" bestFit="1" customWidth="1"/>
  </cols>
  <sheetData>
    <row r="1" spans="2:7" ht="15.75" thickBot="1"/>
    <row r="2" spans="2:7" s="57" customFormat="1" ht="15.75">
      <c r="B2" s="292" t="s">
        <v>171</v>
      </c>
      <c r="C2" s="293"/>
      <c r="D2" s="293"/>
      <c r="E2" s="293"/>
      <c r="F2" s="293"/>
      <c r="G2" s="294"/>
    </row>
    <row r="3" spans="2:7" s="57" customFormat="1" ht="16.5" thickBot="1">
      <c r="B3" s="295"/>
      <c r="C3" s="296"/>
      <c r="D3" s="296"/>
      <c r="E3" s="296"/>
      <c r="F3" s="296"/>
      <c r="G3" s="297"/>
    </row>
    <row r="4" spans="2:7" s="57" customFormat="1" ht="16.5" thickBot="1">
      <c r="B4" s="214"/>
      <c r="C4" s="214"/>
      <c r="D4" s="214"/>
      <c r="E4" s="214"/>
      <c r="F4" s="214"/>
      <c r="G4" s="214"/>
    </row>
    <row r="5" spans="2:7" s="57" customFormat="1" ht="16.5" thickBot="1">
      <c r="B5" s="270" t="s">
        <v>172</v>
      </c>
      <c r="C5" s="271"/>
      <c r="D5" s="271"/>
      <c r="E5" s="271"/>
      <c r="F5" s="271"/>
      <c r="G5" s="272"/>
    </row>
    <row r="6" spans="2:7" s="57" customFormat="1" ht="15.75">
      <c r="B6" s="56"/>
      <c r="C6" s="43" t="s">
        <v>173</v>
      </c>
      <c r="D6" s="43" t="s">
        <v>174</v>
      </c>
      <c r="E6" s="43" t="s">
        <v>175</v>
      </c>
      <c r="F6" s="43" t="s">
        <v>176</v>
      </c>
      <c r="G6" s="263" t="s">
        <v>172</v>
      </c>
    </row>
    <row r="7" spans="2:7" s="57" customFormat="1" ht="15.75">
      <c r="B7" s="56"/>
      <c r="C7" s="140" t="str">
        <f>'1) Tableau budgétaire 1'!D13</f>
        <v>OIM Mauritanie</v>
      </c>
      <c r="D7" s="140" t="str">
        <f>'1) Tableau budgétaire 1'!E13</f>
        <v>FAO Mauritanie</v>
      </c>
      <c r="E7" s="140" t="str">
        <f>'1) Tableau budgétaire 1'!F13</f>
        <v>OIM Mali</v>
      </c>
      <c r="F7" s="43" t="str">
        <f>'1) Tableau budgétaire 1'!G13</f>
        <v>FAO Mali</v>
      </c>
      <c r="G7" s="251"/>
    </row>
    <row r="8" spans="2:7" s="57" customFormat="1" ht="31.5">
      <c r="B8" s="10" t="s">
        <v>177</v>
      </c>
      <c r="C8" s="169">
        <f>'2) Tableau budgétaire 2'!D208</f>
        <v>190000</v>
      </c>
      <c r="D8" s="169">
        <f>'2) Tableau budgétaire 2'!E208</f>
        <v>96000</v>
      </c>
      <c r="E8" s="169">
        <f>'2) Tableau budgétaire 2'!F208</f>
        <v>150000</v>
      </c>
      <c r="F8" s="169">
        <f>'2) Tableau budgétaire 2'!G208</f>
        <v>127911</v>
      </c>
      <c r="G8" s="162">
        <f>SUM(C8:F8)</f>
        <v>563911</v>
      </c>
    </row>
    <row r="9" spans="2:7" s="57" customFormat="1" ht="47.25">
      <c r="B9" s="10" t="s">
        <v>178</v>
      </c>
      <c r="C9" s="169">
        <f>'2) Tableau budgétaire 2'!D209</f>
        <v>158000</v>
      </c>
      <c r="D9" s="169">
        <f>'2) Tableau budgétaire 2'!E209</f>
        <v>290230</v>
      </c>
      <c r="E9" s="169">
        <f>'2) Tableau budgétaire 2'!F209</f>
        <v>45000</v>
      </c>
      <c r="F9" s="169">
        <f>'2) Tableau budgétaire 2'!G209</f>
        <v>70264</v>
      </c>
      <c r="G9" s="163">
        <f t="shared" ref="G9:G15" si="0">SUM(C9:F9)</f>
        <v>563494</v>
      </c>
    </row>
    <row r="10" spans="2:7" s="57" customFormat="1" ht="78.75">
      <c r="B10" s="10" t="s">
        <v>179</v>
      </c>
      <c r="C10" s="169">
        <f>'2) Tableau budgétaire 2'!D210</f>
        <v>100850.47</v>
      </c>
      <c r="D10" s="169">
        <f>'2) Tableau budgétaire 2'!E210</f>
        <v>46000</v>
      </c>
      <c r="E10" s="169">
        <f>'2) Tableau budgétaire 2'!F210</f>
        <v>20000</v>
      </c>
      <c r="F10" s="169">
        <f>'2) Tableau budgétaire 2'!G210</f>
        <v>57950</v>
      </c>
      <c r="G10" s="163">
        <f t="shared" si="0"/>
        <v>224800.47</v>
      </c>
    </row>
    <row r="11" spans="2:7" s="57" customFormat="1" ht="31.5">
      <c r="B11" s="18" t="s">
        <v>180</v>
      </c>
      <c r="C11" s="169">
        <f>'2) Tableau budgétaire 2'!D211</f>
        <v>130000</v>
      </c>
      <c r="D11" s="169">
        <f>'2) Tableau budgétaire 2'!E211</f>
        <v>0</v>
      </c>
      <c r="E11" s="169">
        <f>'2) Tableau budgétaire 2'!F211</f>
        <v>255982</v>
      </c>
      <c r="F11" s="169">
        <f>'2) Tableau budgétaire 2'!G211</f>
        <v>236800</v>
      </c>
      <c r="G11" s="163">
        <f t="shared" si="0"/>
        <v>622782</v>
      </c>
    </row>
    <row r="12" spans="2:7" s="57" customFormat="1" ht="15.75">
      <c r="B12" s="10" t="s">
        <v>181</v>
      </c>
      <c r="C12" s="169">
        <f>'2) Tableau budgétaire 2'!D212</f>
        <v>65000</v>
      </c>
      <c r="D12" s="169">
        <f>'2) Tableau budgétaire 2'!E212</f>
        <v>36500</v>
      </c>
      <c r="E12" s="169">
        <f>'2) Tableau budgétaire 2'!F212</f>
        <v>10000</v>
      </c>
      <c r="F12" s="169">
        <f>'2) Tableau budgétaire 2'!G212</f>
        <v>25440</v>
      </c>
      <c r="G12" s="163">
        <f t="shared" si="0"/>
        <v>136940</v>
      </c>
    </row>
    <row r="13" spans="2:7" s="57" customFormat="1" ht="47.25">
      <c r="B13" s="10" t="s">
        <v>182</v>
      </c>
      <c r="C13" s="169">
        <f>'2) Tableau budgétaire 2'!D213</f>
        <v>0</v>
      </c>
      <c r="D13" s="169">
        <f>'2) Tableau budgétaire 2'!E213</f>
        <v>40017.660000000003</v>
      </c>
      <c r="E13" s="169">
        <f>'2) Tableau budgétaire 2'!F213</f>
        <v>126518</v>
      </c>
      <c r="F13" s="169">
        <f>'2) Tableau budgétaire 2'!G213</f>
        <v>52400</v>
      </c>
      <c r="G13" s="163">
        <f t="shared" si="0"/>
        <v>218935.66</v>
      </c>
    </row>
    <row r="14" spans="2:7" s="57" customFormat="1" ht="48" thickBot="1">
      <c r="B14" s="117" t="s">
        <v>183</v>
      </c>
      <c r="C14" s="215">
        <f>'2) Tableau budgétaire 2'!D214</f>
        <v>244000</v>
      </c>
      <c r="D14" s="215">
        <f>'2) Tableau budgétaire 2'!E214</f>
        <v>52000</v>
      </c>
      <c r="E14" s="215">
        <f>'2) Tableau budgétaire 2'!F214</f>
        <v>93434.58</v>
      </c>
      <c r="F14" s="169">
        <f>'2) Tableau budgétaire 2'!G214</f>
        <v>83440.61</v>
      </c>
      <c r="G14" s="164">
        <f t="shared" si="0"/>
        <v>472875.19</v>
      </c>
    </row>
    <row r="15" spans="2:7" s="57" customFormat="1" ht="30" customHeight="1">
      <c r="B15" s="216" t="s">
        <v>184</v>
      </c>
      <c r="C15" s="217">
        <f>SUM(C8:C14)</f>
        <v>887850.47</v>
      </c>
      <c r="D15" s="217">
        <f>SUM(D8:D14)</f>
        <v>560747.66</v>
      </c>
      <c r="E15" s="217">
        <f>SUM(E8:E14)</f>
        <v>700934.58</v>
      </c>
      <c r="F15" s="169">
        <f>SUM(F8:F14)</f>
        <v>654205.61</v>
      </c>
      <c r="G15" s="218">
        <f t="shared" si="0"/>
        <v>2803738.32</v>
      </c>
    </row>
    <row r="16" spans="2:7" s="57" customFormat="1" ht="22.5" customHeight="1">
      <c r="B16" s="219" t="s">
        <v>185</v>
      </c>
      <c r="C16" s="165">
        <f>C15*0.07</f>
        <v>62149.532900000006</v>
      </c>
      <c r="D16" s="165">
        <f>D15*0.07</f>
        <v>39252.336200000005</v>
      </c>
      <c r="E16" s="165">
        <f>E15*0.07</f>
        <v>49065.420600000005</v>
      </c>
      <c r="F16" s="170">
        <f>F15*0.07</f>
        <v>45794.392700000004</v>
      </c>
      <c r="G16" s="166">
        <f>G15*0.07</f>
        <v>196261.68240000002</v>
      </c>
    </row>
    <row r="17" spans="2:8" s="57" customFormat="1" ht="30" customHeight="1" thickBot="1">
      <c r="B17" s="116" t="s">
        <v>10</v>
      </c>
      <c r="C17" s="167">
        <f>C15+C16</f>
        <v>950000.00289999996</v>
      </c>
      <c r="D17" s="167">
        <f>D15+D16</f>
        <v>599999.99620000005</v>
      </c>
      <c r="E17" s="167">
        <f>E15+E16</f>
        <v>750000.00059999991</v>
      </c>
      <c r="F17" s="170">
        <f>F15+F16</f>
        <v>700000.00269999995</v>
      </c>
      <c r="G17" s="168">
        <f>G15+G16</f>
        <v>3000000.0023999996</v>
      </c>
      <c r="H17" s="214"/>
    </row>
    <row r="18" spans="2:8" s="57" customFormat="1" ht="16.5" thickBot="1">
      <c r="B18" s="214"/>
      <c r="C18" s="214"/>
      <c r="D18" s="214"/>
      <c r="E18" s="214"/>
      <c r="F18" s="214"/>
      <c r="G18" s="214"/>
      <c r="H18" s="214"/>
    </row>
    <row r="19" spans="2:8" s="57" customFormat="1" ht="15.75">
      <c r="B19" s="238" t="s">
        <v>186</v>
      </c>
      <c r="C19" s="239"/>
      <c r="D19" s="239"/>
      <c r="E19" s="239"/>
      <c r="F19" s="240"/>
      <c r="G19" s="241"/>
      <c r="H19" s="214"/>
    </row>
    <row r="20" spans="2:8" ht="15.75">
      <c r="B20" s="16"/>
      <c r="C20" s="14" t="s">
        <v>187</v>
      </c>
      <c r="D20" s="14" t="s">
        <v>188</v>
      </c>
      <c r="E20" s="14" t="s">
        <v>189</v>
      </c>
      <c r="F20" s="43" t="s">
        <v>176</v>
      </c>
      <c r="G20" s="17" t="s">
        <v>152</v>
      </c>
      <c r="H20" s="136" t="s">
        <v>104</v>
      </c>
    </row>
    <row r="21" spans="2:8" ht="15.75">
      <c r="B21" s="16"/>
      <c r="C21" s="14" t="str">
        <f>'1) Tableau budgétaire 1'!D13</f>
        <v>OIM Mauritanie</v>
      </c>
      <c r="D21" s="14" t="str">
        <f>'1) Tableau budgétaire 1'!E13</f>
        <v>FAO Mauritanie</v>
      </c>
      <c r="E21" s="14" t="str">
        <f>'1) Tableau budgétaire 1'!F13</f>
        <v>OIM Mali</v>
      </c>
      <c r="F21" s="14" t="str">
        <f>'1) Tableau budgétaire 1'!G13</f>
        <v>FAO Mali</v>
      </c>
      <c r="G21" s="17"/>
      <c r="H21" s="136"/>
    </row>
    <row r="22" spans="2:8" ht="23.25" customHeight="1">
      <c r="B22" s="15" t="s">
        <v>190</v>
      </c>
      <c r="C22" s="13">
        <f>'1) Tableau budgétaire 1'!D82</f>
        <v>440300.00202999997</v>
      </c>
      <c r="D22" s="13">
        <f>'1) Tableau budgétaire 1'!E82</f>
        <v>393022.76999999996</v>
      </c>
      <c r="E22" s="13">
        <f>'1) Tableau budgétaire 1'!F82</f>
        <v>275257.5</v>
      </c>
      <c r="F22" s="13">
        <f>'1) Tableau budgétaire 1'!G82</f>
        <v>490000.00188999996</v>
      </c>
      <c r="G22" s="135">
        <f>'1) Tableau budgétaire 1'!H82</f>
        <v>1598580.2739199998</v>
      </c>
      <c r="H22" s="137">
        <f>'1) Tableau budgétaire 1'!I82</f>
        <v>0.7</v>
      </c>
    </row>
    <row r="23" spans="2:8" ht="24.75" customHeight="1">
      <c r="B23" s="15" t="s">
        <v>191</v>
      </c>
      <c r="C23" s="13">
        <f>'1) Tableau budgétaire 1'!D83</f>
        <v>188700.00086999999</v>
      </c>
      <c r="D23" s="13">
        <f>'1) Tableau budgétaire 1'!E83</f>
        <v>168438.33</v>
      </c>
      <c r="E23" s="13">
        <f>'1) Tableau budgétaire 1'!F83</f>
        <v>117967.5</v>
      </c>
      <c r="F23" s="13">
        <f>'1) Tableau budgétaire 1'!G83</f>
        <v>210000.00080999997</v>
      </c>
      <c r="G23" s="135">
        <f>'1) Tableau budgétaire 1'!H83</f>
        <v>685105.83167999994</v>
      </c>
      <c r="H23" s="137">
        <f>'1) Tableau budgétaire 1'!I83</f>
        <v>0.3</v>
      </c>
    </row>
    <row r="24" spans="2:8" ht="24.75" customHeight="1" thickBot="1">
      <c r="B24" s="15" t="s">
        <v>192</v>
      </c>
      <c r="C24" s="13">
        <f>'1) Tableau budgétaire 1'!D84</f>
        <v>0</v>
      </c>
      <c r="D24" s="13">
        <f>'1) Tableau budgétaire 1'!E84</f>
        <v>0</v>
      </c>
      <c r="E24" s="13">
        <f>'1) Tableau budgétaire 1'!F84</f>
        <v>0</v>
      </c>
      <c r="F24" s="13">
        <f>'1) Tableau budgétaire 1'!G84</f>
        <v>0</v>
      </c>
      <c r="G24" s="135">
        <f>'1) Tableau budgétaire 1'!H84</f>
        <v>0</v>
      </c>
      <c r="H24" s="138">
        <f>'1) Tableau budgétaire 1'!I84</f>
        <v>0</v>
      </c>
    </row>
    <row r="25" spans="2:8" ht="16.5" thickBot="1">
      <c r="B25" s="6" t="s">
        <v>152</v>
      </c>
      <c r="C25" s="139">
        <f>'1) Tableau budgétaire 1'!D85</f>
        <v>629000.00289999996</v>
      </c>
      <c r="D25" s="139">
        <f>'1) Tableau budgétaire 1'!E85</f>
        <v>561461.1</v>
      </c>
      <c r="E25" s="139">
        <f>'1) Tableau budgétaire 1'!F85</f>
        <v>393225</v>
      </c>
      <c r="F25" s="13">
        <f>'1) Tableau budgétaire 1'!G85</f>
        <v>700000.00269999995</v>
      </c>
      <c r="G25" s="139">
        <f>'1) Tableau budgétaire 1'!H85</f>
        <v>2283686.1055999999</v>
      </c>
    </row>
  </sheetData>
  <sheetProtection sheet="1" objects="1" scenarios="1" formatCells="0" formatColumns="0" formatRows="0"/>
  <mergeCells count="4">
    <mergeCell ref="B19:G19"/>
    <mergeCell ref="B5:G5"/>
    <mergeCell ref="G6:G7"/>
    <mergeCell ref="B2:G3"/>
  </mergeCells>
  <phoneticPr fontId="22" type="noConversion"/>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1'!$H$76</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5546875" defaultRowHeight="15"/>
  <sheetData>
    <row r="1" spans="1:1">
      <c r="A1" s="101">
        <v>0</v>
      </c>
    </row>
    <row r="2" spans="1:1">
      <c r="A2" s="101">
        <v>0.2</v>
      </c>
    </row>
    <row r="3" spans="1:1">
      <c r="A3" s="101">
        <v>0.4</v>
      </c>
    </row>
    <row r="4" spans="1:1">
      <c r="A4" s="101">
        <v>0.6</v>
      </c>
    </row>
    <row r="5" spans="1:1">
      <c r="A5" s="101">
        <v>0.8</v>
      </c>
    </row>
    <row r="6" spans="1:1">
      <c r="A6" s="101">
        <v>1</v>
      </c>
    </row>
  </sheetData>
  <phoneticPr fontId="22"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sheetData>
    <row r="1" spans="1:2">
      <c r="A1" s="58" t="s">
        <v>193</v>
      </c>
      <c r="B1" s="59" t="s">
        <v>194</v>
      </c>
    </row>
    <row r="2" spans="1:2">
      <c r="A2" s="60" t="s">
        <v>195</v>
      </c>
      <c r="B2" s="61" t="s">
        <v>196</v>
      </c>
    </row>
    <row r="3" spans="1:2">
      <c r="A3" s="60" t="s">
        <v>197</v>
      </c>
      <c r="B3" s="61" t="s">
        <v>198</v>
      </c>
    </row>
    <row r="4" spans="1:2">
      <c r="A4" s="60" t="s">
        <v>199</v>
      </c>
      <c r="B4" s="61" t="s">
        <v>200</v>
      </c>
    </row>
    <row r="5" spans="1:2">
      <c r="A5" s="60" t="s">
        <v>201</v>
      </c>
      <c r="B5" s="61" t="s">
        <v>202</v>
      </c>
    </row>
    <row r="6" spans="1:2">
      <c r="A6" s="60" t="s">
        <v>203</v>
      </c>
      <c r="B6" s="61" t="s">
        <v>204</v>
      </c>
    </row>
    <row r="7" spans="1:2">
      <c r="A7" s="60" t="s">
        <v>205</v>
      </c>
      <c r="B7" s="61" t="s">
        <v>206</v>
      </c>
    </row>
    <row r="8" spans="1:2">
      <c r="A8" s="60" t="s">
        <v>207</v>
      </c>
      <c r="B8" s="61" t="s">
        <v>208</v>
      </c>
    </row>
    <row r="9" spans="1:2">
      <c r="A9" s="60" t="s">
        <v>209</v>
      </c>
      <c r="B9" s="61" t="s">
        <v>210</v>
      </c>
    </row>
    <row r="10" spans="1:2">
      <c r="A10" s="60" t="s">
        <v>211</v>
      </c>
      <c r="B10" s="61" t="s">
        <v>212</v>
      </c>
    </row>
    <row r="11" spans="1:2">
      <c r="A11" s="60" t="s">
        <v>213</v>
      </c>
      <c r="B11" s="61" t="s">
        <v>214</v>
      </c>
    </row>
    <row r="12" spans="1:2">
      <c r="A12" s="60" t="s">
        <v>215</v>
      </c>
      <c r="B12" s="61" t="s">
        <v>216</v>
      </c>
    </row>
    <row r="13" spans="1:2">
      <c r="A13" s="60" t="s">
        <v>217</v>
      </c>
      <c r="B13" s="61" t="s">
        <v>218</v>
      </c>
    </row>
    <row r="14" spans="1:2">
      <c r="A14" s="60" t="s">
        <v>219</v>
      </c>
      <c r="B14" s="61" t="s">
        <v>220</v>
      </c>
    </row>
    <row r="15" spans="1:2">
      <c r="A15" s="60" t="s">
        <v>221</v>
      </c>
      <c r="B15" s="61" t="s">
        <v>222</v>
      </c>
    </row>
    <row r="16" spans="1:2">
      <c r="A16" s="60" t="s">
        <v>223</v>
      </c>
      <c r="B16" s="61" t="s">
        <v>224</v>
      </c>
    </row>
    <row r="17" spans="1:2">
      <c r="A17" s="60" t="s">
        <v>225</v>
      </c>
      <c r="B17" s="61" t="s">
        <v>226</v>
      </c>
    </row>
    <row r="18" spans="1:2">
      <c r="A18" s="60" t="s">
        <v>227</v>
      </c>
      <c r="B18" s="61" t="s">
        <v>228</v>
      </c>
    </row>
    <row r="19" spans="1:2">
      <c r="A19" s="60" t="s">
        <v>229</v>
      </c>
      <c r="B19" s="61" t="s">
        <v>230</v>
      </c>
    </row>
    <row r="20" spans="1:2">
      <c r="A20" s="60" t="s">
        <v>231</v>
      </c>
      <c r="B20" s="61" t="s">
        <v>232</v>
      </c>
    </row>
    <row r="21" spans="1:2">
      <c r="A21" s="60" t="s">
        <v>233</v>
      </c>
      <c r="B21" s="61" t="s">
        <v>234</v>
      </c>
    </row>
    <row r="22" spans="1:2">
      <c r="A22" s="60" t="s">
        <v>235</v>
      </c>
      <c r="B22" s="61" t="s">
        <v>236</v>
      </c>
    </row>
    <row r="23" spans="1:2">
      <c r="A23" s="60" t="s">
        <v>237</v>
      </c>
      <c r="B23" s="61" t="s">
        <v>238</v>
      </c>
    </row>
    <row r="24" spans="1:2">
      <c r="A24" s="60" t="s">
        <v>239</v>
      </c>
      <c r="B24" s="61" t="s">
        <v>240</v>
      </c>
    </row>
    <row r="25" spans="1:2">
      <c r="A25" s="60" t="s">
        <v>241</v>
      </c>
      <c r="B25" s="61" t="s">
        <v>242</v>
      </c>
    </row>
    <row r="26" spans="1:2">
      <c r="A26" s="60" t="s">
        <v>243</v>
      </c>
      <c r="B26" s="61" t="s">
        <v>244</v>
      </c>
    </row>
    <row r="27" spans="1:2">
      <c r="A27" s="60" t="s">
        <v>245</v>
      </c>
      <c r="B27" s="61" t="s">
        <v>246</v>
      </c>
    </row>
    <row r="28" spans="1:2">
      <c r="A28" s="60" t="s">
        <v>247</v>
      </c>
      <c r="B28" s="61" t="s">
        <v>248</v>
      </c>
    </row>
    <row r="29" spans="1:2">
      <c r="A29" s="60" t="s">
        <v>249</v>
      </c>
      <c r="B29" s="61" t="s">
        <v>250</v>
      </c>
    </row>
    <row r="30" spans="1:2">
      <c r="A30" s="60" t="s">
        <v>251</v>
      </c>
      <c r="B30" s="61" t="s">
        <v>252</v>
      </c>
    </row>
    <row r="31" spans="1:2">
      <c r="A31" s="60" t="s">
        <v>253</v>
      </c>
      <c r="B31" s="61" t="s">
        <v>254</v>
      </c>
    </row>
    <row r="32" spans="1:2">
      <c r="A32" s="60" t="s">
        <v>255</v>
      </c>
      <c r="B32" s="61" t="s">
        <v>256</v>
      </c>
    </row>
    <row r="33" spans="1:2">
      <c r="A33" s="60" t="s">
        <v>257</v>
      </c>
      <c r="B33" s="61" t="s">
        <v>258</v>
      </c>
    </row>
    <row r="34" spans="1:2">
      <c r="A34" s="60" t="s">
        <v>259</v>
      </c>
      <c r="B34" s="61" t="s">
        <v>260</v>
      </c>
    </row>
    <row r="35" spans="1:2">
      <c r="A35" s="60" t="s">
        <v>261</v>
      </c>
      <c r="B35" s="61" t="s">
        <v>262</v>
      </c>
    </row>
    <row r="36" spans="1:2">
      <c r="A36" s="60" t="s">
        <v>263</v>
      </c>
      <c r="B36" s="61" t="s">
        <v>264</v>
      </c>
    </row>
    <row r="37" spans="1:2">
      <c r="A37" s="60" t="s">
        <v>265</v>
      </c>
      <c r="B37" s="61" t="s">
        <v>266</v>
      </c>
    </row>
    <row r="38" spans="1:2">
      <c r="A38" s="60" t="s">
        <v>267</v>
      </c>
      <c r="B38" s="61" t="s">
        <v>268</v>
      </c>
    </row>
    <row r="39" spans="1:2">
      <c r="A39" s="60" t="s">
        <v>269</v>
      </c>
      <c r="B39" s="61" t="s">
        <v>270</v>
      </c>
    </row>
    <row r="40" spans="1:2">
      <c r="A40" s="60" t="s">
        <v>271</v>
      </c>
      <c r="B40" s="61" t="s">
        <v>272</v>
      </c>
    </row>
    <row r="41" spans="1:2">
      <c r="A41" s="60" t="s">
        <v>273</v>
      </c>
      <c r="B41" s="61" t="s">
        <v>274</v>
      </c>
    </row>
    <row r="42" spans="1:2">
      <c r="A42" s="60" t="s">
        <v>275</v>
      </c>
      <c r="B42" s="61" t="s">
        <v>276</v>
      </c>
    </row>
    <row r="43" spans="1:2">
      <c r="A43" s="60" t="s">
        <v>277</v>
      </c>
      <c r="B43" s="61" t="s">
        <v>278</v>
      </c>
    </row>
    <row r="44" spans="1:2">
      <c r="A44" s="60" t="s">
        <v>279</v>
      </c>
      <c r="B44" s="61" t="s">
        <v>280</v>
      </c>
    </row>
    <row r="45" spans="1:2">
      <c r="A45" s="60" t="s">
        <v>281</v>
      </c>
      <c r="B45" s="61" t="s">
        <v>282</v>
      </c>
    </row>
    <row r="46" spans="1:2">
      <c r="A46" s="60" t="s">
        <v>283</v>
      </c>
      <c r="B46" s="61" t="s">
        <v>284</v>
      </c>
    </row>
    <row r="47" spans="1:2">
      <c r="A47" s="60" t="s">
        <v>285</v>
      </c>
      <c r="B47" s="61" t="s">
        <v>286</v>
      </c>
    </row>
    <row r="48" spans="1:2">
      <c r="A48" s="60" t="s">
        <v>287</v>
      </c>
      <c r="B48" s="61" t="s">
        <v>288</v>
      </c>
    </row>
    <row r="49" spans="1:2">
      <c r="A49" s="60" t="s">
        <v>289</v>
      </c>
      <c r="B49" s="61" t="s">
        <v>290</v>
      </c>
    </row>
    <row r="50" spans="1:2">
      <c r="A50" s="60" t="s">
        <v>291</v>
      </c>
      <c r="B50" s="61" t="s">
        <v>292</v>
      </c>
    </row>
    <row r="51" spans="1:2">
      <c r="A51" s="60" t="s">
        <v>293</v>
      </c>
      <c r="B51" s="61" t="s">
        <v>294</v>
      </c>
    </row>
    <row r="52" spans="1:2">
      <c r="A52" s="60" t="s">
        <v>295</v>
      </c>
      <c r="B52" s="61" t="s">
        <v>296</v>
      </c>
    </row>
    <row r="53" spans="1:2">
      <c r="A53" s="60" t="s">
        <v>297</v>
      </c>
      <c r="B53" s="61" t="s">
        <v>298</v>
      </c>
    </row>
    <row r="54" spans="1:2">
      <c r="A54" s="60" t="s">
        <v>299</v>
      </c>
      <c r="B54" s="61" t="s">
        <v>300</v>
      </c>
    </row>
    <row r="55" spans="1:2">
      <c r="A55" s="60" t="s">
        <v>301</v>
      </c>
      <c r="B55" s="61" t="s">
        <v>302</v>
      </c>
    </row>
    <row r="56" spans="1:2">
      <c r="A56" s="60" t="s">
        <v>303</v>
      </c>
      <c r="B56" s="61" t="s">
        <v>304</v>
      </c>
    </row>
    <row r="57" spans="1:2">
      <c r="A57" s="60" t="s">
        <v>305</v>
      </c>
      <c r="B57" s="61" t="s">
        <v>306</v>
      </c>
    </row>
    <row r="58" spans="1:2">
      <c r="A58" s="60" t="s">
        <v>307</v>
      </c>
      <c r="B58" s="61" t="s">
        <v>308</v>
      </c>
    </row>
    <row r="59" spans="1:2">
      <c r="A59" s="60" t="s">
        <v>309</v>
      </c>
      <c r="B59" s="61" t="s">
        <v>310</v>
      </c>
    </row>
    <row r="60" spans="1:2">
      <c r="A60" s="60" t="s">
        <v>311</v>
      </c>
      <c r="B60" s="61" t="s">
        <v>312</v>
      </c>
    </row>
    <row r="61" spans="1:2">
      <c r="A61" s="60" t="s">
        <v>313</v>
      </c>
      <c r="B61" s="61" t="s">
        <v>314</v>
      </c>
    </row>
    <row r="62" spans="1:2">
      <c r="A62" s="60" t="s">
        <v>315</v>
      </c>
      <c r="B62" s="61" t="s">
        <v>316</v>
      </c>
    </row>
    <row r="63" spans="1:2">
      <c r="A63" s="60" t="s">
        <v>317</v>
      </c>
      <c r="B63" s="61" t="s">
        <v>318</v>
      </c>
    </row>
    <row r="64" spans="1:2">
      <c r="A64" s="60" t="s">
        <v>319</v>
      </c>
      <c r="B64" s="61" t="s">
        <v>320</v>
      </c>
    </row>
    <row r="65" spans="1:2">
      <c r="A65" s="60" t="s">
        <v>321</v>
      </c>
      <c r="B65" s="61" t="s">
        <v>322</v>
      </c>
    </row>
    <row r="66" spans="1:2">
      <c r="A66" s="60" t="s">
        <v>323</v>
      </c>
      <c r="B66" s="61" t="s">
        <v>324</v>
      </c>
    </row>
    <row r="67" spans="1:2">
      <c r="A67" s="60" t="s">
        <v>325</v>
      </c>
      <c r="B67" s="61" t="s">
        <v>326</v>
      </c>
    </row>
    <row r="68" spans="1:2">
      <c r="A68" s="60" t="s">
        <v>327</v>
      </c>
      <c r="B68" s="61" t="s">
        <v>328</v>
      </c>
    </row>
    <row r="69" spans="1:2">
      <c r="A69" s="60" t="s">
        <v>329</v>
      </c>
      <c r="B69" s="61" t="s">
        <v>330</v>
      </c>
    </row>
    <row r="70" spans="1:2">
      <c r="A70" s="60" t="s">
        <v>331</v>
      </c>
      <c r="B70" s="61" t="s">
        <v>332</v>
      </c>
    </row>
    <row r="71" spans="1:2">
      <c r="A71" s="60" t="s">
        <v>333</v>
      </c>
      <c r="B71" s="61" t="s">
        <v>334</v>
      </c>
    </row>
    <row r="72" spans="1:2">
      <c r="A72" s="60" t="s">
        <v>335</v>
      </c>
      <c r="B72" s="61" t="s">
        <v>336</v>
      </c>
    </row>
    <row r="73" spans="1:2">
      <c r="A73" s="60" t="s">
        <v>337</v>
      </c>
      <c r="B73" s="61" t="s">
        <v>338</v>
      </c>
    </row>
    <row r="74" spans="1:2">
      <c r="A74" s="60" t="s">
        <v>339</v>
      </c>
      <c r="B74" s="61" t="s">
        <v>340</v>
      </c>
    </row>
    <row r="75" spans="1:2">
      <c r="A75" s="60" t="s">
        <v>341</v>
      </c>
      <c r="B75" s="62" t="s">
        <v>342</v>
      </c>
    </row>
    <row r="76" spans="1:2">
      <c r="A76" s="60" t="s">
        <v>343</v>
      </c>
      <c r="B76" s="62" t="s">
        <v>344</v>
      </c>
    </row>
    <row r="77" spans="1:2">
      <c r="A77" s="60" t="s">
        <v>345</v>
      </c>
      <c r="B77" s="62" t="s">
        <v>346</v>
      </c>
    </row>
    <row r="78" spans="1:2">
      <c r="A78" s="60" t="s">
        <v>347</v>
      </c>
      <c r="B78" s="62" t="s">
        <v>348</v>
      </c>
    </row>
    <row r="79" spans="1:2">
      <c r="A79" s="60" t="s">
        <v>349</v>
      </c>
      <c r="B79" s="62" t="s">
        <v>350</v>
      </c>
    </row>
    <row r="80" spans="1:2">
      <c r="A80" s="60" t="s">
        <v>351</v>
      </c>
      <c r="B80" s="62" t="s">
        <v>352</v>
      </c>
    </row>
    <row r="81" spans="1:2">
      <c r="A81" s="60" t="s">
        <v>353</v>
      </c>
      <c r="B81" s="62" t="s">
        <v>354</v>
      </c>
    </row>
    <row r="82" spans="1:2">
      <c r="A82" s="60" t="s">
        <v>355</v>
      </c>
      <c r="B82" s="62" t="s">
        <v>356</v>
      </c>
    </row>
    <row r="83" spans="1:2">
      <c r="A83" s="60" t="s">
        <v>357</v>
      </c>
      <c r="B83" s="62" t="s">
        <v>358</v>
      </c>
    </row>
    <row r="84" spans="1:2">
      <c r="A84" s="60" t="s">
        <v>359</v>
      </c>
      <c r="B84" s="62" t="s">
        <v>360</v>
      </c>
    </row>
    <row r="85" spans="1:2">
      <c r="A85" s="60" t="s">
        <v>361</v>
      </c>
      <c r="B85" s="62" t="s">
        <v>362</v>
      </c>
    </row>
    <row r="86" spans="1:2">
      <c r="A86" s="60" t="s">
        <v>363</v>
      </c>
      <c r="B86" s="62" t="s">
        <v>364</v>
      </c>
    </row>
    <row r="87" spans="1:2">
      <c r="A87" s="60" t="s">
        <v>365</v>
      </c>
      <c r="B87" s="62" t="s">
        <v>366</v>
      </c>
    </row>
    <row r="88" spans="1:2">
      <c r="A88" s="60" t="s">
        <v>367</v>
      </c>
      <c r="B88" s="62" t="s">
        <v>368</v>
      </c>
    </row>
    <row r="89" spans="1:2">
      <c r="A89" s="60" t="s">
        <v>369</v>
      </c>
      <c r="B89" s="62" t="s">
        <v>370</v>
      </c>
    </row>
    <row r="90" spans="1:2">
      <c r="A90" s="60" t="s">
        <v>371</v>
      </c>
      <c r="B90" s="62" t="s">
        <v>372</v>
      </c>
    </row>
    <row r="91" spans="1:2">
      <c r="A91" s="60" t="s">
        <v>373</v>
      </c>
      <c r="B91" s="62" t="s">
        <v>374</v>
      </c>
    </row>
    <row r="92" spans="1:2">
      <c r="A92" s="60" t="s">
        <v>375</v>
      </c>
      <c r="B92" s="62" t="s">
        <v>376</v>
      </c>
    </row>
    <row r="93" spans="1:2">
      <c r="A93" s="60" t="s">
        <v>377</v>
      </c>
      <c r="B93" s="62" t="s">
        <v>378</v>
      </c>
    </row>
    <row r="94" spans="1:2">
      <c r="A94" s="60" t="s">
        <v>379</v>
      </c>
      <c r="B94" s="62" t="s">
        <v>380</v>
      </c>
    </row>
    <row r="95" spans="1:2">
      <c r="A95" s="60" t="s">
        <v>381</v>
      </c>
      <c r="B95" s="62" t="s">
        <v>382</v>
      </c>
    </row>
    <row r="96" spans="1:2">
      <c r="A96" s="60" t="s">
        <v>383</v>
      </c>
      <c r="B96" s="62" t="s">
        <v>384</v>
      </c>
    </row>
    <row r="97" spans="1:2">
      <c r="A97" s="60" t="s">
        <v>385</v>
      </c>
      <c r="B97" s="62" t="s">
        <v>386</v>
      </c>
    </row>
    <row r="98" spans="1:2">
      <c r="A98" s="60" t="s">
        <v>387</v>
      </c>
      <c r="B98" s="62" t="s">
        <v>388</v>
      </c>
    </row>
    <row r="99" spans="1:2">
      <c r="A99" s="60" t="s">
        <v>389</v>
      </c>
      <c r="B99" s="62" t="s">
        <v>390</v>
      </c>
    </row>
    <row r="100" spans="1:2">
      <c r="A100" s="60" t="s">
        <v>391</v>
      </c>
      <c r="B100" s="62" t="s">
        <v>392</v>
      </c>
    </row>
    <row r="101" spans="1:2">
      <c r="A101" s="60" t="s">
        <v>393</v>
      </c>
      <c r="B101" s="62" t="s">
        <v>394</v>
      </c>
    </row>
    <row r="102" spans="1:2">
      <c r="A102" s="60" t="s">
        <v>395</v>
      </c>
      <c r="B102" s="62" t="s">
        <v>396</v>
      </c>
    </row>
    <row r="103" spans="1:2">
      <c r="A103" s="60" t="s">
        <v>397</v>
      </c>
      <c r="B103" s="62" t="s">
        <v>398</v>
      </c>
    </row>
    <row r="104" spans="1:2">
      <c r="A104" s="60" t="s">
        <v>399</v>
      </c>
      <c r="B104" s="62" t="s">
        <v>400</v>
      </c>
    </row>
    <row r="105" spans="1:2">
      <c r="A105" s="60" t="s">
        <v>401</v>
      </c>
      <c r="B105" s="62" t="s">
        <v>402</v>
      </c>
    </row>
    <row r="106" spans="1:2">
      <c r="A106" s="60" t="s">
        <v>403</v>
      </c>
      <c r="B106" s="62" t="s">
        <v>404</v>
      </c>
    </row>
    <row r="107" spans="1:2">
      <c r="A107" s="60" t="s">
        <v>405</v>
      </c>
      <c r="B107" s="62" t="s">
        <v>406</v>
      </c>
    </row>
    <row r="108" spans="1:2">
      <c r="A108" s="60" t="s">
        <v>407</v>
      </c>
      <c r="B108" s="62" t="s">
        <v>408</v>
      </c>
    </row>
    <row r="109" spans="1:2">
      <c r="A109" s="60" t="s">
        <v>409</v>
      </c>
      <c r="B109" s="62" t="s">
        <v>410</v>
      </c>
    </row>
    <row r="110" spans="1:2">
      <c r="A110" s="60" t="s">
        <v>411</v>
      </c>
      <c r="B110" s="62" t="s">
        <v>412</v>
      </c>
    </row>
    <row r="111" spans="1:2">
      <c r="A111" s="60" t="s">
        <v>413</v>
      </c>
      <c r="B111" s="62" t="s">
        <v>414</v>
      </c>
    </row>
    <row r="112" spans="1:2">
      <c r="A112" s="60" t="s">
        <v>415</v>
      </c>
      <c r="B112" s="62" t="s">
        <v>416</v>
      </c>
    </row>
    <row r="113" spans="1:2">
      <c r="A113" s="60" t="s">
        <v>417</v>
      </c>
      <c r="B113" s="62" t="s">
        <v>418</v>
      </c>
    </row>
    <row r="114" spans="1:2">
      <c r="A114" s="60" t="s">
        <v>419</v>
      </c>
      <c r="B114" s="62" t="s">
        <v>420</v>
      </c>
    </row>
    <row r="115" spans="1:2">
      <c r="A115" s="60" t="s">
        <v>421</v>
      </c>
      <c r="B115" s="62" t="s">
        <v>422</v>
      </c>
    </row>
    <row r="116" spans="1:2">
      <c r="A116" s="60" t="s">
        <v>423</v>
      </c>
      <c r="B116" s="62" t="s">
        <v>424</v>
      </c>
    </row>
    <row r="117" spans="1:2">
      <c r="A117" s="60" t="s">
        <v>425</v>
      </c>
      <c r="B117" s="62" t="s">
        <v>426</v>
      </c>
    </row>
    <row r="118" spans="1:2">
      <c r="A118" s="60" t="s">
        <v>427</v>
      </c>
      <c r="B118" s="62" t="s">
        <v>428</v>
      </c>
    </row>
    <row r="119" spans="1:2">
      <c r="A119" s="60" t="s">
        <v>429</v>
      </c>
      <c r="B119" s="62" t="s">
        <v>430</v>
      </c>
    </row>
    <row r="120" spans="1:2">
      <c r="A120" s="60" t="s">
        <v>431</v>
      </c>
      <c r="B120" s="62" t="s">
        <v>432</v>
      </c>
    </row>
    <row r="121" spans="1:2">
      <c r="A121" s="60" t="s">
        <v>433</v>
      </c>
      <c r="B121" s="62" t="s">
        <v>434</v>
      </c>
    </row>
    <row r="122" spans="1:2">
      <c r="A122" s="60" t="s">
        <v>435</v>
      </c>
      <c r="B122" s="62" t="s">
        <v>436</v>
      </c>
    </row>
    <row r="123" spans="1:2">
      <c r="A123" s="60" t="s">
        <v>437</v>
      </c>
      <c r="B123" s="62" t="s">
        <v>438</v>
      </c>
    </row>
    <row r="124" spans="1:2">
      <c r="A124" s="60" t="s">
        <v>439</v>
      </c>
      <c r="B124" s="62" t="s">
        <v>440</v>
      </c>
    </row>
    <row r="125" spans="1:2">
      <c r="A125" s="60" t="s">
        <v>441</v>
      </c>
      <c r="B125" s="62" t="s">
        <v>442</v>
      </c>
    </row>
    <row r="126" spans="1:2">
      <c r="A126" s="60" t="s">
        <v>443</v>
      </c>
      <c r="B126" s="62" t="s">
        <v>444</v>
      </c>
    </row>
    <row r="127" spans="1:2">
      <c r="A127" s="60" t="s">
        <v>445</v>
      </c>
      <c r="B127" s="62" t="s">
        <v>446</v>
      </c>
    </row>
    <row r="128" spans="1:2">
      <c r="A128" s="60" t="s">
        <v>447</v>
      </c>
      <c r="B128" s="62" t="s">
        <v>448</v>
      </c>
    </row>
    <row r="129" spans="1:2">
      <c r="A129" s="60" t="s">
        <v>449</v>
      </c>
      <c r="B129" s="62" t="s">
        <v>450</v>
      </c>
    </row>
    <row r="130" spans="1:2">
      <c r="A130" s="60" t="s">
        <v>451</v>
      </c>
      <c r="B130" s="62" t="s">
        <v>452</v>
      </c>
    </row>
    <row r="131" spans="1:2">
      <c r="A131" s="60" t="s">
        <v>453</v>
      </c>
      <c r="B131" s="62" t="s">
        <v>454</v>
      </c>
    </row>
    <row r="132" spans="1:2">
      <c r="A132" s="60" t="s">
        <v>455</v>
      </c>
      <c r="B132" s="62" t="s">
        <v>456</v>
      </c>
    </row>
    <row r="133" spans="1:2">
      <c r="A133" s="60" t="s">
        <v>457</v>
      </c>
      <c r="B133" s="62" t="s">
        <v>458</v>
      </c>
    </row>
    <row r="134" spans="1:2">
      <c r="A134" s="60" t="s">
        <v>459</v>
      </c>
      <c r="B134" s="62" t="s">
        <v>460</v>
      </c>
    </row>
    <row r="135" spans="1:2">
      <c r="A135" s="60" t="s">
        <v>461</v>
      </c>
      <c r="B135" s="62" t="s">
        <v>462</v>
      </c>
    </row>
    <row r="136" spans="1:2">
      <c r="A136" s="60" t="s">
        <v>463</v>
      </c>
      <c r="B136" s="62" t="s">
        <v>464</v>
      </c>
    </row>
    <row r="137" spans="1:2">
      <c r="A137" s="60" t="s">
        <v>465</v>
      </c>
      <c r="B137" s="62" t="s">
        <v>466</v>
      </c>
    </row>
    <row r="138" spans="1:2">
      <c r="A138" s="60" t="s">
        <v>467</v>
      </c>
      <c r="B138" s="62" t="s">
        <v>468</v>
      </c>
    </row>
    <row r="139" spans="1:2">
      <c r="A139" s="60" t="s">
        <v>469</v>
      </c>
      <c r="B139" s="62" t="s">
        <v>470</v>
      </c>
    </row>
    <row r="140" spans="1:2">
      <c r="A140" s="60" t="s">
        <v>471</v>
      </c>
      <c r="B140" s="62" t="s">
        <v>472</v>
      </c>
    </row>
    <row r="141" spans="1:2">
      <c r="A141" s="60" t="s">
        <v>473</v>
      </c>
      <c r="B141" s="62" t="s">
        <v>474</v>
      </c>
    </row>
    <row r="142" spans="1:2">
      <c r="A142" s="60" t="s">
        <v>475</v>
      </c>
      <c r="B142" s="62" t="s">
        <v>476</v>
      </c>
    </row>
    <row r="143" spans="1:2">
      <c r="A143" s="60" t="s">
        <v>477</v>
      </c>
      <c r="B143" s="62" t="s">
        <v>478</v>
      </c>
    </row>
    <row r="144" spans="1:2">
      <c r="A144" s="60" t="s">
        <v>479</v>
      </c>
      <c r="B144" s="62" t="s">
        <v>480</v>
      </c>
    </row>
    <row r="145" spans="1:2">
      <c r="A145" s="60" t="s">
        <v>481</v>
      </c>
      <c r="B145" s="62" t="s">
        <v>482</v>
      </c>
    </row>
    <row r="146" spans="1:2">
      <c r="A146" s="60" t="s">
        <v>483</v>
      </c>
      <c r="B146" s="62" t="s">
        <v>484</v>
      </c>
    </row>
    <row r="147" spans="1:2">
      <c r="A147" s="60" t="s">
        <v>485</v>
      </c>
      <c r="B147" s="62" t="s">
        <v>486</v>
      </c>
    </row>
    <row r="148" spans="1:2">
      <c r="A148" s="60" t="s">
        <v>487</v>
      </c>
      <c r="B148" s="62" t="s">
        <v>488</v>
      </c>
    </row>
    <row r="149" spans="1:2">
      <c r="A149" s="60" t="s">
        <v>489</v>
      </c>
      <c r="B149" s="62" t="s">
        <v>490</v>
      </c>
    </row>
    <row r="150" spans="1:2">
      <c r="A150" s="60" t="s">
        <v>491</v>
      </c>
      <c r="B150" s="62" t="s">
        <v>492</v>
      </c>
    </row>
    <row r="151" spans="1:2">
      <c r="A151" s="60" t="s">
        <v>493</v>
      </c>
      <c r="B151" s="62" t="s">
        <v>494</v>
      </c>
    </row>
    <row r="152" spans="1:2">
      <c r="A152" s="60" t="s">
        <v>495</v>
      </c>
      <c r="B152" s="62" t="s">
        <v>496</v>
      </c>
    </row>
    <row r="153" spans="1:2">
      <c r="A153" s="60" t="s">
        <v>497</v>
      </c>
      <c r="B153" s="62" t="s">
        <v>498</v>
      </c>
    </row>
    <row r="154" spans="1:2">
      <c r="A154" s="60" t="s">
        <v>499</v>
      </c>
      <c r="B154" s="62" t="s">
        <v>500</v>
      </c>
    </row>
    <row r="155" spans="1:2">
      <c r="A155" s="60" t="s">
        <v>501</v>
      </c>
      <c r="B155" s="62" t="s">
        <v>502</v>
      </c>
    </row>
    <row r="156" spans="1:2">
      <c r="A156" s="60" t="s">
        <v>503</v>
      </c>
      <c r="B156" s="62" t="s">
        <v>504</v>
      </c>
    </row>
    <row r="157" spans="1:2">
      <c r="A157" s="60" t="s">
        <v>505</v>
      </c>
      <c r="B157" s="62" t="s">
        <v>506</v>
      </c>
    </row>
    <row r="158" spans="1:2">
      <c r="A158" s="60" t="s">
        <v>507</v>
      </c>
      <c r="B158" s="62" t="s">
        <v>508</v>
      </c>
    </row>
    <row r="159" spans="1:2">
      <c r="A159" s="60" t="s">
        <v>509</v>
      </c>
      <c r="B159" s="62" t="s">
        <v>510</v>
      </c>
    </row>
    <row r="160" spans="1:2">
      <c r="A160" s="60" t="s">
        <v>511</v>
      </c>
      <c r="B160" s="62" t="s">
        <v>512</v>
      </c>
    </row>
    <row r="161" spans="1:2">
      <c r="A161" s="60" t="s">
        <v>513</v>
      </c>
      <c r="B161" s="62" t="s">
        <v>514</v>
      </c>
    </row>
    <row r="162" spans="1:2">
      <c r="A162" s="60" t="s">
        <v>515</v>
      </c>
      <c r="B162" s="62" t="s">
        <v>516</v>
      </c>
    </row>
    <row r="163" spans="1:2">
      <c r="A163" s="60" t="s">
        <v>517</v>
      </c>
      <c r="B163" s="62" t="s">
        <v>518</v>
      </c>
    </row>
    <row r="164" spans="1:2">
      <c r="A164" s="60" t="s">
        <v>519</v>
      </c>
      <c r="B164" s="62" t="s">
        <v>520</v>
      </c>
    </row>
    <row r="165" spans="1:2">
      <c r="A165" s="60" t="s">
        <v>521</v>
      </c>
      <c r="B165" s="62" t="s">
        <v>522</v>
      </c>
    </row>
    <row r="166" spans="1:2">
      <c r="A166" s="60" t="s">
        <v>523</v>
      </c>
      <c r="B166" s="62" t="s">
        <v>524</v>
      </c>
    </row>
    <row r="167" spans="1:2">
      <c r="A167" s="60" t="s">
        <v>525</v>
      </c>
      <c r="B167" s="62" t="s">
        <v>526</v>
      </c>
    </row>
    <row r="168" spans="1:2">
      <c r="A168" s="60" t="s">
        <v>527</v>
      </c>
      <c r="B168" s="62" t="s">
        <v>528</v>
      </c>
    </row>
    <row r="169" spans="1:2">
      <c r="A169" s="60" t="s">
        <v>529</v>
      </c>
      <c r="B169" s="62" t="s">
        <v>530</v>
      </c>
    </row>
    <row r="170" spans="1:2">
      <c r="A170" s="60" t="s">
        <v>531</v>
      </c>
      <c r="B170" s="62" t="s">
        <v>532</v>
      </c>
    </row>
  </sheetData>
  <phoneticPr fontId="22"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Final narrative report</DocumentType>
    <UploadedBy xmlns="b1528a4b-5ccb-40f7-a09e-43427183cd95">sara.bottin@un.org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Yes</DocModified>
    <NarrativeCode xmlns="b1528a4b-5ccb-40f7-a09e-43427183cd95" xsi:nil="true"/>
    <DocumentOrigin xmlns="b1528a4b-5ccb-40f7-a09e-43427183cd95">Project</DocumentOrigin>
    <DrupalDocId xmlns="b1528a4b-5ccb-40f7-a09e-43427183cd95">fc16a969-b9de-45e2-9afd-949429bd7c06</DrupalDocId>
    <Status xmlns="b1528a4b-5ccb-40f7-a09e-43427183cd95">Finalized - Signature Redacted</Status>
    <ProjectId xmlns="f9695bc1-6109-4dcd-a27a-f8a0370b00e2">MPTF_00006_00766</ProjectId>
    <FundCode xmlns="f9695bc1-6109-4dcd-a27a-f8a0370b00e2">MPTF_00006</FundCode>
    <Comments xmlns="f9695bc1-6109-4dcd-a27a-f8a0370b00e2">Final financial report</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DB1809-4FBF-4D65-9BAD-9B66A2D19ADB}">
  <ds:schemaRefs>
    <ds:schemaRef ds:uri="http://schemas.microsoft.com/sharepoint/v3/contenttype/forms"/>
  </ds:schemaRefs>
</ds:datastoreItem>
</file>

<file path=customXml/itemProps2.xml><?xml version="1.0" encoding="utf-8"?>
<ds:datastoreItem xmlns:ds="http://schemas.openxmlformats.org/officeDocument/2006/customXml" ds:itemID="{91B55C6B-E283-4C59-9E35-55269F3B32D1}">
  <ds:schemaRefs>
    <ds:schemaRef ds:uri="http://schemas.microsoft.com/office/2006/metadata/properties"/>
    <ds:schemaRef ds:uri="http://schemas.microsoft.com/office/infopath/2007/PartnerControls"/>
    <ds:schemaRef ds:uri="4a635383-2f95-4fab-8961-774f195aff21"/>
    <ds:schemaRef ds:uri="30bc5925-0212-4db7-a02a-b9a363b93940"/>
  </ds:schemaRefs>
</ds:datastoreItem>
</file>

<file path=customXml/itemProps3.xml><?xml version="1.0" encoding="utf-8"?>
<ds:datastoreItem xmlns:ds="http://schemas.openxmlformats.org/officeDocument/2006/customXml" ds:itemID="{F927DFDA-7F9B-46CC-8CC5-BB7736C2A3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pbf_oimfao_oim_mrtml_budget_final_xls_0.xlsx</dc:title>
  <dc:subject/>
  <dc:creator>Jelena Zelenovic</dc:creator>
  <cp:keywords/>
  <dc:description/>
  <cp:lastModifiedBy>DUCROS Momme</cp:lastModifiedBy>
  <cp:revision/>
  <dcterms:created xsi:type="dcterms:W3CDTF">2017-11-15T21:17:43Z</dcterms:created>
  <dcterms:modified xsi:type="dcterms:W3CDTF">2023-11-15T16:40:15Z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2020-09-01T20:08:53Z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123ffa44-e13c-4d81-b3e8-0000f7d6e905</vt:lpwstr>
  </property>
  <property fmtid="{D5CDD505-2E9C-101B-9397-08002B2CF9AE}" pid="8" name="MSIP_Label_2059aa38-f392-4105-be92-628035578272_ContentBits">
    <vt:lpwstr>0</vt:lpwstr>
  </property>
  <property fmtid="{D5CDD505-2E9C-101B-9397-08002B2CF9AE}" pid="9" name="ContentTypeId">
    <vt:lpwstr>0x010100A20E1B0FB969FA4DB37D3562DA9CC146</vt:lpwstr>
  </property>
  <property fmtid="{D5CDD505-2E9C-101B-9397-08002B2CF9AE}" pid="10" name="Order">
    <vt:r8>2258200</vt:r8>
  </property>
  <property fmtid="{D5CDD505-2E9C-101B-9397-08002B2CF9AE}" pid="11" name="MediaServiceImageTags">
    <vt:lpwstr/>
  </property>
</Properties>
</file>