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Lenovo\Desktop\UNPBF FInal Reports\"/>
    </mc:Choice>
  </mc:AlternateContent>
  <xr:revisionPtr revIDLastSave="0" documentId="13_ncr:1_{19A03DB2-E283-4B19-9679-32D8E1EE6A3D}" xr6:coauthVersionLast="38" xr6:coauthVersionMax="38" xr10:uidLastSave="{00000000-0000-0000-0000-000000000000}"/>
  <bookViews>
    <workbookView xWindow="0" yWindow="0" windowWidth="16457" windowHeight="4714" xr2:uid="{E8EB6BB2-89F4-4F46-8F2A-252F5178A22A}"/>
  </bookViews>
  <sheets>
    <sheet name="Report to September 2023" sheetId="1" r:id="rId1"/>
    <sheet name="Cost categories " sheetId="2" r:id="rId2"/>
  </sheets>
  <definedNames>
    <definedName name="_xlnm._FilterDatabase" localSheetId="0" hidden="1">'Report to September 2023'!$B$3:$L$44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G8" i="2" l="1"/>
  <c r="G5" i="2"/>
  <c r="G4" i="2"/>
  <c r="G3" i="2"/>
  <c r="F7" i="2"/>
  <c r="G9" i="2" l="1"/>
  <c r="G6" i="2" l="1"/>
  <c r="G10" i="2" s="1"/>
  <c r="E153" i="1" l="1"/>
  <c r="E143" i="1"/>
  <c r="E135" i="1"/>
  <c r="G126" i="1"/>
  <c r="F126" i="1"/>
  <c r="E126" i="1"/>
  <c r="H125" i="1"/>
  <c r="E6" i="2" s="1"/>
  <c r="F6" i="2" s="1"/>
  <c r="H124" i="1"/>
  <c r="H123" i="1"/>
  <c r="H122" i="1"/>
  <c r="H121" i="1"/>
  <c r="G118" i="1"/>
  <c r="F118" i="1"/>
  <c r="E118" i="1"/>
  <c r="H117" i="1"/>
  <c r="H116" i="1"/>
  <c r="H115" i="1"/>
  <c r="H114" i="1"/>
  <c r="H113" i="1"/>
  <c r="H112" i="1"/>
  <c r="H111" i="1"/>
  <c r="H110" i="1"/>
  <c r="G108" i="1"/>
  <c r="F108" i="1"/>
  <c r="E108" i="1"/>
  <c r="H107" i="1"/>
  <c r="H106" i="1"/>
  <c r="H105" i="1"/>
  <c r="H104" i="1"/>
  <c r="H103" i="1"/>
  <c r="H102" i="1"/>
  <c r="H101" i="1"/>
  <c r="H100" i="1"/>
  <c r="G98" i="1"/>
  <c r="F98" i="1"/>
  <c r="E98" i="1"/>
  <c r="H97" i="1"/>
  <c r="H96" i="1"/>
  <c r="H95" i="1"/>
  <c r="H94" i="1"/>
  <c r="H93" i="1"/>
  <c r="H92" i="1"/>
  <c r="H91" i="1"/>
  <c r="H90" i="1"/>
  <c r="G86" i="1"/>
  <c r="F86" i="1"/>
  <c r="E86" i="1"/>
  <c r="H85" i="1"/>
  <c r="H84" i="1"/>
  <c r="H83" i="1"/>
  <c r="H82" i="1"/>
  <c r="H81" i="1"/>
  <c r="H80" i="1"/>
  <c r="H79" i="1"/>
  <c r="H78" i="1"/>
  <c r="G76" i="1"/>
  <c r="F76" i="1"/>
  <c r="E76" i="1"/>
  <c r="H75" i="1"/>
  <c r="H74" i="1"/>
  <c r="H73" i="1"/>
  <c r="H72" i="1"/>
  <c r="H71" i="1"/>
  <c r="H70" i="1"/>
  <c r="H69" i="1"/>
  <c r="H68" i="1"/>
  <c r="I76" i="1" s="1"/>
  <c r="G66" i="1"/>
  <c r="F66" i="1"/>
  <c r="E66" i="1"/>
  <c r="H65" i="1"/>
  <c r="H64" i="1"/>
  <c r="H63" i="1"/>
  <c r="H62" i="1"/>
  <c r="H61" i="1"/>
  <c r="H60" i="1"/>
  <c r="H59" i="1"/>
  <c r="H58" i="1"/>
  <c r="G56" i="1"/>
  <c r="F56" i="1"/>
  <c r="E56" i="1"/>
  <c r="H55" i="1"/>
  <c r="H54" i="1"/>
  <c r="H53" i="1"/>
  <c r="H52" i="1"/>
  <c r="E5" i="2" s="1"/>
  <c r="F5" i="2" s="1"/>
  <c r="H51" i="1"/>
  <c r="H50" i="1"/>
  <c r="H49" i="1"/>
  <c r="H48" i="1"/>
  <c r="G44" i="1"/>
  <c r="F44" i="1"/>
  <c r="E44" i="1"/>
  <c r="H43" i="1"/>
  <c r="H42" i="1"/>
  <c r="H41" i="1"/>
  <c r="H40" i="1"/>
  <c r="H39" i="1"/>
  <c r="H38" i="1"/>
  <c r="H37" i="1"/>
  <c r="H36" i="1"/>
  <c r="G34" i="1"/>
  <c r="F34" i="1"/>
  <c r="E34" i="1"/>
  <c r="H33" i="1"/>
  <c r="H32" i="1"/>
  <c r="H31" i="1"/>
  <c r="H30" i="1"/>
  <c r="H29" i="1"/>
  <c r="H28" i="1"/>
  <c r="H27" i="1"/>
  <c r="H26" i="1"/>
  <c r="G24" i="1"/>
  <c r="F24" i="1"/>
  <c r="E24" i="1"/>
  <c r="H23" i="1"/>
  <c r="H22" i="1"/>
  <c r="H21" i="1"/>
  <c r="H20" i="1"/>
  <c r="H19" i="1"/>
  <c r="H18" i="1"/>
  <c r="H17" i="1"/>
  <c r="H16" i="1"/>
  <c r="G14" i="1"/>
  <c r="F14" i="1"/>
  <c r="E14" i="1"/>
  <c r="H13" i="1"/>
  <c r="H12" i="1"/>
  <c r="H11" i="1"/>
  <c r="H10" i="1"/>
  <c r="H9" i="1"/>
  <c r="E8" i="2" s="1"/>
  <c r="F8" i="2" s="1"/>
  <c r="H8" i="1"/>
  <c r="H7" i="1"/>
  <c r="H6" i="1"/>
  <c r="I126" i="1" l="1"/>
  <c r="I86" i="1"/>
  <c r="I66" i="1"/>
  <c r="E3" i="2"/>
  <c r="F3" i="2" s="1"/>
  <c r="E9" i="2"/>
  <c r="F9" i="2" s="1"/>
  <c r="I98" i="1"/>
  <c r="I56" i="1"/>
  <c r="E4" i="2"/>
  <c r="F4" i="2" s="1"/>
  <c r="I108" i="1"/>
  <c r="I14" i="1"/>
  <c r="I24" i="1"/>
  <c r="H44" i="1"/>
  <c r="H56" i="1"/>
  <c r="H34" i="1"/>
  <c r="E137" i="1"/>
  <c r="H137" i="1" s="1"/>
  <c r="F137" i="1"/>
  <c r="F138" i="1" s="1"/>
  <c r="F146" i="1" s="1"/>
  <c r="H66" i="1"/>
  <c r="H118" i="1"/>
  <c r="H14" i="1"/>
  <c r="G137" i="1"/>
  <c r="H76" i="1"/>
  <c r="H98" i="1"/>
  <c r="I34" i="1"/>
  <c r="H86" i="1"/>
  <c r="I118" i="1"/>
  <c r="H126" i="1"/>
  <c r="H24" i="1"/>
  <c r="H108" i="1"/>
  <c r="I44" i="1"/>
  <c r="E150" i="1" l="1"/>
  <c r="F145" i="1"/>
  <c r="F148" i="1" s="1"/>
  <c r="G138" i="1"/>
  <c r="G146" i="1" s="1"/>
  <c r="F139" i="1"/>
  <c r="E138" i="1"/>
  <c r="E139" i="1" s="1"/>
  <c r="E146" i="1" s="1"/>
  <c r="H138" i="1"/>
  <c r="E151" i="1" l="1"/>
  <c r="E154" i="1"/>
  <c r="G139" i="1"/>
  <c r="H139" i="1"/>
  <c r="E147" i="1"/>
  <c r="E145" i="1"/>
  <c r="G145" i="1"/>
  <c r="G148" i="1" s="1"/>
  <c r="E1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tc={7BF4ED47-2B7E-4AB6-9466-4DB63A0D9B02}</author>
  </authors>
  <commentList>
    <comment ref="K3" authorId="0" shapeId="0" xr:uid="{7BF4ED47-2B7E-4AB6-9466-4DB63A0D9B02}">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This column shows that the activities are yet to be implemented. Please revise to reflect results, demonstrating that the activities have taken place. </t>
        </r>
      </text>
    </comment>
  </commentList>
</comments>
</file>

<file path=xl/sharedStrings.xml><?xml version="1.0" encoding="utf-8"?>
<sst xmlns="http://schemas.openxmlformats.org/spreadsheetml/2006/main" count="315" uniqueCount="260">
  <si>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</si>
  <si>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</si>
  <si>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</si>
  <si>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</si>
  <si>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</si>
  <si>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</si>
  <si>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</si>
  <si>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</si>
  <si>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</si>
  <si>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</si>
  <si>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</si>
  <si>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Women and youth CSOs and CBOs effectively engage in land rights governance and conflict mitigation.</t>
  </si>
  <si>
    <t>Output 1.1:</t>
  </si>
  <si>
    <t>Training conducted for 8 CBOs and 4 Rural Women networks</t>
  </si>
  <si>
    <t>Activity 1.1.1:</t>
  </si>
  <si>
    <t xml:space="preserve">Capacity Building &amp; Technical support to Implementing partners </t>
  </si>
  <si>
    <t>Activity 1.1.2:</t>
  </si>
  <si>
    <t>Train the Trainers (ToT) on Human Rights Based Approach &amp; Feminist Analysis at county level</t>
  </si>
  <si>
    <t>Activity 1.1.3:</t>
  </si>
  <si>
    <t>TOT Training PVA, REFLECT Action and particpatory methodologies training at county level</t>
  </si>
  <si>
    <t>Activity 1.1.4</t>
  </si>
  <si>
    <t>Leadership and organization development training for CSOs/CBOs/Networks at county level</t>
  </si>
  <si>
    <t>Activity 1.1.5</t>
  </si>
  <si>
    <t>Technical training for CSOs/CBOs/Networks on land rights and related policies at county level</t>
  </si>
  <si>
    <t>Activity 1.1.6</t>
  </si>
  <si>
    <t>TOT Skills development on advocacy, outreach and campaigning for CSOs/CBOs/Networks &amp; ToT for CBOs/CSOs/networks on Alternative Dispute Resolution (ADR) mechanisms</t>
  </si>
  <si>
    <t>Activity 1.1.7</t>
  </si>
  <si>
    <t xml:space="preserve">Peer Mediation Trainings for Women </t>
  </si>
  <si>
    <t>Activity 1.1.8</t>
  </si>
  <si>
    <t>Project Manager (AA) 25%</t>
  </si>
  <si>
    <t>Output Total</t>
  </si>
  <si>
    <t>Output 1.2:</t>
  </si>
  <si>
    <t xml:space="preserve">Small Grants provided to  8 CBOs and 4  Rural Women networks </t>
  </si>
  <si>
    <t>Activity 1.2.1</t>
  </si>
  <si>
    <t>Security &amp; Risk Management Training  &amp; Sub grants to 6 CBOs/CSOs</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</si>
  <si>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</si>
  <si>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</si>
  <si>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</si>
  <si>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</si>
  <si>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</si>
  <si>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</si>
  <si>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</si>
  <si>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</si>
  <si>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</si>
  <si>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</si>
  <si>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</si>
  <si>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</si>
  <si>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</si>
  <si>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</si>
  <si>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</si>
  <si>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</si>
  <si>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</si>
  <si>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</si>
  <si>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</si>
  <si>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</si>
  <si>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</si>
  <si>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</si>
  <si>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</si>
  <si>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</si>
  <si>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</si>
  <si>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</si>
  <si>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3000 Youth, especially young women, have increased agency on land governance and hold community leaders, government and concessions accountable to their land rights.</t>
  </si>
  <si>
    <t>Outcome 2.1</t>
  </si>
  <si>
    <t xml:space="preserve">Customized tools on land rights, concessions and related policies developed </t>
  </si>
  <si>
    <t>Activity 2.1.1</t>
  </si>
  <si>
    <t xml:space="preserve">Customize Tool Kits on customary land rights, concessions and related policies </t>
  </si>
  <si>
    <t>Activity 2.1.2</t>
  </si>
  <si>
    <t xml:space="preserve">Vehicle Rental &amp; fuel support for partners </t>
  </si>
  <si>
    <t>Activity 2.1.3</t>
  </si>
  <si>
    <t>Printing/Copying</t>
  </si>
  <si>
    <t>Activity 2.1.4</t>
  </si>
  <si>
    <t>Office running (partners - IP and strategic)</t>
  </si>
  <si>
    <t>Activity 2.1.5</t>
  </si>
  <si>
    <t>Laptops</t>
  </si>
  <si>
    <t>Activity 2.1.6</t>
  </si>
  <si>
    <t>Furniture</t>
  </si>
  <si>
    <t>Activity 2.1.7</t>
  </si>
  <si>
    <t>Activity 2.1.8</t>
  </si>
  <si>
    <t>Output 2.2</t>
  </si>
  <si>
    <t>Dialogues held</t>
  </si>
  <si>
    <t>Activity 2.2.1</t>
  </si>
  <si>
    <t xml:space="preserve">REFLECT Circles and County Dialogues </t>
  </si>
  <si>
    <t>Activity 2.2.2</t>
  </si>
  <si>
    <t>Social media /Digital workshop</t>
  </si>
  <si>
    <t>Activity 2.2.3</t>
  </si>
  <si>
    <t>Inception Workshop (internal &amp; external)</t>
  </si>
  <si>
    <t>Activity 2.2.4</t>
  </si>
  <si>
    <t>Project Launch (National)</t>
  </si>
  <si>
    <t>Activity 2.2.5</t>
  </si>
  <si>
    <t>Project Launch (County)</t>
  </si>
  <si>
    <t>Activity 2.2.6</t>
  </si>
  <si>
    <t>Activity 2.2.7</t>
  </si>
  <si>
    <t>Activity 2.2.8</t>
  </si>
  <si>
    <t>Output 2.3</t>
  </si>
  <si>
    <t>Informal community spaces (savings and lending groups) utilized</t>
  </si>
  <si>
    <t>Activity 2.3.1</t>
  </si>
  <si>
    <t xml:space="preserve">Women Caravan on Land &amp; Peace </t>
  </si>
  <si>
    <t>Activity 2.3.2</t>
  </si>
  <si>
    <t>Digital Engagement/ Mobilization/Community Talkshows</t>
  </si>
  <si>
    <t>Activity 2.3.3</t>
  </si>
  <si>
    <t>Activity 2.3.4</t>
  </si>
  <si>
    <t>Activity 2.3.5</t>
  </si>
  <si>
    <t>Activity 2.3.6</t>
  </si>
  <si>
    <t>Activity 2.3.7</t>
  </si>
  <si>
    <t>Activity 2.3.8</t>
  </si>
  <si>
    <t>Output 2.4</t>
  </si>
  <si>
    <t xml:space="preserve">Visibility material developed and disseminated </t>
  </si>
  <si>
    <t>Activity 2.4.1</t>
  </si>
  <si>
    <t xml:space="preserve">IEC materials development </t>
  </si>
  <si>
    <t>Activity 2.4.2</t>
  </si>
  <si>
    <t>IEC materials roll out at national level</t>
  </si>
  <si>
    <t>Activity 2.4.3</t>
  </si>
  <si>
    <t>Visibility actions at national and County level  (awareness activities, media engagement, murals, banners, social media, etc)AAL</t>
  </si>
  <si>
    <t>Activity 2.4.4</t>
  </si>
  <si>
    <t>Activity 2.4.5</t>
  </si>
  <si>
    <t>Activity 2.4.6</t>
  </si>
  <si>
    <t>Activity 2.4.7</t>
  </si>
  <si>
    <t>Activity 2.4.8</t>
  </si>
  <si>
    <t xml:space="preserve">OUTCOME 3: </t>
  </si>
  <si>
    <t>Youth, especially young women, have increased advocacy space at national level on land governance and peace building</t>
  </si>
  <si>
    <t>Output 3.1</t>
  </si>
  <si>
    <t xml:space="preserve">National partners supported with training and tools </t>
  </si>
  <si>
    <t>Activity 3.1.1</t>
  </si>
  <si>
    <t xml:space="preserve">Training for National Orgs/CSOs: FLY, RWN, WONGOSOL and LIPRIDE </t>
  </si>
  <si>
    <t>Activity 3.1.2</t>
  </si>
  <si>
    <t>Town Hall Meetings (1 per year per county year 1, 2 per county per yr 2 )</t>
  </si>
  <si>
    <t>Activity 3.1.3</t>
  </si>
  <si>
    <t>Activity 3.1.4</t>
  </si>
  <si>
    <t>Activity 3.1.5</t>
  </si>
  <si>
    <t>Activity 3.1.6</t>
  </si>
  <si>
    <t>Activity 3.1.7</t>
  </si>
  <si>
    <t>Activity 3.1.8</t>
  </si>
  <si>
    <t>Output 3.2:</t>
  </si>
  <si>
    <t>Advocacy and campaign initiatives conducted at national level</t>
  </si>
  <si>
    <t>Activity 3.2.1</t>
  </si>
  <si>
    <t>Policy dialogues with National Stakeholders' on economic and climate justice for youth</t>
  </si>
  <si>
    <t>Activity 3.2.2</t>
  </si>
  <si>
    <t>Develop and disseminate policy briefs</t>
  </si>
  <si>
    <t>Activity 3.2.3</t>
  </si>
  <si>
    <t>Activity 3.2.4</t>
  </si>
  <si>
    <t>Activity 3.2.5</t>
  </si>
  <si>
    <t>Activity 3.2.6</t>
  </si>
  <si>
    <t>Activity 3.2.7</t>
  </si>
  <si>
    <t>Activity 3.2.8</t>
  </si>
  <si>
    <t>Output 3.3</t>
  </si>
  <si>
    <t>CBO and Rural Women Networks receive mentorship, technical support and links to other networks to enable them to engage on national issues</t>
  </si>
  <si>
    <t>Activity 3.3.1</t>
  </si>
  <si>
    <t>ELBAG Training for National Youth Orgs/CSOs</t>
  </si>
  <si>
    <t>Activity 3.3.2</t>
  </si>
  <si>
    <t xml:space="preserve">Support to National Youth Orgs/CSOs Advocacy Actions </t>
  </si>
  <si>
    <t>Activity 3.3.3</t>
  </si>
  <si>
    <t>Activity 3.3.4</t>
  </si>
  <si>
    <t>Activity 3.3.5</t>
  </si>
  <si>
    <t>Activity 3.3.6</t>
  </si>
  <si>
    <t>Activity 3.3.7</t>
  </si>
  <si>
    <t>Activity 3.3.8</t>
  </si>
  <si>
    <t>Additional personnel costs</t>
  </si>
  <si>
    <t>General Support staff cost</t>
  </si>
  <si>
    <t>Additional operational costs</t>
  </si>
  <si>
    <t>General and Office Support cost</t>
  </si>
  <si>
    <t>Monitoring budget</t>
  </si>
  <si>
    <t xml:space="preserve">Monitoring </t>
  </si>
  <si>
    <t>Budget for independent final evaluation</t>
  </si>
  <si>
    <t>End of Project Evaluation (consultancy and field travel)</t>
  </si>
  <si>
    <t>Budget for independent audit</t>
  </si>
  <si>
    <t>Annual External Audit (consultancy and field travel)</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</si>
  <si>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</si>
  <si>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</si>
  <si>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</si>
  <si>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</si>
  <si>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</si>
  <si>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</si>
  <si>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</si>
  <si>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</si>
  <si>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</si>
  <si>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</si>
  <si>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</si>
  <si>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</si>
  <si>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2"/>
        <color theme="1"/>
        <rFont val="Calibri"/>
        <family val="2"/>
        <scheme val="minor"/>
      </rPr>
      <t>(includes indirect costs)</t>
    </r>
  </si>
  <si>
    <t>Total Expenditure</t>
  </si>
  <si>
    <t>% Towards GEWE</t>
  </si>
  <si>
    <t>Delivery Rate:</t>
  </si>
  <si>
    <r>
      <t xml:space="preserve">$ Towards M&amp;E </t>
    </r>
    <r>
      <rPr>
        <sz val="12"/>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</si>
  <si>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</si>
  <si>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2"/>
        <color theme="1"/>
        <rFont val="Calibri"/>
        <family val="2"/>
        <scheme val="minor"/>
      </rPr>
      <t xml:space="preserve"> towards M&amp;E and less than </t>
    </r>
    <r>
      <rPr>
        <b/>
        <sz val="11"/>
        <color theme="1"/>
        <rFont val="Calibri"/>
        <family val="2"/>
        <scheme val="minor"/>
      </rPr>
      <t xml:space="preserve">15% </t>
    </r>
    <r>
      <rPr>
        <sz val="12"/>
        <color theme="1"/>
        <rFont val="Calibri"/>
        <family val="2"/>
        <scheme val="minor"/>
      </rPr>
      <t xml:space="preserve">towards GEWE. These figures will show as </t>
    </r>
    <r>
      <rPr>
        <sz val="11"/>
        <color rgb="FFFF0000"/>
        <rFont val="Calibri"/>
        <family val="2"/>
        <scheme val="minor"/>
      </rPr>
      <t xml:space="preserve">red </t>
    </r>
    <r>
      <rPr>
        <sz val="12"/>
        <color theme="1"/>
        <rFont val="Calibri"/>
        <family val="2"/>
        <scheme val="minor"/>
      </rPr>
      <t xml:space="preserve">if this minimum threshold is not met.  </t>
    </r>
  </si>
  <si>
    <t>7. General Operating and other Costs</t>
  </si>
  <si>
    <t>6. Transfers and Grants to Counterparts</t>
  </si>
  <si>
    <t>1. Staff and other personnel</t>
  </si>
  <si>
    <t>2. Supplies, Commodities, Materials</t>
  </si>
  <si>
    <t>3. Equipment, Vehicles, and Furniture</t>
  </si>
  <si>
    <t>2. Supplies, Commodities, Materials / 6. Transfers and Grants to Counterparts</t>
  </si>
  <si>
    <t xml:space="preserve">7. General Operating and other Costs </t>
  </si>
  <si>
    <t>4. Contractual services</t>
  </si>
  <si>
    <t>1. Staff and other personnel / 6. Transfers and Grants to Counterparts</t>
  </si>
  <si>
    <t>7. General Operating and other Costs / 5. Travel / 6. Transfers and Grants to Counterparts</t>
  </si>
  <si>
    <t>3. Equipment, Vehicles, and Furniture (including Depreciation)</t>
  </si>
  <si>
    <t>5. Travel</t>
  </si>
  <si>
    <t xml:space="preserve">8. Indirect support costs </t>
  </si>
  <si>
    <t>9. Total received funds</t>
  </si>
  <si>
    <t xml:space="preserve">10. Agency Earned Interest Income </t>
  </si>
  <si>
    <t>11. Refunds (end project)</t>
  </si>
  <si>
    <r>
      <rPr>
        <b/>
        <sz val="12"/>
        <color theme="1"/>
        <rFont val="Calibri"/>
        <family val="2"/>
        <scheme val="minor"/>
      </rPr>
      <t>1. Staff and other personnel costs:</t>
    </r>
    <r>
      <rPr>
        <sz val="12"/>
        <color theme="1"/>
        <rFont val="Calibri"/>
        <family val="2"/>
        <scheme val="minor"/>
      </rPr>
      <t xml:space="preserve"> Includes all related staff and temporary staff costs including base salary, post adjustment and all staff entitlements.</t>
    </r>
  </si>
  <si>
    <r>
      <rPr>
        <b/>
        <sz val="12"/>
        <color theme="1"/>
        <rFont val="Calibri"/>
        <family val="2"/>
        <scheme val="minor"/>
      </rPr>
      <t>2. Supplies, Commodities, Materials:</t>
    </r>
    <r>
      <rPr>
        <sz val="12"/>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</si>
  <si>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2"/>
        <color theme="1"/>
        <rFont val="Calibri"/>
        <family val="2"/>
        <scheme val="minor"/>
      </rPr>
      <t>3. Equipment, Vehicles and Furniture including Depreciation:</t>
    </r>
    <r>
      <rPr>
        <sz val="12"/>
        <color theme="1"/>
        <rFont val="Calibri"/>
        <family val="2"/>
        <scheme val="minor"/>
      </rPr>
      <t xml:space="preserve"> For those reporting assets on UNSAS or modified UNSAS basis (i.e. expense up front) this would relate to all costs to put asset into service. For those who do donor reports according to IPSAS this would equal depreciation for period.</t>
    </r>
  </si>
  <si>
    <r>
      <rPr>
        <b/>
        <sz val="12"/>
        <color theme="1"/>
        <rFont val="Calibri"/>
        <family val="2"/>
        <scheme val="minor"/>
      </rPr>
      <t xml:space="preserve">4. Contractual Services: </t>
    </r>
    <r>
      <rPr>
        <sz val="12"/>
        <color theme="1"/>
        <rFont val="Calibri"/>
        <family val="2"/>
        <scheme val="minor"/>
      </rPr>
      <t>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</si>
  <si>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2"/>
        <color theme="1"/>
        <rFont val="Calibri"/>
        <family val="2"/>
        <scheme val="minor"/>
      </rPr>
      <t xml:space="preserve">6. Transfers and Grants to Counterparts: </t>
    </r>
    <r>
      <rPr>
        <sz val="12"/>
        <color theme="1"/>
        <rFont val="Calibri"/>
        <family val="2"/>
        <scheme val="minor"/>
      </rPr>
      <t>Includes transfers to national counterparts and any other transfers given to an implementing partner (e.g. NGO) which is not similar to a commercial service contract as per above. In IPSAS terms this would be more similar to non-exchange transactions.</t>
    </r>
  </si>
  <si>
    <r>
      <rPr>
        <b/>
        <sz val="12"/>
        <color theme="1"/>
        <rFont val="Calibri"/>
        <family val="2"/>
        <scheme val="minor"/>
      </rPr>
      <t xml:space="preserve">7. General Operating and Other Direct Costs: </t>
    </r>
    <r>
      <rPr>
        <sz val="12"/>
        <color theme="1"/>
        <rFont val="Calibri"/>
        <family val="2"/>
        <scheme val="minor"/>
      </rPr>
      <t>Includes all general operating costs for running an office. Examples include telecommunication, rents, finance charges and other costs which cannot be mapped to other expense categories.</t>
    </r>
  </si>
  <si>
    <t xml:space="preserve">Spend to date </t>
  </si>
  <si>
    <t>Please note that the following budget lines are split between categories for more accurate classification:</t>
  </si>
  <si>
    <t>62,000 USD to category 6. Transfers and Grants to Counterparts. These costs relate to partner staff</t>
  </si>
  <si>
    <t>2.4.3 Visibility actions at national and County level  (awareness activities, media engagement, murals, banners, social media, etc)AAL</t>
  </si>
  <si>
    <t xml:space="preserve">20,000 USD to category 6. Transfers and Grants to Counterparts. These costs relate to partners' visibility actions. </t>
  </si>
  <si>
    <t>9,500 USD to category 5. Travel</t>
  </si>
  <si>
    <t>48,000 USD relates to partner office costs under category 6. Transfers and Grants to Counterparts</t>
  </si>
  <si>
    <t>71852 USD to category 1. Staff costs. These costs relate to ActionAid staff</t>
  </si>
  <si>
    <t xml:space="preserve">1,136 USD relates to ActionAid office furniture, under category 3. Equipment, Vehicles, and Furniture </t>
  </si>
  <si>
    <t xml:space="preserve">24,264 USD relates to ActionAid office costs, under category 7. General Operating and other Costs </t>
  </si>
  <si>
    <t xml:space="preserve">Percentage change </t>
  </si>
  <si>
    <t>Cost categories at time of budget revision, July 23</t>
  </si>
  <si>
    <r>
      <rPr>
        <b/>
        <sz val="12"/>
        <color theme="1"/>
        <rFont val="Calibri"/>
        <family val="2"/>
        <scheme val="minor"/>
      </rPr>
      <t xml:space="preserve">5. Travel: </t>
    </r>
    <r>
      <rPr>
        <sz val="12"/>
        <color theme="1"/>
        <rFont val="Calibri"/>
        <family val="2"/>
        <scheme val="minor"/>
      </rPr>
      <t>Includes staff and non-staff travel paid for by the organization directly related to a project.</t>
    </r>
  </si>
  <si>
    <t>Budget line</t>
  </si>
  <si>
    <t xml:space="preserve">Cost category allocation </t>
  </si>
  <si>
    <t xml:space="preserve">30,000 USD to category 2. Supplies, Commodities, Materials. These costs relate to ActionAid IEC materials and visibility actions </t>
  </si>
  <si>
    <t xml:space="preserve">Cost category </t>
  </si>
  <si>
    <t>Total per cost categories at time of proposal</t>
  </si>
  <si>
    <t xml:space="preserve">The Human Rights Based Approach Training of Trainers included sessions on gender equality as well as strengthening women and girls rights as part of the human rights framework </t>
  </si>
  <si>
    <t>A Laptop was procured for the Program Coordinator who was working full time on the project.</t>
  </si>
  <si>
    <t>Furniture was procured for the Program Coordinator who was dedicated full time on the project.</t>
  </si>
  <si>
    <t>This activity was to facilitate the launching of the project at national level to the project stakeholders</t>
  </si>
  <si>
    <t>This facilitated the launching of the project at County level to the project stakeholders</t>
  </si>
  <si>
    <t>The Program Coordinator was responsible for the direct implementation of this project and worked with the partners to ensure project deliverables are achieved. 25% of the PC's time was allocated to this Output</t>
  </si>
  <si>
    <t xml:space="preserve">The townhall meetings were organized in such a way that they  promoted participation of both young men and young women </t>
  </si>
  <si>
    <t>The training curricum and trainings for ELBAG included gender equality sessions, fostering equal participation and gender equality accountability</t>
  </si>
  <si>
    <t>The support to the national youth organizations and CSOs' advocacy actions included key messaging focused on promoting gender equality</t>
  </si>
  <si>
    <t xml:space="preserve">Monitoring was  done during the imeplementation of this project and covered accommodation, perdiem and fuel cost </t>
  </si>
  <si>
    <t xml:space="preserve">The TOT on Participatory Vulnerability Assessment included sessions on power analysis and gender mainstreaming in vulnerability assessments. </t>
  </si>
  <si>
    <t xml:space="preserve">Training on leadership and organizational development included sessions on promoting women's leadership and participation to ensure targeted CSOs/Networks have equal representation of young women and men. </t>
  </si>
  <si>
    <t>Capacity building provided by ActionAid for implementing partners included sessions and tools to help them carry out gender equality assessments as well as promoting gender equality within their organizations</t>
  </si>
  <si>
    <t xml:space="preserve">The technical trainings on land rights and related policies included specific sessions and tools that support equal participation of young people especially young women. </t>
  </si>
  <si>
    <t>The trainings focused on specific gendered aspects of advocacy as well as sessions on supporting increased equal participation in ADR mechanisms</t>
  </si>
  <si>
    <t xml:space="preserve">Majority of the peer mediation trainings for women focused on strengthening women's equal participation especcially young women in conflict mediation. </t>
  </si>
  <si>
    <t>The Program Coordinator was responsible for the direct implementation of this project and  working with the partners to ensure project deliverables are achieved. 25% of the PC's time was allocated to this Output</t>
  </si>
  <si>
    <t xml:space="preserve">The trainings on security and risk management focused on gendered security concerns including sessions on promoting equality as a means to reduce security risk for women and girls. </t>
  </si>
  <si>
    <t>All the tools developed factored in gender equality as well as supporting end users' gender analysis.</t>
  </si>
  <si>
    <t>Vehicle rental line was used to support the project implementation to various communities since this project did not procure a vehicle.</t>
  </si>
  <si>
    <t>Printing and copying project documents, such policy briefs and other project documents supported documentation and awareness of the project.</t>
  </si>
  <si>
    <t xml:space="preserve">Partner running costs provided support to the running of the project activities. This was an indirect support to the project. </t>
  </si>
  <si>
    <t>The Program Coordinator was responsible for the direct implementation of this project and worked with the partners to ensure project deliverables were achieved. 25% of the PC's time was allocated to this Output</t>
  </si>
  <si>
    <t>The REFLECT Circles provided young people especially young women and men with alternative spaces for dialogue. The circles  accommodated women and girls who did not have high literacy levels to dialogue through the methods used.</t>
  </si>
  <si>
    <t>The social media and digital workshops included gender equality approaches to promotion of equal participation between women and men</t>
  </si>
  <si>
    <t>The inception meetings served as entry meetings at county levels where the project was introduced to increase awareness and get their buy in.</t>
  </si>
  <si>
    <t xml:space="preserve">The women caravan on land and peace supported engagement of men to ensure positive masculinity and shared goals on women land rights. </t>
  </si>
  <si>
    <t>The digital engagement and mobilization at community level sought to ensure equal partiaption of all young people (male and female)</t>
  </si>
  <si>
    <t xml:space="preserve">The IEC material produced and disseminated promoted equal participation between men and women. </t>
  </si>
  <si>
    <t>The visibility action material and activities ensured gendered approaches that support inclusivity and equal participation of men and women.</t>
  </si>
  <si>
    <t>The training for the national women and youth networks included specific sessions on gender equality and inclusivity providing space for key population groups</t>
  </si>
  <si>
    <t>The policy dialogues were planned to include plenaries on gender equality as well as gendered lens on land rights in Liberia. This activity was not finalised due to mobilisation challenges related to the Presidential, Senate and House of representative elections.</t>
  </si>
  <si>
    <t xml:space="preserve">The policy briefs were expected to be developed from the dialogue meeting and were expected to cover all constituencies including women, men and key populations groups </t>
  </si>
  <si>
    <t>This budget was reallocated following advice from PBF, and internal MEL reviews were conducted instead</t>
  </si>
  <si>
    <t>Independent Auditors will be recruited to audit this project after 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</si>
</sst>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_-* #,##0_-;\-* #,##0_-;_-* &quot;-&quot;??_-;_-@_-"/>
  </numFmts>
  <fonts count="11" x14ac:knownFonts="1">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0"/>
      <name val="Arial"/>
      <family val="2"/>
    </font>
    <font>
      <sz val="10"/>
      <color theme="1"/>
      <name val="Arial"/>
      <family val="2"/>
    </font>
    <font>
      <sz val="12"/>
      <color rgb="FFFF0000"/>
      <name val="Calibri"/>
      <family val="2"/>
      <scheme val="minor"/>
    </font>
    <font>
      <b/>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16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left" vertical="top" wrapText="1"/>
      <protection locked="0"/>
    </xf>
    <xf numFmtId="44" fontId="4" fillId="0" borderId="1" xfId="1" applyFont="1" applyBorder="1" applyAlignment="1" applyProtection="1">
      <alignment horizontal="center" vertical="center" wrapText="1"/>
      <protection locked="0"/>
    </xf>
    <xf numFmtId="44" fontId="4" fillId="2" borderId="1" xfId="1" applyFont="1" applyFill="1" applyBorder="1" applyAlignment="1" applyProtection="1">
      <alignment horizontal="center" vertical="center" wrapText="1"/>
    </xf>
    <xf numFmtId="9" fontId="4" fillId="0" borderId="1" xfId="2" applyFont="1" applyBorder="1" applyAlignment="1" applyProtection="1">
      <alignment horizontal="center" vertical="center" wrapText="1"/>
      <protection locked="0"/>
    </xf>
    <xf numFmtId="44" fontId="4" fillId="0" borderId="1" xfId="1" applyFont="1" applyBorder="1" applyAlignment="1" applyProtection="1">
      <alignment horizontal="left" vertical="center" wrapText="1"/>
      <protection locked="0"/>
    </xf>
    <xf numFmtId="49" fontId="4" fillId="0" borderId="1" xfId="1" applyNumberFormat="1" applyFont="1" applyBorder="1" applyAlignment="1" applyProtection="1">
      <alignment horizontal="left" wrapText="1"/>
      <protection locked="0"/>
    </xf>
    <xf numFmtId="0" fontId="4" fillId="3" borderId="1" xfId="0" applyFont="1" applyFill="1" applyBorder="1" applyAlignment="1" applyProtection="1">
      <alignment horizontal="left" vertical="top" wrapText="1"/>
      <protection locked="0"/>
    </xf>
    <xf numFmtId="44" fontId="4" fillId="3" borderId="1" xfId="1" applyFont="1" applyFill="1" applyBorder="1" applyAlignment="1" applyProtection="1">
      <alignment horizontal="center" vertical="center" wrapText="1"/>
      <protection locked="0"/>
    </xf>
    <xf numFmtId="9" fontId="4" fillId="3" borderId="1" xfId="2" applyFont="1" applyFill="1" applyBorder="1" applyAlignment="1" applyProtection="1">
      <alignment horizontal="center" vertical="center" wrapText="1"/>
      <protection locked="0"/>
    </xf>
    <xf numFmtId="49" fontId="4" fillId="3" borderId="1" xfId="1" applyNumberFormat="1" applyFont="1" applyFill="1" applyBorder="1" applyAlignment="1" applyProtection="1">
      <alignment horizontal="left" wrapText="1"/>
      <protection locked="0"/>
    </xf>
    <xf numFmtId="0" fontId="0" fillId="0" borderId="0" xfId="0" applyAlignment="1">
      <alignment wrapText="1"/>
    </xf>
    <xf numFmtId="44" fontId="5" fillId="2" borderId="1" xfId="1" applyFont="1" applyFill="1" applyBorder="1" applyAlignment="1" applyProtection="1">
      <alignment horizontal="center" vertical="center" wrapText="1"/>
    </xf>
    <xf numFmtId="44" fontId="5" fillId="3" borderId="1" xfId="1" applyFont="1" applyFill="1" applyBorder="1" applyAlignment="1" applyProtection="1">
      <alignment horizontal="center" vertical="center" wrapText="1"/>
    </xf>
    <xf numFmtId="44" fontId="5" fillId="2" borderId="5" xfId="1" applyFont="1" applyFill="1" applyBorder="1" applyAlignment="1" applyProtection="1">
      <alignment horizontal="center" vertical="center" wrapText="1"/>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left" vertical="top" wrapText="1"/>
      <protection locked="0"/>
    </xf>
    <xf numFmtId="44" fontId="4" fillId="3" borderId="0" xfId="1" applyFont="1" applyFill="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left" wrapText="1"/>
      <protection locked="0"/>
    </xf>
    <xf numFmtId="44" fontId="0" fillId="0" borderId="1" xfId="1" applyFont="1" applyFill="1" applyBorder="1" applyAlignment="1" applyProtection="1">
      <alignment horizontal="left" vertical="center" wrapText="1"/>
      <protection locked="0"/>
    </xf>
    <xf numFmtId="0" fontId="6" fillId="0" borderId="1" xfId="0" applyFont="1" applyBorder="1" applyAlignment="1" applyProtection="1">
      <alignment horizontal="left" vertical="top" wrapText="1"/>
      <protection locked="0"/>
    </xf>
    <xf numFmtId="44" fontId="6" fillId="0" borderId="1" xfId="1" applyFont="1" applyBorder="1" applyAlignment="1" applyProtection="1">
      <alignment horizontal="center" vertical="center" wrapText="1"/>
      <protection locked="0"/>
    </xf>
    <xf numFmtId="0" fontId="5" fillId="3" borderId="0" xfId="0" applyFont="1" applyFill="1" applyAlignment="1">
      <alignment vertical="center" wrapText="1"/>
    </xf>
    <xf numFmtId="44" fontId="4" fillId="3" borderId="0" xfId="1" applyFont="1" applyFill="1" applyBorder="1" applyAlignment="1" applyProtection="1">
      <alignment vertical="center" wrapText="1"/>
      <protection locked="0"/>
    </xf>
    <xf numFmtId="3" fontId="7" fillId="3" borderId="1" xfId="3" applyNumberFormat="1" applyFill="1" applyBorder="1" applyAlignment="1" applyProtection="1">
      <alignment horizontal="left" wrapText="1"/>
      <protection locked="0"/>
    </xf>
    <xf numFmtId="3" fontId="8" fillId="3" borderId="1" xfId="3" applyNumberFormat="1" applyFont="1" applyFill="1" applyBorder="1" applyAlignment="1" applyProtection="1">
      <alignment horizontal="left"/>
      <protection locked="0"/>
    </xf>
    <xf numFmtId="3" fontId="7" fillId="0" borderId="1" xfId="3" applyNumberFormat="1" applyBorder="1" applyAlignment="1" applyProtection="1">
      <alignment horizontal="left" vertical="top" wrapText="1"/>
      <protection locked="0"/>
    </xf>
    <xf numFmtId="3" fontId="8" fillId="0" borderId="1" xfId="3" applyNumberFormat="1" applyFont="1" applyBorder="1" applyAlignment="1" applyProtection="1">
      <alignment horizontal="left"/>
      <protection locked="0"/>
    </xf>
    <xf numFmtId="0" fontId="0" fillId="0" borderId="0" xfId="0" applyAlignment="1" applyProtection="1">
      <alignment wrapText="1"/>
      <protection locked="0"/>
    </xf>
    <xf numFmtId="0" fontId="4" fillId="3" borderId="1" xfId="0" applyFont="1" applyFill="1" applyBorder="1" applyAlignment="1" applyProtection="1">
      <alignment vertical="center" wrapText="1"/>
      <protection locked="0"/>
    </xf>
    <xf numFmtId="44" fontId="4" fillId="0" borderId="1" xfId="1" applyFont="1" applyBorder="1" applyAlignment="1" applyProtection="1">
      <alignment vertical="center" wrapText="1"/>
      <protection locked="0"/>
    </xf>
    <xf numFmtId="44" fontId="4" fillId="2" borderId="1" xfId="1" applyFont="1" applyFill="1" applyBorder="1" applyAlignment="1" applyProtection="1">
      <alignment vertical="center" wrapText="1"/>
    </xf>
    <xf numFmtId="9" fontId="4" fillId="0" borderId="1" xfId="2" applyFont="1" applyBorder="1" applyAlignment="1" applyProtection="1">
      <alignment vertical="center" wrapText="1"/>
      <protection locked="0"/>
    </xf>
    <xf numFmtId="49" fontId="4" fillId="0" borderId="1" xfId="0" applyNumberFormat="1" applyFont="1" applyBorder="1" applyAlignment="1" applyProtection="1">
      <alignment horizontal="left" wrapText="1"/>
      <protection locked="0"/>
    </xf>
    <xf numFmtId="0" fontId="4" fillId="3" borderId="4" xfId="0" applyFont="1" applyFill="1" applyBorder="1" applyAlignment="1" applyProtection="1">
      <alignment vertical="center" wrapText="1"/>
      <protection locked="0"/>
    </xf>
    <xf numFmtId="0" fontId="5" fillId="2" borderId="6" xfId="0" applyFont="1" applyFill="1" applyBorder="1" applyAlignment="1">
      <alignment vertical="center" wrapText="1"/>
    </xf>
    <xf numFmtId="0" fontId="5" fillId="4" borderId="1" xfId="0" applyFont="1" applyFill="1" applyBorder="1" applyAlignment="1" applyProtection="1">
      <alignment vertical="center" wrapText="1"/>
      <protection locked="0"/>
    </xf>
    <xf numFmtId="44" fontId="5" fillId="4" borderId="1" xfId="1" applyFont="1" applyFill="1" applyBorder="1" applyAlignment="1" applyProtection="1">
      <alignment vertical="center" wrapText="1"/>
    </xf>
    <xf numFmtId="0" fontId="5" fillId="4" borderId="9" xfId="0" applyFont="1" applyFill="1" applyBorder="1" applyAlignment="1">
      <alignment vertical="center" wrapText="1"/>
    </xf>
    <xf numFmtId="0" fontId="5" fillId="4" borderId="8" xfId="0" applyFont="1" applyFill="1" applyBorder="1" applyAlignment="1">
      <alignment vertical="center" wrapText="1"/>
    </xf>
    <xf numFmtId="0" fontId="5" fillId="3" borderId="0" xfId="0" applyFont="1" applyFill="1" applyAlignment="1" applyProtection="1">
      <alignment vertical="center" wrapText="1"/>
      <protection locked="0"/>
    </xf>
    <xf numFmtId="44" fontId="5" fillId="3" borderId="0" xfId="1" applyFont="1" applyFill="1" applyBorder="1" applyAlignment="1" applyProtection="1">
      <alignment vertical="center" wrapText="1"/>
      <protection locked="0"/>
    </xf>
    <xf numFmtId="44" fontId="5" fillId="2" borderId="4" xfId="1" applyFont="1" applyFill="1" applyBorder="1" applyAlignment="1" applyProtection="1">
      <alignment horizontal="center" vertical="center" wrapText="1"/>
    </xf>
    <xf numFmtId="0" fontId="5" fillId="2" borderId="4" xfId="1" applyNumberFormat="1" applyFont="1" applyFill="1" applyBorder="1" applyAlignment="1" applyProtection="1">
      <alignment vertical="center" wrapText="1"/>
    </xf>
    <xf numFmtId="0" fontId="5" fillId="2" borderId="1" xfId="1" applyNumberFormat="1" applyFont="1" applyFill="1" applyBorder="1" applyAlignment="1" applyProtection="1">
      <alignment vertical="center" wrapText="1"/>
    </xf>
    <xf numFmtId="0" fontId="4" fillId="3" borderId="0" xfId="0" applyFont="1" applyFill="1" applyAlignment="1">
      <alignment vertical="center" wrapText="1"/>
    </xf>
    <xf numFmtId="0" fontId="4" fillId="2" borderId="14" xfId="0" applyFont="1" applyFill="1" applyBorder="1" applyAlignment="1">
      <alignment vertical="center" wrapText="1"/>
    </xf>
    <xf numFmtId="44" fontId="4" fillId="2" borderId="15" xfId="0" applyNumberFormat="1" applyFont="1" applyFill="1" applyBorder="1" applyAlignment="1">
      <alignment vertical="center" wrapText="1"/>
    </xf>
    <xf numFmtId="0" fontId="4" fillId="0" borderId="0" xfId="0" applyFont="1" applyAlignment="1" applyProtection="1">
      <alignment vertical="center" wrapText="1"/>
      <protection locked="0"/>
    </xf>
    <xf numFmtId="44" fontId="4" fillId="2" borderId="4" xfId="0" applyNumberFormat="1" applyFont="1" applyFill="1" applyBorder="1" applyAlignment="1">
      <alignment vertical="center" wrapText="1"/>
    </xf>
    <xf numFmtId="44" fontId="4" fillId="2" borderId="1" xfId="0" applyNumberFormat="1" applyFont="1" applyFill="1" applyBorder="1" applyAlignment="1">
      <alignment vertical="center" wrapText="1"/>
    </xf>
    <xf numFmtId="44" fontId="4" fillId="0" borderId="0" xfId="1" applyFont="1" applyFill="1" applyBorder="1" applyAlignment="1" applyProtection="1">
      <alignment vertical="center" wrapText="1"/>
      <protection locked="0"/>
    </xf>
    <xf numFmtId="0" fontId="4" fillId="0" borderId="0" xfId="0" applyFont="1" applyAlignment="1">
      <alignment vertical="center" wrapText="1"/>
    </xf>
    <xf numFmtId="0" fontId="5" fillId="2" borderId="16" xfId="0" applyFont="1" applyFill="1" applyBorder="1" applyAlignment="1">
      <alignment vertical="center" wrapText="1"/>
    </xf>
    <xf numFmtId="44" fontId="5" fillId="2" borderId="17" xfId="1" applyFont="1" applyFill="1" applyBorder="1" applyAlignment="1" applyProtection="1">
      <alignment vertical="center" wrapText="1"/>
    </xf>
    <xf numFmtId="44" fontId="5" fillId="2" borderId="18" xfId="1" applyFont="1" applyFill="1" applyBorder="1" applyAlignment="1" applyProtection="1">
      <alignment vertical="center" wrapText="1"/>
    </xf>
    <xf numFmtId="44" fontId="5" fillId="2" borderId="19" xfId="1" applyFont="1" applyFill="1" applyBorder="1" applyAlignment="1" applyProtection="1">
      <alignment vertical="center" wrapText="1"/>
    </xf>
    <xf numFmtId="44" fontId="0" fillId="0" borderId="0" xfId="1" applyFont="1" applyBorder="1" applyAlignment="1">
      <alignment wrapText="1"/>
    </xf>
    <xf numFmtId="0" fontId="5" fillId="0" borderId="0" xfId="0" applyFont="1" applyAlignment="1" applyProtection="1">
      <alignment vertical="center" wrapText="1"/>
      <protection locked="0"/>
    </xf>
    <xf numFmtId="44" fontId="5" fillId="3" borderId="0" xfId="0" applyNumberFormat="1" applyFont="1" applyFill="1" applyAlignment="1">
      <alignment vertical="center" wrapText="1"/>
    </xf>
    <xf numFmtId="44" fontId="5" fillId="3" borderId="0" xfId="1" applyFont="1" applyFill="1" applyBorder="1" applyAlignment="1">
      <alignment vertical="center" wrapText="1"/>
    </xf>
    <xf numFmtId="44" fontId="5" fillId="3" borderId="0" xfId="1" applyFont="1" applyFill="1" applyBorder="1" applyAlignment="1" applyProtection="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vertical="center" wrapText="1"/>
    </xf>
    <xf numFmtId="44" fontId="5" fillId="2" borderId="1" xfId="1" applyFont="1" applyFill="1" applyBorder="1" applyAlignment="1" applyProtection="1">
      <alignment vertical="center" wrapText="1"/>
    </xf>
    <xf numFmtId="44" fontId="5" fillId="2" borderId="2" xfId="1" applyFont="1" applyFill="1" applyBorder="1" applyAlignment="1" applyProtection="1">
      <alignment vertical="center" wrapText="1"/>
    </xf>
    <xf numFmtId="9" fontId="5" fillId="3" borderId="15" xfId="2" applyFont="1" applyFill="1" applyBorder="1" applyAlignment="1" applyProtection="1">
      <alignment vertical="center" wrapText="1"/>
      <protection locked="0"/>
    </xf>
    <xf numFmtId="0" fontId="5" fillId="2" borderId="10" xfId="0" applyFont="1" applyFill="1" applyBorder="1" applyAlignment="1">
      <alignment vertical="center" wrapText="1"/>
    </xf>
    <xf numFmtId="44" fontId="5" fillId="2" borderId="5" xfId="1" applyFont="1" applyFill="1" applyBorder="1" applyAlignment="1" applyProtection="1">
      <alignment vertical="center" wrapText="1"/>
    </xf>
    <xf numFmtId="44" fontId="5" fillId="2" borderId="24" xfId="1" applyFont="1" applyFill="1" applyBorder="1" applyAlignment="1" applyProtection="1">
      <alignment vertical="center" wrapText="1"/>
    </xf>
    <xf numFmtId="9" fontId="5" fillId="3" borderId="11" xfId="2" applyFont="1" applyFill="1" applyBorder="1" applyAlignment="1" applyProtection="1">
      <alignment vertical="center" wrapText="1"/>
      <protection locked="0"/>
    </xf>
    <xf numFmtId="44" fontId="5" fillId="2" borderId="25" xfId="1" applyFont="1" applyFill="1" applyBorder="1" applyAlignment="1" applyProtection="1">
      <alignment vertical="center" wrapText="1"/>
    </xf>
    <xf numFmtId="9" fontId="5" fillId="2" borderId="17" xfId="2" applyFont="1" applyFill="1" applyBorder="1" applyAlignment="1" applyProtection="1">
      <alignment vertical="center" wrapText="1"/>
    </xf>
    <xf numFmtId="44" fontId="5" fillId="3" borderId="0" xfId="1" applyFont="1" applyFill="1" applyBorder="1" applyAlignment="1" applyProtection="1">
      <alignment vertical="center" wrapText="1"/>
    </xf>
    <xf numFmtId="0" fontId="5" fillId="0" borderId="0" xfId="0" applyFont="1" applyAlignment="1">
      <alignment vertical="center" wrapText="1"/>
    </xf>
    <xf numFmtId="44" fontId="5" fillId="0" borderId="0" xfId="0" applyNumberFormat="1" applyFont="1" applyAlignment="1">
      <alignment vertical="center" wrapText="1"/>
    </xf>
    <xf numFmtId="44" fontId="5" fillId="0" borderId="0" xfId="1" applyFont="1" applyFill="1" applyBorder="1" applyAlignment="1">
      <alignment vertical="center" wrapText="1"/>
    </xf>
    <xf numFmtId="0" fontId="3" fillId="2" borderId="20" xfId="0" applyFont="1" applyFill="1" applyBorder="1" applyAlignment="1">
      <alignment horizontal="left" vertical="center" wrapText="1"/>
    </xf>
    <xf numFmtId="44" fontId="5" fillId="2" borderId="23" xfId="0" applyNumberFormat="1" applyFont="1" applyFill="1" applyBorder="1" applyAlignment="1">
      <alignment vertical="center" wrapText="1"/>
    </xf>
    <xf numFmtId="44" fontId="5" fillId="2" borderId="20" xfId="0" applyNumberFormat="1" applyFont="1" applyFill="1" applyBorder="1" applyAlignment="1">
      <alignment vertical="center" wrapText="1"/>
    </xf>
    <xf numFmtId="44" fontId="0" fillId="2" borderId="23" xfId="1" applyFont="1" applyFill="1" applyBorder="1" applyAlignment="1">
      <alignment vertical="center" wrapText="1"/>
    </xf>
    <xf numFmtId="44" fontId="0" fillId="0" borderId="0" xfId="1" applyFont="1" applyFill="1" applyBorder="1" applyAlignment="1">
      <alignment vertical="center" wrapText="1"/>
    </xf>
    <xf numFmtId="0" fontId="3" fillId="2" borderId="14" xfId="0" applyFont="1" applyFill="1" applyBorder="1" applyAlignment="1">
      <alignment horizontal="left" vertical="center" wrapText="1"/>
    </xf>
    <xf numFmtId="10" fontId="5" fillId="2" borderId="15" xfId="2" applyNumberFormat="1" applyFont="1" applyFill="1" applyBorder="1" applyAlignment="1" applyProtection="1">
      <alignment wrapText="1"/>
    </xf>
    <xf numFmtId="9" fontId="5" fillId="3" borderId="0" xfId="2" applyFont="1" applyFill="1" applyBorder="1" applyAlignment="1">
      <alignment wrapText="1"/>
    </xf>
    <xf numFmtId="0" fontId="3" fillId="2" borderId="16" xfId="0" applyFont="1" applyFill="1" applyBorder="1" applyAlignment="1">
      <alignment wrapText="1"/>
    </xf>
    <xf numFmtId="9" fontId="3" fillId="2" borderId="17" xfId="2" applyFont="1" applyFill="1" applyBorder="1" applyAlignment="1">
      <alignment wrapText="1"/>
    </xf>
    <xf numFmtId="9" fontId="3" fillId="0" borderId="0" xfId="2" applyFont="1" applyFill="1" applyBorder="1" applyAlignment="1">
      <alignment wrapText="1"/>
    </xf>
    <xf numFmtId="0" fontId="3" fillId="3" borderId="0" xfId="0" applyFont="1" applyFill="1" applyAlignment="1">
      <alignment horizontal="center" vertical="center" wrapText="1"/>
    </xf>
    <xf numFmtId="44" fontId="5" fillId="2" borderId="15" xfId="2" applyNumberFormat="1" applyFont="1" applyFill="1" applyBorder="1" applyAlignment="1" applyProtection="1">
      <alignment wrapText="1"/>
    </xf>
    <xf numFmtId="44" fontId="5" fillId="3" borderId="0" xfId="2" applyNumberFormat="1" applyFont="1" applyFill="1" applyBorder="1" applyAlignment="1">
      <alignment wrapText="1"/>
    </xf>
    <xf numFmtId="0" fontId="0" fillId="3" borderId="0" xfId="0" applyFill="1" applyAlignment="1">
      <alignment horizontal="center" vertical="center" wrapText="1"/>
    </xf>
    <xf numFmtId="44" fontId="0" fillId="0" borderId="0" xfId="1" applyFont="1" applyFill="1" applyBorder="1" applyAlignment="1">
      <alignment wrapText="1"/>
    </xf>
    <xf numFmtId="0" fontId="0" fillId="2" borderId="1" xfId="0" applyFill="1" applyBorder="1" applyAlignment="1">
      <alignment vertical="center" wrapText="1"/>
    </xf>
    <xf numFmtId="0" fontId="0" fillId="0" borderId="1" xfId="0" applyBorder="1"/>
    <xf numFmtId="0" fontId="0" fillId="0" borderId="1" xfId="0" applyBorder="1" applyAlignment="1">
      <alignment wrapText="1"/>
    </xf>
    <xf numFmtId="165" fontId="0" fillId="0" borderId="1" xfId="4" applyNumberFormat="1" applyFont="1" applyBorder="1"/>
    <xf numFmtId="0" fontId="5" fillId="0" borderId="1" xfId="0" applyFont="1" applyBorder="1"/>
    <xf numFmtId="0" fontId="0" fillId="4" borderId="1" xfId="0" applyFill="1" applyBorder="1" applyAlignment="1">
      <alignment wrapText="1"/>
    </xf>
    <xf numFmtId="3" fontId="0" fillId="0" borderId="1" xfId="0" applyNumberFormat="1" applyBorder="1"/>
    <xf numFmtId="0" fontId="6" fillId="2" borderId="1" xfId="0" applyFont="1" applyFill="1" applyBorder="1" applyAlignment="1">
      <alignment vertical="center" wrapText="1"/>
    </xf>
    <xf numFmtId="3" fontId="0" fillId="0" borderId="0" xfId="0" applyNumberFormat="1"/>
    <xf numFmtId="3" fontId="5" fillId="0" borderId="0" xfId="0" applyNumberFormat="1" applyFont="1"/>
    <xf numFmtId="165" fontId="0" fillId="0" borderId="0" xfId="0" applyNumberFormat="1"/>
    <xf numFmtId="0" fontId="9" fillId="0" borderId="0" xfId="0" applyFont="1"/>
    <xf numFmtId="165" fontId="6" fillId="0" borderId="1" xfId="4" applyNumberFormat="1" applyFont="1" applyBorder="1"/>
    <xf numFmtId="0" fontId="10" fillId="0" borderId="0" xfId="0" applyFont="1"/>
    <xf numFmtId="165" fontId="6" fillId="0" borderId="6" xfId="4" applyNumberFormat="1" applyFont="1" applyBorder="1"/>
    <xf numFmtId="165" fontId="0" fillId="0" borderId="6" xfId="4" applyNumberFormat="1" applyFont="1" applyBorder="1"/>
    <xf numFmtId="9" fontId="0" fillId="0" borderId="1" xfId="5" applyFont="1" applyBorder="1"/>
    <xf numFmtId="9" fontId="9" fillId="0" borderId="1" xfId="5" applyFont="1" applyBorder="1"/>
    <xf numFmtId="0" fontId="5" fillId="0" borderId="1" xfId="0" applyFont="1" applyBorder="1" applyAlignment="1">
      <alignment wrapText="1"/>
    </xf>
    <xf numFmtId="0" fontId="6" fillId="0" borderId="1" xfId="0" applyFont="1" applyBorder="1" applyAlignment="1">
      <alignment wrapText="1"/>
    </xf>
    <xf numFmtId="0" fontId="6" fillId="0" borderId="1" xfId="0" applyFont="1" applyBorder="1"/>
    <xf numFmtId="0" fontId="5" fillId="4" borderId="1" xfId="0" applyFont="1" applyFill="1" applyBorder="1" applyAlignment="1">
      <alignment wrapText="1"/>
    </xf>
    <xf numFmtId="165" fontId="0" fillId="0" borderId="6" xfId="4" applyNumberFormat="1" applyFont="1" applyFill="1" applyBorder="1" applyAlignment="1">
      <alignment wrapText="1"/>
    </xf>
    <xf numFmtId="165" fontId="0" fillId="0" borderId="1" xfId="4" applyNumberFormat="1" applyFont="1" applyFill="1" applyBorder="1"/>
    <xf numFmtId="0" fontId="5" fillId="4" borderId="1" xfId="0" applyFont="1" applyFill="1" applyBorder="1"/>
    <xf numFmtId="44" fontId="0" fillId="0" borderId="1" xfId="1" applyFont="1" applyBorder="1" applyAlignment="1" applyProtection="1">
      <alignment horizontal="left" vertical="center" wrapText="1"/>
      <protection locked="0"/>
    </xf>
    <xf numFmtId="0" fontId="0" fillId="0" borderId="1" xfId="1" applyNumberFormat="1" applyFont="1" applyFill="1" applyBorder="1" applyAlignment="1" applyProtection="1">
      <alignment horizontal="left" vertical="center" wrapText="1"/>
      <protection locked="0"/>
    </xf>
    <xf numFmtId="44" fontId="0" fillId="0" borderId="1" xfId="1" applyFont="1" applyBorder="1" applyAlignment="1" applyProtection="1">
      <alignment vertical="center" wrapText="1"/>
      <protection locked="0"/>
    </xf>
    <xf numFmtId="44" fontId="0" fillId="0" borderId="1" xfId="1" applyFont="1" applyFill="1" applyBorder="1" applyAlignment="1" applyProtection="1">
      <alignment vertical="center" wrapText="1"/>
      <protection locked="0"/>
    </xf>
    <xf numFmtId="44" fontId="0" fillId="3" borderId="1" xfId="1" applyFont="1" applyFill="1" applyBorder="1" applyAlignment="1" applyProtection="1">
      <alignment vertical="center" wrapText="1"/>
      <protection locked="0"/>
    </xf>
    <xf numFmtId="0" fontId="5" fillId="0" borderId="0" xfId="0" applyFont="1" applyAlignment="1">
      <alignment horizontal="center" vertical="center" wrapText="1"/>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4" fillId="0" borderId="2"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4" fontId="5" fillId="0" borderId="3" xfId="1" applyFont="1" applyFill="1" applyBorder="1" applyAlignment="1" applyProtection="1">
      <alignment horizontal="left" vertical="center" wrapText="1"/>
      <protection locked="0"/>
    </xf>
    <xf numFmtId="49" fontId="5" fillId="0" borderId="4" xfId="0" applyNumberFormat="1" applyFont="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top" wrapText="1"/>
      <protection locked="0"/>
    </xf>
    <xf numFmtId="44" fontId="5" fillId="3" borderId="1" xfId="1"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44" fontId="4" fillId="0" borderId="1" xfId="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top" wrapText="1"/>
      <protection locked="0"/>
    </xf>
    <xf numFmtId="44" fontId="4" fillId="3" borderId="1" xfId="1"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44" fontId="4" fillId="0" borderId="1" xfId="1" applyFont="1" applyFill="1" applyBorder="1" applyAlignment="1" applyProtection="1">
      <alignment horizontal="left" vertical="top" wrapText="1"/>
      <protection locked="0"/>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44" fontId="5" fillId="2" borderId="11" xfId="1" applyFont="1" applyFill="1" applyBorder="1" applyAlignment="1" applyProtection="1">
      <alignment horizontal="center" vertical="center" wrapText="1"/>
    </xf>
    <xf numFmtId="44" fontId="5" fillId="2" borderId="13" xfId="1" applyFont="1" applyFill="1" applyBorder="1" applyAlignment="1" applyProtection="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4" fontId="5" fillId="2" borderId="11" xfId="1" applyFont="1" applyFill="1" applyBorder="1" applyAlignment="1" applyProtection="1">
      <alignment horizontal="center" vertical="center" wrapText="1"/>
      <protection locked="0"/>
    </xf>
    <xf numFmtId="44" fontId="5" fillId="2" borderId="13" xfId="1" applyFont="1" applyFill="1" applyBorder="1" applyAlignment="1" applyProtection="1">
      <alignment horizontal="center" vertical="center" wrapText="1"/>
      <protection locked="0"/>
    </xf>
    <xf numFmtId="0" fontId="5" fillId="4" borderId="1" xfId="0" applyFont="1" applyFill="1" applyBorder="1" applyAlignment="1">
      <alignment horizontal="left" wrapText="1"/>
    </xf>
    <xf numFmtId="0" fontId="5" fillId="4" borderId="1" xfId="0" applyFont="1" applyFill="1" applyBorder="1" applyAlignment="1">
      <alignment horizontal="left"/>
    </xf>
  </cellXfs>
  <cellStyles count="6">
    <cellStyle name="Comma" xfId="4" builtinId="3"/>
    <cellStyle name="Currency 2" xfId="1" xr:uid="{E6F4F522-42F6-4104-B8D9-4E0D54F27E49}"/>
    <cellStyle name="Normal" xfId="0" builtinId="0"/>
    <cellStyle name="Normal 25" xfId="3" xr:uid="{C035A6D1-E230-4D8A-9CF6-1EA82A758DCE}"/>
    <cellStyle name="Percent" xfId="5" builtinId="5"/>
    <cellStyle name="Percent 2" xfId="2" xr:uid="{76E43DEF-5C11-4EF8-ADBF-82085FC3BEF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ohn Dennis" id="{C8112291-4BDB-49D6-B546-3B1A9563DE78}" userId="S::john.dennis@undp.org::6496a57b-53f9-42b2-904d-7e3fe00e22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3" dT="2023-11-13T15:37:32.38" personId="{C8112291-4BDB-49D6-B546-3B1A9563DE78}" id="{7BF4ED47-2B7E-4AB6-9466-4DB63A0D9B02}">
    <text xml:space="preserve">This column shows that the activities are yet to be implemented. Please revise to reflect results, demonstrating that the activities have taken place.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4BCE-5300-402A-8E48-9AD7F34C39CB}">
  <sheetPr>
    <tabColor theme="6"/>
  </sheetPr>
  <dimension ref="B3:L160"/>
  <sheetViews>
    <sheetView tabSelected="1" view="pageBreakPreview" topLeftCell="I1" zoomScale="60" zoomScaleNormal="40" workbookViewId="0">
      <selection activeCell="K124" sqref="K124"/>
    </sheetView>
  </sheetViews>
  <sheetFormatPr defaultRowHeight="15.9" x14ac:dyDescent="0.45"/>
  <cols>
    <col min="2" max="3" width="31.2109375" customWidth="1"/>
    <col min="4" max="4" width="49.0703125" customWidth="1"/>
    <col min="5" max="5" width="34.35546875" customWidth="1"/>
    <col min="6" max="6" width="32.2109375" hidden="1" customWidth="1"/>
    <col min="7" max="7" width="29.2109375" hidden="1" customWidth="1"/>
    <col min="8" max="8" width="25.0703125" customWidth="1"/>
    <col min="9" max="9" width="29.2109375" customWidth="1"/>
    <col min="10" max="10" width="39.5703125" customWidth="1"/>
    <col min="11" max="11" width="45.35546875" customWidth="1"/>
    <col min="12" max="12" width="56.2109375" customWidth="1"/>
  </cols>
  <sheetData>
    <row r="3" spans="2:12" ht="93" customHeight="1" x14ac:dyDescent="0.45">
      <c r="B3" s="70" t="s">
        <v>223</v>
      </c>
      <c r="C3" s="1" t="s">
        <v>0</v>
      </c>
      <c r="D3" s="1" t="s">
        <v>1</v>
      </c>
      <c r="E3" s="2" t="s">
        <v>2</v>
      </c>
      <c r="F3" s="1" t="s">
        <v>3</v>
      </c>
      <c r="G3" s="1" t="s">
        <v>4</v>
      </c>
      <c r="H3" s="1" t="s">
        <v>5</v>
      </c>
      <c r="I3" s="1" t="s">
        <v>6</v>
      </c>
      <c r="J3" s="1" t="s">
        <v>7</v>
      </c>
      <c r="K3" s="1" t="s">
        <v>8</v>
      </c>
      <c r="L3" s="1" t="s">
        <v>9</v>
      </c>
    </row>
    <row r="4" spans="2:12" x14ac:dyDescent="0.45">
      <c r="B4" s="3"/>
      <c r="C4" s="3" t="s">
        <v>10</v>
      </c>
      <c r="D4" s="135" t="s">
        <v>11</v>
      </c>
      <c r="E4" s="136"/>
      <c r="F4" s="136"/>
      <c r="G4" s="136"/>
      <c r="H4" s="136"/>
      <c r="I4" s="136"/>
      <c r="J4" s="137"/>
      <c r="K4" s="137"/>
      <c r="L4" s="138"/>
    </row>
    <row r="5" spans="2:12" x14ac:dyDescent="0.45">
      <c r="B5" s="3"/>
      <c r="C5" s="3" t="s">
        <v>12</v>
      </c>
      <c r="D5" s="139" t="s">
        <v>13</v>
      </c>
      <c r="E5" s="140"/>
      <c r="F5" s="140"/>
      <c r="G5" s="140"/>
      <c r="H5" s="140"/>
      <c r="I5" s="140"/>
      <c r="J5" s="141"/>
      <c r="K5" s="141"/>
      <c r="L5" s="142"/>
    </row>
    <row r="6" spans="2:12" ht="79.3" x14ac:dyDescent="0.45">
      <c r="B6" s="4" t="s">
        <v>185</v>
      </c>
      <c r="C6" s="4" t="s">
        <v>14</v>
      </c>
      <c r="D6" s="5" t="s">
        <v>15</v>
      </c>
      <c r="E6" s="6">
        <v>12100</v>
      </c>
      <c r="F6" s="6"/>
      <c r="G6" s="6"/>
      <c r="H6" s="7">
        <f>E6</f>
        <v>12100</v>
      </c>
      <c r="I6" s="8">
        <v>1</v>
      </c>
      <c r="J6" s="6">
        <v>12113</v>
      </c>
      <c r="K6" s="126" t="s">
        <v>237</v>
      </c>
      <c r="L6" s="10"/>
    </row>
    <row r="7" spans="2:12" ht="63.45" x14ac:dyDescent="0.45">
      <c r="B7" s="4" t="s">
        <v>185</v>
      </c>
      <c r="C7" s="4" t="s">
        <v>16</v>
      </c>
      <c r="D7" s="5" t="s">
        <v>17</v>
      </c>
      <c r="E7" s="6">
        <v>28000</v>
      </c>
      <c r="F7" s="6"/>
      <c r="G7" s="6"/>
      <c r="H7" s="7">
        <f t="shared" ref="H7:H13" si="0">E7</f>
        <v>28000</v>
      </c>
      <c r="I7" s="8">
        <v>1</v>
      </c>
      <c r="J7" s="6">
        <v>23257</v>
      </c>
      <c r="K7" s="126" t="s">
        <v>225</v>
      </c>
      <c r="L7" s="10"/>
    </row>
    <row r="8" spans="2:12" ht="47.6" x14ac:dyDescent="0.45">
      <c r="B8" s="4" t="s">
        <v>185</v>
      </c>
      <c r="C8" s="4" t="s">
        <v>18</v>
      </c>
      <c r="D8" s="5" t="s">
        <v>19</v>
      </c>
      <c r="E8" s="6">
        <v>28000</v>
      </c>
      <c r="F8" s="6"/>
      <c r="G8" s="6"/>
      <c r="H8" s="7">
        <f t="shared" si="0"/>
        <v>28000</v>
      </c>
      <c r="I8" s="8">
        <v>1</v>
      </c>
      <c r="J8" s="6">
        <v>25957</v>
      </c>
      <c r="K8" s="126" t="s">
        <v>235</v>
      </c>
      <c r="L8" s="10"/>
    </row>
    <row r="9" spans="2:12" ht="79.3" x14ac:dyDescent="0.45">
      <c r="B9" s="4" t="s">
        <v>186</v>
      </c>
      <c r="C9" s="4" t="s">
        <v>20</v>
      </c>
      <c r="D9" s="5" t="s">
        <v>21</v>
      </c>
      <c r="E9" s="6">
        <v>53400</v>
      </c>
      <c r="F9" s="6"/>
      <c r="G9" s="6"/>
      <c r="H9" s="7">
        <f t="shared" si="0"/>
        <v>53400</v>
      </c>
      <c r="I9" s="8">
        <v>1</v>
      </c>
      <c r="J9" s="6">
        <v>52120</v>
      </c>
      <c r="K9" s="126" t="s">
        <v>236</v>
      </c>
      <c r="L9" s="10"/>
    </row>
    <row r="10" spans="2:12" ht="63.45" x14ac:dyDescent="0.45">
      <c r="B10" s="4" t="s">
        <v>186</v>
      </c>
      <c r="C10" s="4" t="s">
        <v>22</v>
      </c>
      <c r="D10" s="5" t="s">
        <v>23</v>
      </c>
      <c r="E10" s="6">
        <v>56800</v>
      </c>
      <c r="F10" s="6"/>
      <c r="G10" s="6"/>
      <c r="H10" s="7">
        <f t="shared" si="0"/>
        <v>56800</v>
      </c>
      <c r="I10" s="8">
        <v>1</v>
      </c>
      <c r="J10" s="6">
        <v>53632</v>
      </c>
      <c r="K10" s="9" t="s">
        <v>238</v>
      </c>
      <c r="L10" s="10"/>
    </row>
    <row r="11" spans="2:12" ht="63.45" x14ac:dyDescent="0.45">
      <c r="B11" s="4" t="s">
        <v>186</v>
      </c>
      <c r="C11" s="4" t="s">
        <v>24</v>
      </c>
      <c r="D11" s="5" t="s">
        <v>25</v>
      </c>
      <c r="E11" s="6">
        <v>49000</v>
      </c>
      <c r="F11" s="6"/>
      <c r="G11" s="6"/>
      <c r="H11" s="7">
        <f t="shared" si="0"/>
        <v>49000</v>
      </c>
      <c r="I11" s="8">
        <v>1</v>
      </c>
      <c r="J11" s="6">
        <v>43608.979999999996</v>
      </c>
      <c r="K11" s="126" t="s">
        <v>239</v>
      </c>
      <c r="L11" s="10"/>
    </row>
    <row r="12" spans="2:12" ht="63.45" x14ac:dyDescent="0.45">
      <c r="B12" s="4" t="s">
        <v>186</v>
      </c>
      <c r="C12" s="4" t="s">
        <v>26</v>
      </c>
      <c r="D12" s="11" t="s">
        <v>27</v>
      </c>
      <c r="E12" s="12">
        <v>41400</v>
      </c>
      <c r="F12" s="12"/>
      <c r="G12" s="12"/>
      <c r="H12" s="7">
        <f t="shared" si="0"/>
        <v>41400</v>
      </c>
      <c r="I12" s="13">
        <v>1</v>
      </c>
      <c r="J12" s="12">
        <v>27100</v>
      </c>
      <c r="K12" s="126" t="s">
        <v>240</v>
      </c>
      <c r="L12" s="14"/>
    </row>
    <row r="13" spans="2:12" ht="79.3" x14ac:dyDescent="0.45">
      <c r="B13" s="4" t="s">
        <v>187</v>
      </c>
      <c r="C13" s="4" t="s">
        <v>28</v>
      </c>
      <c r="D13" s="11" t="s">
        <v>29</v>
      </c>
      <c r="E13" s="12">
        <v>8720</v>
      </c>
      <c r="F13" s="12"/>
      <c r="G13" s="12"/>
      <c r="H13" s="7">
        <f t="shared" si="0"/>
        <v>8720</v>
      </c>
      <c r="I13" s="13">
        <v>1</v>
      </c>
      <c r="J13" s="12">
        <v>8342.9900000000016</v>
      </c>
      <c r="K13" s="126" t="s">
        <v>241</v>
      </c>
      <c r="L13" s="14"/>
    </row>
    <row r="14" spans="2:12" x14ac:dyDescent="0.45">
      <c r="B14" s="15"/>
      <c r="C14" s="15"/>
      <c r="D14" s="3" t="s">
        <v>30</v>
      </c>
      <c r="E14" s="16">
        <f>SUM(E6:E13)</f>
        <v>277420</v>
      </c>
      <c r="F14" s="16">
        <f>SUM(F6:F13)</f>
        <v>0</v>
      </c>
      <c r="G14" s="16">
        <f>SUM(G6:G13)</f>
        <v>0</v>
      </c>
      <c r="H14" s="16">
        <f>SUM(H6:H13)</f>
        <v>277420</v>
      </c>
      <c r="I14" s="16">
        <f>(I6*H6)+(I7*H7)+(I8*H8)+(I9*H9)+(I10*H10)+(I11*H11)+(I12*H12)+(I13*H13)</f>
        <v>277420</v>
      </c>
      <c r="J14" s="16">
        <v>246130.96999999997</v>
      </c>
      <c r="K14" s="17"/>
      <c r="L14" s="14"/>
    </row>
    <row r="15" spans="2:12" x14ac:dyDescent="0.45">
      <c r="B15" s="3"/>
      <c r="C15" s="3" t="s">
        <v>31</v>
      </c>
      <c r="D15" s="143" t="s">
        <v>32</v>
      </c>
      <c r="E15" s="144"/>
      <c r="F15" s="144"/>
      <c r="G15" s="144"/>
      <c r="H15" s="144"/>
      <c r="I15" s="144"/>
      <c r="J15" s="145"/>
      <c r="K15" s="145"/>
      <c r="L15" s="146"/>
    </row>
    <row r="16" spans="2:12" ht="63.45" x14ac:dyDescent="0.45">
      <c r="B16" s="4" t="s">
        <v>186</v>
      </c>
      <c r="C16" s="4" t="s">
        <v>33</v>
      </c>
      <c r="D16" s="11" t="s">
        <v>34</v>
      </c>
      <c r="E16" s="12">
        <v>36000</v>
      </c>
      <c r="F16" s="6"/>
      <c r="G16" s="6"/>
      <c r="H16" s="7">
        <f>E16</f>
        <v>36000</v>
      </c>
      <c r="I16" s="13">
        <v>1</v>
      </c>
      <c r="J16" s="6">
        <v>24268</v>
      </c>
      <c r="K16" s="126" t="s">
        <v>242</v>
      </c>
      <c r="L16" s="10"/>
    </row>
    <row r="17" spans="2:12" x14ac:dyDescent="0.45">
      <c r="B17" s="4"/>
      <c r="C17" s="4" t="s">
        <v>35</v>
      </c>
      <c r="D17" s="5"/>
      <c r="E17" s="6"/>
      <c r="F17" s="6"/>
      <c r="G17" s="6"/>
      <c r="H17" s="7">
        <f t="shared" ref="H17:H23" si="1">E17</f>
        <v>0</v>
      </c>
      <c r="I17" s="8"/>
      <c r="J17" s="6"/>
      <c r="K17" s="9"/>
      <c r="L17" s="10"/>
    </row>
    <row r="18" spans="2:12" x14ac:dyDescent="0.45">
      <c r="B18" s="4"/>
      <c r="C18" s="4" t="s">
        <v>36</v>
      </c>
      <c r="D18" s="5"/>
      <c r="E18" s="6"/>
      <c r="F18" s="6"/>
      <c r="G18" s="6"/>
      <c r="H18" s="7">
        <f t="shared" si="1"/>
        <v>0</v>
      </c>
      <c r="I18" s="8"/>
      <c r="J18" s="6"/>
      <c r="K18" s="9"/>
      <c r="L18" s="10"/>
    </row>
    <row r="19" spans="2:12" x14ac:dyDescent="0.45">
      <c r="B19" s="4"/>
      <c r="C19" s="4" t="s">
        <v>37</v>
      </c>
      <c r="D19" s="5"/>
      <c r="E19" s="6"/>
      <c r="F19" s="6"/>
      <c r="G19" s="6"/>
      <c r="H19" s="7">
        <f>E19</f>
        <v>0</v>
      </c>
      <c r="I19" s="8"/>
      <c r="J19" s="6"/>
      <c r="K19" s="9"/>
      <c r="L19" s="10"/>
    </row>
    <row r="20" spans="2:12" x14ac:dyDescent="0.45">
      <c r="B20" s="4"/>
      <c r="C20" s="4" t="s">
        <v>38</v>
      </c>
      <c r="D20" s="5"/>
      <c r="E20" s="6"/>
      <c r="F20" s="6"/>
      <c r="G20" s="6"/>
      <c r="H20" s="7">
        <f>E20</f>
        <v>0</v>
      </c>
      <c r="I20" s="8"/>
      <c r="J20" s="6"/>
      <c r="K20" s="9"/>
      <c r="L20" s="10"/>
    </row>
    <row r="21" spans="2:12" x14ac:dyDescent="0.45">
      <c r="B21" s="4"/>
      <c r="C21" s="4" t="s">
        <v>39</v>
      </c>
      <c r="D21" s="5"/>
      <c r="E21" s="6"/>
      <c r="F21" s="6"/>
      <c r="G21" s="6"/>
      <c r="H21" s="7">
        <f>E21</f>
        <v>0</v>
      </c>
      <c r="I21" s="8"/>
      <c r="J21" s="6"/>
      <c r="K21" s="9"/>
      <c r="L21" s="10"/>
    </row>
    <row r="22" spans="2:12" x14ac:dyDescent="0.45">
      <c r="B22" s="4"/>
      <c r="C22" s="4" t="s">
        <v>40</v>
      </c>
      <c r="D22" s="11"/>
      <c r="E22" s="12"/>
      <c r="F22" s="12"/>
      <c r="G22" s="12"/>
      <c r="H22" s="7">
        <f>E22</f>
        <v>0</v>
      </c>
      <c r="I22" s="8"/>
      <c r="J22" s="12"/>
      <c r="K22" s="9"/>
      <c r="L22" s="14"/>
    </row>
    <row r="23" spans="2:12" x14ac:dyDescent="0.45">
      <c r="B23" s="4"/>
      <c r="C23" s="4" t="s">
        <v>41</v>
      </c>
      <c r="D23" s="11"/>
      <c r="E23" s="12"/>
      <c r="F23" s="12"/>
      <c r="G23" s="12"/>
      <c r="H23" s="7">
        <f t="shared" si="1"/>
        <v>0</v>
      </c>
      <c r="I23" s="8"/>
      <c r="J23" s="12"/>
      <c r="K23" s="9"/>
      <c r="L23" s="14"/>
    </row>
    <row r="24" spans="2:12" x14ac:dyDescent="0.45">
      <c r="B24" s="15"/>
      <c r="C24" s="15"/>
      <c r="D24" s="3" t="s">
        <v>30</v>
      </c>
      <c r="E24" s="18">
        <f>SUM(E16:E23)</f>
        <v>36000</v>
      </c>
      <c r="F24" s="18">
        <f>SUM(F16:F23)</f>
        <v>0</v>
      </c>
      <c r="G24" s="18">
        <f>SUM(G16:G23)</f>
        <v>0</v>
      </c>
      <c r="H24" s="18">
        <f>SUM(H16:H23)</f>
        <v>36000</v>
      </c>
      <c r="I24" s="16">
        <f>(I16*H16)+(I17*H17)+(I18*H18)+(I19*H19)+(I20*H20)+(I21*H21)+(I22*H22)+(I23*H23)</f>
        <v>36000</v>
      </c>
      <c r="J24" s="16">
        <v>24268</v>
      </c>
      <c r="K24" s="17"/>
      <c r="L24" s="14"/>
    </row>
    <row r="25" spans="2:12" x14ac:dyDescent="0.45">
      <c r="B25" s="3"/>
      <c r="C25" s="3" t="s">
        <v>42</v>
      </c>
      <c r="D25" s="143"/>
      <c r="E25" s="144"/>
      <c r="F25" s="144"/>
      <c r="G25" s="144"/>
      <c r="H25" s="144"/>
      <c r="I25" s="144"/>
      <c r="J25" s="145"/>
      <c r="K25" s="145"/>
      <c r="L25" s="146"/>
    </row>
    <row r="26" spans="2:12" x14ac:dyDescent="0.45">
      <c r="B26" s="4"/>
      <c r="C26" s="4" t="s">
        <v>43</v>
      </c>
      <c r="D26" s="5"/>
      <c r="E26" s="6"/>
      <c r="F26" s="6"/>
      <c r="G26" s="6"/>
      <c r="H26" s="7">
        <f>E26</f>
        <v>0</v>
      </c>
      <c r="I26" s="8"/>
      <c r="J26" s="6"/>
      <c r="K26" s="6"/>
      <c r="L26" s="10"/>
    </row>
    <row r="27" spans="2:12" x14ac:dyDescent="0.45">
      <c r="B27" s="4"/>
      <c r="C27" s="4" t="s">
        <v>44</v>
      </c>
      <c r="D27" s="5"/>
      <c r="E27" s="6"/>
      <c r="F27" s="6"/>
      <c r="G27" s="6"/>
      <c r="H27" s="7">
        <f t="shared" ref="H27:H33" si="2">E27</f>
        <v>0</v>
      </c>
      <c r="I27" s="8"/>
      <c r="J27" s="6"/>
      <c r="K27" s="6"/>
      <c r="L27" s="10"/>
    </row>
    <row r="28" spans="2:12" x14ac:dyDescent="0.45">
      <c r="B28" s="4"/>
      <c r="C28" s="4" t="s">
        <v>45</v>
      </c>
      <c r="D28" s="5"/>
      <c r="E28" s="6"/>
      <c r="F28" s="6"/>
      <c r="G28" s="6"/>
      <c r="H28" s="7">
        <f t="shared" si="2"/>
        <v>0</v>
      </c>
      <c r="I28" s="8"/>
      <c r="J28" s="6"/>
      <c r="K28" s="6"/>
      <c r="L28" s="10"/>
    </row>
    <row r="29" spans="2:12" x14ac:dyDescent="0.45">
      <c r="B29" s="4"/>
      <c r="C29" s="4" t="s">
        <v>46</v>
      </c>
      <c r="D29" s="5"/>
      <c r="E29" s="6"/>
      <c r="F29" s="6"/>
      <c r="G29" s="6"/>
      <c r="H29" s="7">
        <f t="shared" si="2"/>
        <v>0</v>
      </c>
      <c r="I29" s="8"/>
      <c r="J29" s="6"/>
      <c r="K29" s="6"/>
      <c r="L29" s="10"/>
    </row>
    <row r="30" spans="2:12" x14ac:dyDescent="0.45">
      <c r="B30" s="4"/>
      <c r="C30" s="4" t="s">
        <v>47</v>
      </c>
      <c r="D30" s="5"/>
      <c r="E30" s="6"/>
      <c r="F30" s="6"/>
      <c r="G30" s="6"/>
      <c r="H30" s="7">
        <f t="shared" si="2"/>
        <v>0</v>
      </c>
      <c r="I30" s="8"/>
      <c r="J30" s="6"/>
      <c r="K30" s="6"/>
      <c r="L30" s="10"/>
    </row>
    <row r="31" spans="2:12" x14ac:dyDescent="0.45">
      <c r="B31" s="4"/>
      <c r="C31" s="4" t="s">
        <v>48</v>
      </c>
      <c r="D31" s="5"/>
      <c r="E31" s="6"/>
      <c r="F31" s="6"/>
      <c r="G31" s="6"/>
      <c r="H31" s="7">
        <f t="shared" si="2"/>
        <v>0</v>
      </c>
      <c r="I31" s="8"/>
      <c r="J31" s="6"/>
      <c r="K31" s="6"/>
      <c r="L31" s="10"/>
    </row>
    <row r="32" spans="2:12" x14ac:dyDescent="0.45">
      <c r="B32" s="4"/>
      <c r="C32" s="4" t="s">
        <v>49</v>
      </c>
      <c r="D32" s="11"/>
      <c r="E32" s="12"/>
      <c r="F32" s="12"/>
      <c r="G32" s="12"/>
      <c r="H32" s="7">
        <f t="shared" si="2"/>
        <v>0</v>
      </c>
      <c r="I32" s="13"/>
      <c r="J32" s="12"/>
      <c r="K32" s="12"/>
      <c r="L32" s="14"/>
    </row>
    <row r="33" spans="2:12" x14ac:dyDescent="0.45">
      <c r="B33" s="4"/>
      <c r="C33" s="4" t="s">
        <v>50</v>
      </c>
      <c r="D33" s="11"/>
      <c r="E33" s="12"/>
      <c r="F33" s="12"/>
      <c r="G33" s="12"/>
      <c r="H33" s="7">
        <f t="shared" si="2"/>
        <v>0</v>
      </c>
      <c r="I33" s="13"/>
      <c r="J33" s="12"/>
      <c r="K33" s="12"/>
      <c r="L33" s="14"/>
    </row>
    <row r="34" spans="2:12" x14ac:dyDescent="0.45">
      <c r="B34" s="15"/>
      <c r="C34" s="15"/>
      <c r="D34" s="3" t="s">
        <v>30</v>
      </c>
      <c r="E34" s="18">
        <f>SUM(E26:E33)</f>
        <v>0</v>
      </c>
      <c r="F34" s="18">
        <f>SUM(F26:F33)</f>
        <v>0</v>
      </c>
      <c r="G34" s="18">
        <f>SUM(G26:G33)</f>
        <v>0</v>
      </c>
      <c r="H34" s="18">
        <f>SUM(H26:H33)</f>
        <v>0</v>
      </c>
      <c r="I34" s="16">
        <f>(I26*H26)+(I27*H27)+(I28*H28)+(I29*H29)+(I30*H30)+(I31*H31)+(I32*H32)+(I33*H33)</f>
        <v>0</v>
      </c>
      <c r="J34" s="16">
        <v>0</v>
      </c>
      <c r="K34" s="17"/>
      <c r="L34" s="14"/>
    </row>
    <row r="35" spans="2:12" x14ac:dyDescent="0.45">
      <c r="B35" s="3"/>
      <c r="C35" s="3" t="s">
        <v>51</v>
      </c>
      <c r="D35" s="143"/>
      <c r="E35" s="144"/>
      <c r="F35" s="144"/>
      <c r="G35" s="144"/>
      <c r="H35" s="144"/>
      <c r="I35" s="144"/>
      <c r="J35" s="145"/>
      <c r="K35" s="145"/>
      <c r="L35" s="146"/>
    </row>
    <row r="36" spans="2:12" x14ac:dyDescent="0.45">
      <c r="B36" s="4"/>
      <c r="C36" s="4" t="s">
        <v>52</v>
      </c>
      <c r="D36" s="5"/>
      <c r="E36" s="6"/>
      <c r="F36" s="6"/>
      <c r="G36" s="6"/>
      <c r="H36" s="7">
        <f>E36</f>
        <v>0</v>
      </c>
      <c r="I36" s="8"/>
      <c r="J36" s="6"/>
      <c r="K36" s="9"/>
      <c r="L36" s="10"/>
    </row>
    <row r="37" spans="2:12" x14ac:dyDescent="0.45">
      <c r="B37" s="4"/>
      <c r="C37" s="4" t="s">
        <v>53</v>
      </c>
      <c r="D37" s="5"/>
      <c r="E37" s="6"/>
      <c r="F37" s="6"/>
      <c r="G37" s="6"/>
      <c r="H37" s="7">
        <f t="shared" ref="H37:H43" si="3">E37</f>
        <v>0</v>
      </c>
      <c r="I37" s="8"/>
      <c r="J37" s="6"/>
      <c r="K37" s="6"/>
      <c r="L37" s="10"/>
    </row>
    <row r="38" spans="2:12" x14ac:dyDescent="0.45">
      <c r="B38" s="4"/>
      <c r="C38" s="4" t="s">
        <v>54</v>
      </c>
      <c r="D38" s="5"/>
      <c r="E38" s="6"/>
      <c r="F38" s="6"/>
      <c r="G38" s="6"/>
      <c r="H38" s="7">
        <f t="shared" si="3"/>
        <v>0</v>
      </c>
      <c r="I38" s="8"/>
      <c r="J38" s="6"/>
      <c r="K38" s="6"/>
      <c r="L38" s="10"/>
    </row>
    <row r="39" spans="2:12" x14ac:dyDescent="0.45">
      <c r="B39" s="4"/>
      <c r="C39" s="4" t="s">
        <v>55</v>
      </c>
      <c r="D39" s="5"/>
      <c r="E39" s="6"/>
      <c r="F39" s="6"/>
      <c r="G39" s="6"/>
      <c r="H39" s="7">
        <f t="shared" si="3"/>
        <v>0</v>
      </c>
      <c r="I39" s="8"/>
      <c r="J39" s="6"/>
      <c r="K39" s="6"/>
      <c r="L39" s="10"/>
    </row>
    <row r="40" spans="2:12" x14ac:dyDescent="0.45">
      <c r="B40" s="4"/>
      <c r="C40" s="4" t="s">
        <v>56</v>
      </c>
      <c r="D40" s="5"/>
      <c r="E40" s="6"/>
      <c r="F40" s="6"/>
      <c r="G40" s="6"/>
      <c r="H40" s="7">
        <f t="shared" si="3"/>
        <v>0</v>
      </c>
      <c r="I40" s="8"/>
      <c r="J40" s="6"/>
      <c r="K40" s="6"/>
      <c r="L40" s="10"/>
    </row>
    <row r="41" spans="2:12" x14ac:dyDescent="0.45">
      <c r="B41" s="4"/>
      <c r="C41" s="4" t="s">
        <v>57</v>
      </c>
      <c r="D41" s="5"/>
      <c r="E41" s="6"/>
      <c r="F41" s="6"/>
      <c r="G41" s="6"/>
      <c r="H41" s="7">
        <f t="shared" si="3"/>
        <v>0</v>
      </c>
      <c r="I41" s="8"/>
      <c r="J41" s="6"/>
      <c r="K41" s="6"/>
      <c r="L41" s="10"/>
    </row>
    <row r="42" spans="2:12" x14ac:dyDescent="0.45">
      <c r="B42" s="4"/>
      <c r="C42" s="4" t="s">
        <v>58</v>
      </c>
      <c r="D42" s="11"/>
      <c r="E42" s="12"/>
      <c r="F42" s="12"/>
      <c r="G42" s="12"/>
      <c r="H42" s="7">
        <f t="shared" si="3"/>
        <v>0</v>
      </c>
      <c r="I42" s="13"/>
      <c r="J42" s="12"/>
      <c r="K42" s="12"/>
      <c r="L42" s="14"/>
    </row>
    <row r="43" spans="2:12" x14ac:dyDescent="0.45">
      <c r="B43" s="4"/>
      <c r="C43" s="4" t="s">
        <v>59</v>
      </c>
      <c r="D43" s="11"/>
      <c r="E43" s="12"/>
      <c r="F43" s="12"/>
      <c r="G43" s="12"/>
      <c r="H43" s="7">
        <f t="shared" si="3"/>
        <v>0</v>
      </c>
      <c r="I43" s="13"/>
      <c r="J43" s="12"/>
      <c r="K43" s="12"/>
      <c r="L43" s="14"/>
    </row>
    <row r="44" spans="2:12" x14ac:dyDescent="0.45">
      <c r="B44" s="15"/>
      <c r="C44" s="15"/>
      <c r="D44" s="3" t="s">
        <v>30</v>
      </c>
      <c r="E44" s="16">
        <f>SUM(E36:E43)</f>
        <v>0</v>
      </c>
      <c r="F44" s="16">
        <f>SUM(F36:F43)</f>
        <v>0</v>
      </c>
      <c r="G44" s="16">
        <f>SUM(G36:G43)</f>
        <v>0</v>
      </c>
      <c r="H44" s="16">
        <f>SUM(H36:H43)</f>
        <v>0</v>
      </c>
      <c r="I44" s="16">
        <f>(I36*H36)+(I37*H37)+(I38*H38)+(I39*H39)+(I40*H40)+(I41*H41)+(I42*H42)+(I43*H43)</f>
        <v>0</v>
      </c>
      <c r="J44" s="16">
        <v>0</v>
      </c>
      <c r="K44" s="17"/>
      <c r="L44" s="14"/>
    </row>
    <row r="45" spans="2:12" x14ac:dyDescent="0.45">
      <c r="B45" s="19"/>
      <c r="C45" s="19"/>
      <c r="D45" s="20"/>
      <c r="E45" s="21"/>
      <c r="F45" s="21"/>
      <c r="G45" s="21"/>
      <c r="H45" s="21"/>
      <c r="I45" s="21"/>
      <c r="J45" s="21"/>
      <c r="K45" s="21"/>
      <c r="L45" s="21"/>
    </row>
    <row r="46" spans="2:12" x14ac:dyDescent="0.45">
      <c r="B46" s="3"/>
      <c r="C46" s="3" t="s">
        <v>60</v>
      </c>
      <c r="D46" s="147" t="s">
        <v>61</v>
      </c>
      <c r="E46" s="147"/>
      <c r="F46" s="147"/>
      <c r="G46" s="147"/>
      <c r="H46" s="147"/>
      <c r="I46" s="147"/>
      <c r="J46" s="148"/>
      <c r="K46" s="148"/>
      <c r="L46" s="147"/>
    </row>
    <row r="47" spans="2:12" x14ac:dyDescent="0.45">
      <c r="B47" s="3"/>
      <c r="C47" s="3" t="s">
        <v>62</v>
      </c>
      <c r="D47" s="149" t="s">
        <v>63</v>
      </c>
      <c r="E47" s="149"/>
      <c r="F47" s="149"/>
      <c r="G47" s="149"/>
      <c r="H47" s="149"/>
      <c r="I47" s="149"/>
      <c r="J47" s="150"/>
      <c r="K47" s="150"/>
      <c r="L47" s="149"/>
    </row>
    <row r="48" spans="2:12" ht="31.75" x14ac:dyDescent="0.45">
      <c r="B48" s="4" t="s">
        <v>188</v>
      </c>
      <c r="C48" s="4" t="s">
        <v>64</v>
      </c>
      <c r="D48" s="5" t="s">
        <v>65</v>
      </c>
      <c r="E48" s="22">
        <v>6000</v>
      </c>
      <c r="F48" s="22"/>
      <c r="G48" s="22"/>
      <c r="H48" s="23">
        <f t="shared" ref="H48:H55" si="4">E48</f>
        <v>6000</v>
      </c>
      <c r="I48" s="24">
        <v>1</v>
      </c>
      <c r="J48" s="22">
        <v>3165</v>
      </c>
      <c r="K48" s="129" t="s">
        <v>243</v>
      </c>
      <c r="L48" s="25"/>
    </row>
    <row r="49" spans="2:12" ht="47.6" x14ac:dyDescent="0.45">
      <c r="B49" s="4" t="s">
        <v>186</v>
      </c>
      <c r="C49" s="4" t="s">
        <v>66</v>
      </c>
      <c r="D49" s="5" t="s">
        <v>67</v>
      </c>
      <c r="E49" s="22">
        <v>39800</v>
      </c>
      <c r="F49" s="22"/>
      <c r="G49" s="22"/>
      <c r="H49" s="23">
        <f t="shared" si="4"/>
        <v>39800</v>
      </c>
      <c r="I49" s="24">
        <v>1</v>
      </c>
      <c r="J49" s="22">
        <v>42367</v>
      </c>
      <c r="K49" s="129" t="s">
        <v>244</v>
      </c>
      <c r="L49" s="25"/>
    </row>
    <row r="50" spans="2:12" ht="47.6" x14ac:dyDescent="0.45">
      <c r="B50" s="4" t="s">
        <v>188</v>
      </c>
      <c r="C50" s="4" t="s">
        <v>68</v>
      </c>
      <c r="D50" s="5" t="s">
        <v>69</v>
      </c>
      <c r="E50" s="22">
        <v>4800</v>
      </c>
      <c r="F50" s="22"/>
      <c r="G50" s="22"/>
      <c r="H50" s="23">
        <f t="shared" si="4"/>
        <v>4800</v>
      </c>
      <c r="I50" s="24">
        <v>1</v>
      </c>
      <c r="J50" s="22">
        <v>2973.9</v>
      </c>
      <c r="K50" s="129" t="s">
        <v>245</v>
      </c>
      <c r="L50" s="25"/>
    </row>
    <row r="51" spans="2:12" ht="47.6" x14ac:dyDescent="0.45">
      <c r="B51" s="4" t="s">
        <v>186</v>
      </c>
      <c r="C51" s="4" t="s">
        <v>70</v>
      </c>
      <c r="D51" s="27" t="s">
        <v>71</v>
      </c>
      <c r="E51" s="28">
        <v>48000</v>
      </c>
      <c r="F51" s="6"/>
      <c r="G51" s="6"/>
      <c r="H51" s="7">
        <f t="shared" si="4"/>
        <v>48000</v>
      </c>
      <c r="I51" s="8">
        <v>1</v>
      </c>
      <c r="J51" s="22">
        <v>38404.97</v>
      </c>
      <c r="K51" s="128" t="s">
        <v>246</v>
      </c>
      <c r="L51" s="10"/>
    </row>
    <row r="52" spans="2:12" ht="31.75" x14ac:dyDescent="0.45">
      <c r="B52" s="108" t="s">
        <v>189</v>
      </c>
      <c r="C52" s="4" t="s">
        <v>72</v>
      </c>
      <c r="D52" s="27" t="s">
        <v>73</v>
      </c>
      <c r="E52" s="28">
        <v>1500</v>
      </c>
      <c r="F52" s="6"/>
      <c r="G52" s="6"/>
      <c r="H52" s="7">
        <f t="shared" si="4"/>
        <v>1500</v>
      </c>
      <c r="I52" s="8">
        <v>1</v>
      </c>
      <c r="J52" s="22">
        <v>2650</v>
      </c>
      <c r="K52" s="128" t="s">
        <v>226</v>
      </c>
      <c r="L52" s="10"/>
    </row>
    <row r="53" spans="2:12" ht="31.75" x14ac:dyDescent="0.45">
      <c r="B53" s="108" t="s">
        <v>189</v>
      </c>
      <c r="C53" s="4" t="s">
        <v>74</v>
      </c>
      <c r="D53" s="27" t="s">
        <v>75</v>
      </c>
      <c r="E53" s="28">
        <v>795.32500000000005</v>
      </c>
      <c r="F53" s="6"/>
      <c r="G53" s="6"/>
      <c r="H53" s="7">
        <f t="shared" si="4"/>
        <v>795.32500000000005</v>
      </c>
      <c r="I53" s="8">
        <v>1</v>
      </c>
      <c r="J53" s="22">
        <v>1295</v>
      </c>
      <c r="K53" s="128" t="s">
        <v>227</v>
      </c>
      <c r="L53" s="10"/>
    </row>
    <row r="54" spans="2:12" ht="79.3" x14ac:dyDescent="0.45">
      <c r="B54" s="4" t="s">
        <v>187</v>
      </c>
      <c r="C54" s="4" t="s">
        <v>76</v>
      </c>
      <c r="D54" s="27" t="s">
        <v>29</v>
      </c>
      <c r="E54" s="28">
        <v>8720</v>
      </c>
      <c r="F54" s="12"/>
      <c r="G54" s="12"/>
      <c r="H54" s="7">
        <f t="shared" si="4"/>
        <v>8720</v>
      </c>
      <c r="I54" s="8">
        <v>1</v>
      </c>
      <c r="J54" s="22">
        <v>8342.9900000000016</v>
      </c>
      <c r="K54" s="130" t="s">
        <v>247</v>
      </c>
      <c r="L54" s="14"/>
    </row>
    <row r="55" spans="2:12" x14ac:dyDescent="0.45">
      <c r="B55" s="4"/>
      <c r="C55" s="4" t="s">
        <v>77</v>
      </c>
      <c r="D55" s="27"/>
      <c r="E55" s="28"/>
      <c r="F55" s="12"/>
      <c r="G55" s="12"/>
      <c r="H55" s="7">
        <f t="shared" si="4"/>
        <v>0</v>
      </c>
      <c r="I55" s="8"/>
      <c r="J55" s="12"/>
      <c r="K55" s="12"/>
      <c r="L55" s="14"/>
    </row>
    <row r="56" spans="2:12" x14ac:dyDescent="0.45">
      <c r="B56" s="15"/>
      <c r="C56" s="15"/>
      <c r="D56" s="3" t="s">
        <v>30</v>
      </c>
      <c r="E56" s="16">
        <f>SUM(E48:E55)</f>
        <v>109615.325</v>
      </c>
      <c r="F56" s="16">
        <f>SUM(F48:F55)</f>
        <v>0</v>
      </c>
      <c r="G56" s="16">
        <f>SUM(G48:G55)</f>
        <v>0</v>
      </c>
      <c r="H56" s="18">
        <f>SUM(H48:H55)</f>
        <v>109615.325</v>
      </c>
      <c r="I56" s="16">
        <f>(I48*H48)+(I49*H49)+(I50*H50)+(I51*H51)+(I52*H52)+(I53*H53)+(I54*H54)+(I55*H55)</f>
        <v>109615.325</v>
      </c>
      <c r="J56" s="16">
        <v>99198.86</v>
      </c>
      <c r="K56" s="17"/>
      <c r="L56" s="14"/>
    </row>
    <row r="57" spans="2:12" x14ac:dyDescent="0.45">
      <c r="B57" s="3"/>
      <c r="C57" s="3" t="s">
        <v>78</v>
      </c>
      <c r="D57" s="151" t="s">
        <v>79</v>
      </c>
      <c r="E57" s="151"/>
      <c r="F57" s="151"/>
      <c r="G57" s="151"/>
      <c r="H57" s="151"/>
      <c r="I57" s="151"/>
      <c r="J57" s="152"/>
      <c r="K57" s="152"/>
      <c r="L57" s="151"/>
    </row>
    <row r="58" spans="2:12" ht="79.3" x14ac:dyDescent="0.45">
      <c r="B58" s="4" t="s">
        <v>186</v>
      </c>
      <c r="C58" s="4" t="s">
        <v>80</v>
      </c>
      <c r="D58" s="5" t="s">
        <v>81</v>
      </c>
      <c r="E58" s="22">
        <v>40800</v>
      </c>
      <c r="F58" s="22"/>
      <c r="G58" s="22"/>
      <c r="H58" s="23">
        <f t="shared" ref="H58:H65" si="5">E58</f>
        <v>40800</v>
      </c>
      <c r="I58" s="24">
        <v>1</v>
      </c>
      <c r="J58" s="6">
        <v>57350</v>
      </c>
      <c r="K58" s="129" t="s">
        <v>248</v>
      </c>
      <c r="L58" s="10"/>
    </row>
    <row r="59" spans="2:12" ht="47.6" x14ac:dyDescent="0.45">
      <c r="B59" s="4" t="s">
        <v>185</v>
      </c>
      <c r="C59" s="4" t="s">
        <v>82</v>
      </c>
      <c r="D59" s="5" t="s">
        <v>83</v>
      </c>
      <c r="E59" s="22">
        <v>14500</v>
      </c>
      <c r="F59" s="22"/>
      <c r="G59" s="22"/>
      <c r="H59" s="23">
        <f t="shared" si="5"/>
        <v>14500</v>
      </c>
      <c r="I59" s="24">
        <v>1</v>
      </c>
      <c r="J59" s="6">
        <v>839</v>
      </c>
      <c r="K59" s="129" t="s">
        <v>249</v>
      </c>
      <c r="L59" s="10"/>
    </row>
    <row r="60" spans="2:12" ht="32.15" customHeight="1" x14ac:dyDescent="0.45">
      <c r="B60" s="4" t="s">
        <v>185</v>
      </c>
      <c r="C60" s="4" t="s">
        <v>84</v>
      </c>
      <c r="D60" s="5" t="s">
        <v>85</v>
      </c>
      <c r="E60" s="22">
        <v>2200</v>
      </c>
      <c r="F60" s="22"/>
      <c r="G60" s="22"/>
      <c r="H60" s="23">
        <f t="shared" si="5"/>
        <v>2200</v>
      </c>
      <c r="I60" s="24">
        <v>0.8</v>
      </c>
      <c r="J60" s="6">
        <v>1470</v>
      </c>
      <c r="K60" s="128" t="s">
        <v>250</v>
      </c>
      <c r="L60" s="10"/>
    </row>
    <row r="61" spans="2:12" ht="31.75" x14ac:dyDescent="0.45">
      <c r="B61" s="4" t="s">
        <v>185</v>
      </c>
      <c r="C61" s="4" t="s">
        <v>86</v>
      </c>
      <c r="D61" s="5" t="s">
        <v>87</v>
      </c>
      <c r="E61" s="22">
        <v>4500</v>
      </c>
      <c r="F61" s="22"/>
      <c r="G61" s="22"/>
      <c r="H61" s="23">
        <f t="shared" si="5"/>
        <v>4500</v>
      </c>
      <c r="I61" s="24">
        <v>1</v>
      </c>
      <c r="J61" s="6">
        <v>4575</v>
      </c>
      <c r="K61" s="128" t="s">
        <v>228</v>
      </c>
      <c r="L61" s="10"/>
    </row>
    <row r="62" spans="2:12" ht="31.75" x14ac:dyDescent="0.45">
      <c r="B62" s="4" t="s">
        <v>186</v>
      </c>
      <c r="C62" s="4" t="s">
        <v>88</v>
      </c>
      <c r="D62" s="5" t="s">
        <v>89</v>
      </c>
      <c r="E62" s="22">
        <v>15600</v>
      </c>
      <c r="F62" s="22"/>
      <c r="G62" s="22"/>
      <c r="H62" s="23">
        <f t="shared" si="5"/>
        <v>15600</v>
      </c>
      <c r="I62" s="24">
        <v>1</v>
      </c>
      <c r="J62" s="6">
        <v>14949</v>
      </c>
      <c r="K62" s="128" t="s">
        <v>229</v>
      </c>
      <c r="L62" s="10"/>
    </row>
    <row r="63" spans="2:12" ht="79.3" x14ac:dyDescent="0.45">
      <c r="B63" s="4" t="s">
        <v>187</v>
      </c>
      <c r="C63" s="4" t="s">
        <v>90</v>
      </c>
      <c r="D63" s="5" t="s">
        <v>29</v>
      </c>
      <c r="E63" s="22">
        <v>8754</v>
      </c>
      <c r="F63" s="22"/>
      <c r="G63" s="22"/>
      <c r="H63" s="23">
        <f t="shared" si="5"/>
        <v>8754</v>
      </c>
      <c r="I63" s="24">
        <v>1</v>
      </c>
      <c r="J63" s="6">
        <v>8376.8600000000024</v>
      </c>
      <c r="K63" s="128" t="s">
        <v>230</v>
      </c>
      <c r="L63" s="10"/>
    </row>
    <row r="64" spans="2:12" x14ac:dyDescent="0.45">
      <c r="B64" s="4"/>
      <c r="C64" s="4" t="s">
        <v>91</v>
      </c>
      <c r="D64" s="5"/>
      <c r="E64" s="22"/>
      <c r="F64" s="22"/>
      <c r="G64" s="22"/>
      <c r="H64" s="23">
        <f t="shared" si="5"/>
        <v>0</v>
      </c>
      <c r="I64" s="24"/>
      <c r="J64" s="12"/>
      <c r="K64" s="12"/>
      <c r="L64" s="14"/>
    </row>
    <row r="65" spans="2:12" x14ac:dyDescent="0.45">
      <c r="B65" s="4"/>
      <c r="C65" s="4" t="s">
        <v>92</v>
      </c>
      <c r="D65" s="5"/>
      <c r="E65" s="22"/>
      <c r="F65" s="22"/>
      <c r="G65" s="22"/>
      <c r="H65" s="23">
        <f t="shared" si="5"/>
        <v>0</v>
      </c>
      <c r="I65" s="24"/>
      <c r="J65" s="12"/>
      <c r="K65" s="12"/>
      <c r="L65" s="14"/>
    </row>
    <row r="66" spans="2:12" x14ac:dyDescent="0.45">
      <c r="B66" s="15"/>
      <c r="C66" s="15"/>
      <c r="D66" s="3" t="s">
        <v>30</v>
      </c>
      <c r="E66" s="18">
        <f>SUM(E58:E65)</f>
        <v>86354</v>
      </c>
      <c r="F66" s="18">
        <f>SUM(F58:F65)</f>
        <v>0</v>
      </c>
      <c r="G66" s="18">
        <f>SUM(G58:G65)</f>
        <v>0</v>
      </c>
      <c r="H66" s="18">
        <f>SUM(H58:H65)</f>
        <v>86354</v>
      </c>
      <c r="I66" s="16">
        <f>(I58*H58)+(I59*H59)+(I60*H60)+(I61*H61)+(I62*H62)+(I63*H63)+(I64*H64)+(I65*H65)</f>
        <v>85914</v>
      </c>
      <c r="J66" s="16">
        <v>87559.86</v>
      </c>
      <c r="K66" s="17"/>
      <c r="L66" s="14"/>
    </row>
    <row r="67" spans="2:12" x14ac:dyDescent="0.45">
      <c r="B67" s="3"/>
      <c r="C67" s="3" t="s">
        <v>93</v>
      </c>
      <c r="D67" s="151" t="s">
        <v>94</v>
      </c>
      <c r="E67" s="151"/>
      <c r="F67" s="151"/>
      <c r="G67" s="151"/>
      <c r="H67" s="151"/>
      <c r="I67" s="151"/>
      <c r="J67" s="152"/>
      <c r="K67" s="152"/>
      <c r="L67" s="151"/>
    </row>
    <row r="68" spans="2:12" ht="47.6" x14ac:dyDescent="0.45">
      <c r="B68" s="4" t="s">
        <v>186</v>
      </c>
      <c r="C68" s="4" t="s">
        <v>95</v>
      </c>
      <c r="D68" s="5" t="s">
        <v>96</v>
      </c>
      <c r="E68" s="6">
        <v>44000</v>
      </c>
      <c r="F68" s="6"/>
      <c r="G68" s="6"/>
      <c r="H68" s="7">
        <f>E68</f>
        <v>44000</v>
      </c>
      <c r="I68" s="8">
        <v>1</v>
      </c>
      <c r="J68" s="6">
        <v>31695</v>
      </c>
      <c r="K68" s="126" t="s">
        <v>251</v>
      </c>
      <c r="L68" s="10"/>
    </row>
    <row r="69" spans="2:12" ht="47.6" x14ac:dyDescent="0.45">
      <c r="B69" s="4" t="s">
        <v>186</v>
      </c>
      <c r="C69" s="4" t="s">
        <v>97</v>
      </c>
      <c r="D69" s="5" t="s">
        <v>98</v>
      </c>
      <c r="E69" s="6">
        <v>44000</v>
      </c>
      <c r="F69" s="6"/>
      <c r="G69" s="6"/>
      <c r="H69" s="7">
        <f>E69</f>
        <v>44000</v>
      </c>
      <c r="I69" s="8">
        <v>1</v>
      </c>
      <c r="J69" s="6">
        <v>43309</v>
      </c>
      <c r="K69" s="126" t="s">
        <v>252</v>
      </c>
      <c r="L69" s="10"/>
    </row>
    <row r="70" spans="2:12" x14ac:dyDescent="0.45">
      <c r="B70" s="4"/>
      <c r="C70" s="4" t="s">
        <v>99</v>
      </c>
      <c r="D70" s="5"/>
      <c r="E70" s="6"/>
      <c r="F70" s="6"/>
      <c r="G70" s="6"/>
      <c r="H70" s="7">
        <f t="shared" ref="H70:H75" si="6">E70</f>
        <v>0</v>
      </c>
      <c r="I70" s="8"/>
      <c r="J70" s="6"/>
      <c r="K70" s="6"/>
      <c r="L70" s="10"/>
    </row>
    <row r="71" spans="2:12" x14ac:dyDescent="0.45">
      <c r="B71" s="4"/>
      <c r="C71" s="4" t="s">
        <v>100</v>
      </c>
      <c r="D71" s="5"/>
      <c r="E71" s="6"/>
      <c r="F71" s="6"/>
      <c r="G71" s="6"/>
      <c r="H71" s="7">
        <f t="shared" si="6"/>
        <v>0</v>
      </c>
      <c r="I71" s="8"/>
      <c r="J71" s="6"/>
      <c r="K71" s="6"/>
      <c r="L71" s="10"/>
    </row>
    <row r="72" spans="2:12" x14ac:dyDescent="0.45">
      <c r="B72" s="4"/>
      <c r="C72" s="4" t="s">
        <v>101</v>
      </c>
      <c r="D72" s="5"/>
      <c r="E72" s="6"/>
      <c r="F72" s="6"/>
      <c r="G72" s="6"/>
      <c r="H72" s="7">
        <f t="shared" si="6"/>
        <v>0</v>
      </c>
      <c r="I72" s="8"/>
      <c r="J72" s="6"/>
      <c r="K72" s="6"/>
      <c r="L72" s="10"/>
    </row>
    <row r="73" spans="2:12" x14ac:dyDescent="0.45">
      <c r="B73" s="4"/>
      <c r="C73" s="4" t="s">
        <v>102</v>
      </c>
      <c r="D73" s="5"/>
      <c r="E73" s="6"/>
      <c r="F73" s="6"/>
      <c r="G73" s="6"/>
      <c r="H73" s="7">
        <f t="shared" si="6"/>
        <v>0</v>
      </c>
      <c r="I73" s="8"/>
      <c r="J73" s="6"/>
      <c r="K73" s="6"/>
      <c r="L73" s="10"/>
    </row>
    <row r="74" spans="2:12" x14ac:dyDescent="0.45">
      <c r="B74" s="4"/>
      <c r="C74" s="4" t="s">
        <v>103</v>
      </c>
      <c r="D74" s="11"/>
      <c r="E74" s="12"/>
      <c r="F74" s="12"/>
      <c r="G74" s="12"/>
      <c r="H74" s="7">
        <f t="shared" si="6"/>
        <v>0</v>
      </c>
      <c r="I74" s="13"/>
      <c r="J74" s="12"/>
      <c r="K74" s="12"/>
      <c r="L74" s="14"/>
    </row>
    <row r="75" spans="2:12" x14ac:dyDescent="0.45">
      <c r="B75" s="4"/>
      <c r="C75" s="4" t="s">
        <v>104</v>
      </c>
      <c r="D75" s="11"/>
      <c r="E75" s="12"/>
      <c r="F75" s="12"/>
      <c r="G75" s="12"/>
      <c r="H75" s="7">
        <f t="shared" si="6"/>
        <v>0</v>
      </c>
      <c r="I75" s="13"/>
      <c r="J75" s="12"/>
      <c r="K75" s="12"/>
      <c r="L75" s="14"/>
    </row>
    <row r="76" spans="2:12" x14ac:dyDescent="0.45">
      <c r="B76" s="15"/>
      <c r="C76" s="15"/>
      <c r="D76" s="3" t="s">
        <v>30</v>
      </c>
      <c r="E76" s="18">
        <f>SUM(E68:E75)</f>
        <v>88000</v>
      </c>
      <c r="F76" s="18">
        <f>SUM(F68:F75)</f>
        <v>0</v>
      </c>
      <c r="G76" s="18">
        <f>SUM(G68:G75)</f>
        <v>0</v>
      </c>
      <c r="H76" s="18">
        <f>SUM(H68:H75)</f>
        <v>88000</v>
      </c>
      <c r="I76" s="16">
        <f>(I68*H68)+(I69*H69)+(I70*H70)+(I71*H71)+(I72*H72)+(I73*H73)+(I74*H74)+(I75*H75)</f>
        <v>88000</v>
      </c>
      <c r="J76" s="16">
        <v>75004</v>
      </c>
      <c r="K76" s="17"/>
      <c r="L76" s="14"/>
    </row>
    <row r="77" spans="2:12" x14ac:dyDescent="0.45">
      <c r="B77" s="3"/>
      <c r="C77" s="3" t="s">
        <v>105</v>
      </c>
      <c r="D77" s="153" t="s">
        <v>106</v>
      </c>
      <c r="E77" s="153"/>
      <c r="F77" s="153"/>
      <c r="G77" s="153"/>
      <c r="H77" s="153"/>
      <c r="I77" s="153"/>
      <c r="J77" s="154"/>
      <c r="K77" s="154"/>
      <c r="L77" s="153"/>
    </row>
    <row r="78" spans="2:12" ht="47.6" x14ac:dyDescent="0.45">
      <c r="B78" s="4" t="s">
        <v>188</v>
      </c>
      <c r="C78" s="4" t="s">
        <v>107</v>
      </c>
      <c r="D78" s="5" t="s">
        <v>108</v>
      </c>
      <c r="E78" s="22">
        <v>4500</v>
      </c>
      <c r="F78" s="22"/>
      <c r="G78" s="22"/>
      <c r="H78" s="23">
        <f>E78</f>
        <v>4500</v>
      </c>
      <c r="I78" s="24">
        <v>1</v>
      </c>
      <c r="J78" s="22">
        <v>0</v>
      </c>
      <c r="K78" s="26" t="s">
        <v>253</v>
      </c>
      <c r="L78" s="25"/>
    </row>
    <row r="79" spans="2:12" ht="47.6" x14ac:dyDescent="0.45">
      <c r="B79" s="4" t="s">
        <v>186</v>
      </c>
      <c r="C79" s="4" t="s">
        <v>109</v>
      </c>
      <c r="D79" s="5" t="s">
        <v>110</v>
      </c>
      <c r="E79" s="22">
        <v>62000</v>
      </c>
      <c r="F79" s="22"/>
      <c r="G79" s="22"/>
      <c r="H79" s="23">
        <f t="shared" ref="H79:H85" si="7">E79</f>
        <v>62000</v>
      </c>
      <c r="I79" s="24">
        <v>1</v>
      </c>
      <c r="J79" s="22">
        <v>47805</v>
      </c>
      <c r="K79" s="26" t="s">
        <v>253</v>
      </c>
      <c r="L79" s="25"/>
    </row>
    <row r="80" spans="2:12" ht="47.6" x14ac:dyDescent="0.45">
      <c r="B80" s="108" t="s">
        <v>190</v>
      </c>
      <c r="C80" s="4" t="s">
        <v>111</v>
      </c>
      <c r="D80" s="5" t="s">
        <v>112</v>
      </c>
      <c r="E80" s="22">
        <v>50000</v>
      </c>
      <c r="F80" s="22"/>
      <c r="G80" s="22"/>
      <c r="H80" s="23">
        <f t="shared" si="7"/>
        <v>50000</v>
      </c>
      <c r="I80" s="24">
        <v>1</v>
      </c>
      <c r="J80" s="22">
        <v>42877</v>
      </c>
      <c r="K80" s="26" t="s">
        <v>254</v>
      </c>
      <c r="L80" s="25"/>
    </row>
    <row r="81" spans="2:12" x14ac:dyDescent="0.45">
      <c r="B81" s="4"/>
      <c r="C81" s="4" t="s">
        <v>113</v>
      </c>
      <c r="D81" s="5"/>
      <c r="E81" s="6"/>
      <c r="F81" s="6"/>
      <c r="G81" s="6"/>
      <c r="H81" s="7">
        <f t="shared" si="7"/>
        <v>0</v>
      </c>
      <c r="I81" s="8"/>
      <c r="J81" s="6"/>
      <c r="K81" s="6"/>
      <c r="L81" s="10"/>
    </row>
    <row r="82" spans="2:12" x14ac:dyDescent="0.45">
      <c r="B82" s="4"/>
      <c r="C82" s="4" t="s">
        <v>114</v>
      </c>
      <c r="D82" s="5"/>
      <c r="E82" s="6"/>
      <c r="F82" s="6"/>
      <c r="G82" s="6"/>
      <c r="H82" s="7">
        <f t="shared" si="7"/>
        <v>0</v>
      </c>
      <c r="I82" s="8"/>
      <c r="J82" s="6"/>
      <c r="K82" s="6"/>
      <c r="L82" s="10"/>
    </row>
    <row r="83" spans="2:12" x14ac:dyDescent="0.45">
      <c r="B83" s="4"/>
      <c r="C83" s="4" t="s">
        <v>115</v>
      </c>
      <c r="D83" s="5"/>
      <c r="E83" s="6"/>
      <c r="F83" s="6"/>
      <c r="G83" s="6"/>
      <c r="H83" s="7">
        <f t="shared" si="7"/>
        <v>0</v>
      </c>
      <c r="I83" s="8"/>
      <c r="J83" s="6"/>
      <c r="K83" s="6"/>
      <c r="L83" s="10"/>
    </row>
    <row r="84" spans="2:12" x14ac:dyDescent="0.45">
      <c r="B84" s="4"/>
      <c r="C84" s="4" t="s">
        <v>116</v>
      </c>
      <c r="D84" s="11"/>
      <c r="E84" s="12"/>
      <c r="F84" s="12"/>
      <c r="G84" s="12"/>
      <c r="H84" s="7">
        <f t="shared" si="7"/>
        <v>0</v>
      </c>
      <c r="I84" s="13"/>
      <c r="J84" s="12"/>
      <c r="K84" s="12"/>
      <c r="L84" s="14"/>
    </row>
    <row r="85" spans="2:12" x14ac:dyDescent="0.45">
      <c r="B85" s="4"/>
      <c r="C85" s="4" t="s">
        <v>117</v>
      </c>
      <c r="D85" s="11"/>
      <c r="E85" s="12"/>
      <c r="F85" s="12"/>
      <c r="G85" s="12"/>
      <c r="H85" s="7">
        <f t="shared" si="7"/>
        <v>0</v>
      </c>
      <c r="I85" s="13"/>
      <c r="J85" s="12"/>
      <c r="K85" s="12"/>
      <c r="L85" s="14"/>
    </row>
    <row r="86" spans="2:12" x14ac:dyDescent="0.45">
      <c r="B86" s="15"/>
      <c r="C86" s="15"/>
      <c r="D86" s="3" t="s">
        <v>30</v>
      </c>
      <c r="E86" s="16">
        <f>SUM(E78:E85)</f>
        <v>116500</v>
      </c>
      <c r="F86" s="16">
        <f>SUM(F78:F85)</f>
        <v>0</v>
      </c>
      <c r="G86" s="16">
        <f>SUM(G78:G85)</f>
        <v>0</v>
      </c>
      <c r="H86" s="16">
        <f>SUM(H78:H85)</f>
        <v>116500</v>
      </c>
      <c r="I86" s="16">
        <f>(I78*H78)+(I79*H79)+(I80*H80)+(I81*H81)+(I82*H82)+(I83*H83)+(I84*H84)+(I85*H85)</f>
        <v>116500</v>
      </c>
      <c r="J86" s="16">
        <v>90682</v>
      </c>
      <c r="K86" s="17"/>
      <c r="L86" s="14"/>
    </row>
    <row r="87" spans="2:12" x14ac:dyDescent="0.45">
      <c r="B87" s="29"/>
      <c r="C87" s="29"/>
      <c r="D87" s="19"/>
      <c r="E87" s="30"/>
      <c r="F87" s="30"/>
      <c r="G87" s="30"/>
      <c r="H87" s="30"/>
      <c r="I87" s="30"/>
      <c r="J87" s="30"/>
      <c r="K87" s="30"/>
      <c r="L87" s="19"/>
    </row>
    <row r="88" spans="2:12" x14ac:dyDescent="0.45">
      <c r="B88" s="3"/>
      <c r="C88" s="3" t="s">
        <v>118</v>
      </c>
      <c r="D88" s="147" t="s">
        <v>119</v>
      </c>
      <c r="E88" s="147"/>
      <c r="F88" s="147"/>
      <c r="G88" s="147"/>
      <c r="H88" s="147"/>
      <c r="I88" s="147"/>
      <c r="J88" s="148"/>
      <c r="K88" s="148"/>
      <c r="L88" s="147"/>
    </row>
    <row r="89" spans="2:12" x14ac:dyDescent="0.45">
      <c r="B89" s="3"/>
      <c r="C89" s="3" t="s">
        <v>120</v>
      </c>
      <c r="D89" s="132" t="s">
        <v>121</v>
      </c>
      <c r="E89" s="133"/>
      <c r="F89" s="133"/>
      <c r="G89" s="133"/>
      <c r="H89" s="133"/>
      <c r="I89" s="133"/>
      <c r="J89" s="133"/>
      <c r="K89" s="133"/>
      <c r="L89" s="134"/>
    </row>
    <row r="90" spans="2:12" ht="63.45" x14ac:dyDescent="0.45">
      <c r="B90" s="4" t="s">
        <v>185</v>
      </c>
      <c r="C90" s="4" t="s">
        <v>122</v>
      </c>
      <c r="D90" s="31" t="s">
        <v>123</v>
      </c>
      <c r="E90" s="6">
        <v>9600</v>
      </c>
      <c r="F90" s="6"/>
      <c r="G90" s="6"/>
      <c r="H90" s="7">
        <f t="shared" ref="H90:H97" si="8">E90</f>
        <v>9600</v>
      </c>
      <c r="I90" s="8">
        <v>1</v>
      </c>
      <c r="J90" s="6">
        <v>0</v>
      </c>
      <c r="K90" s="126" t="s">
        <v>255</v>
      </c>
      <c r="L90" s="10"/>
    </row>
    <row r="91" spans="2:12" ht="47.6" x14ac:dyDescent="0.45">
      <c r="B91" s="4" t="s">
        <v>186</v>
      </c>
      <c r="C91" s="4" t="s">
        <v>124</v>
      </c>
      <c r="D91" s="32" t="s">
        <v>125</v>
      </c>
      <c r="E91" s="6">
        <v>28800</v>
      </c>
      <c r="F91" s="6"/>
      <c r="G91" s="6"/>
      <c r="H91" s="7">
        <f t="shared" si="8"/>
        <v>28800</v>
      </c>
      <c r="I91" s="8">
        <v>1</v>
      </c>
      <c r="J91" s="6">
        <v>30589.5</v>
      </c>
      <c r="K91" s="126" t="s">
        <v>231</v>
      </c>
      <c r="L91" s="10"/>
    </row>
    <row r="92" spans="2:12" ht="79.3" x14ac:dyDescent="0.45">
      <c r="B92" s="4" t="s">
        <v>187</v>
      </c>
      <c r="C92" s="4" t="s">
        <v>126</v>
      </c>
      <c r="D92" s="32" t="s">
        <v>29</v>
      </c>
      <c r="E92" s="6">
        <v>9954</v>
      </c>
      <c r="F92" s="6"/>
      <c r="G92" s="6"/>
      <c r="H92" s="7">
        <f t="shared" si="8"/>
        <v>9954</v>
      </c>
      <c r="I92" s="8">
        <v>1</v>
      </c>
      <c r="J92" s="6">
        <v>7276.6100000000024</v>
      </c>
      <c r="K92" s="126" t="s">
        <v>247</v>
      </c>
      <c r="L92" s="10"/>
    </row>
    <row r="93" spans="2:12" x14ac:dyDescent="0.45">
      <c r="B93" s="4"/>
      <c r="C93" s="4" t="s">
        <v>127</v>
      </c>
      <c r="D93" s="33"/>
      <c r="E93" s="6"/>
      <c r="F93" s="6"/>
      <c r="G93" s="6"/>
      <c r="H93" s="7">
        <f t="shared" si="8"/>
        <v>0</v>
      </c>
      <c r="I93" s="8"/>
      <c r="J93" s="6"/>
      <c r="K93" s="9"/>
      <c r="L93" s="10"/>
    </row>
    <row r="94" spans="2:12" x14ac:dyDescent="0.45">
      <c r="B94" s="4"/>
      <c r="C94" s="4" t="s">
        <v>128</v>
      </c>
      <c r="D94" s="33"/>
      <c r="E94" s="6"/>
      <c r="F94" s="6"/>
      <c r="G94" s="6"/>
      <c r="H94" s="7">
        <f t="shared" si="8"/>
        <v>0</v>
      </c>
      <c r="I94" s="8"/>
      <c r="J94" s="6"/>
      <c r="K94" s="9"/>
      <c r="L94" s="10"/>
    </row>
    <row r="95" spans="2:12" x14ac:dyDescent="0.45">
      <c r="B95" s="4"/>
      <c r="C95" s="4" t="s">
        <v>129</v>
      </c>
      <c r="D95" s="32"/>
      <c r="E95" s="6"/>
      <c r="F95" s="6"/>
      <c r="G95" s="6"/>
      <c r="H95" s="7">
        <f t="shared" si="8"/>
        <v>0</v>
      </c>
      <c r="I95" s="8"/>
      <c r="J95" s="6"/>
      <c r="K95" s="9"/>
      <c r="L95" s="10"/>
    </row>
    <row r="96" spans="2:12" x14ac:dyDescent="0.45">
      <c r="B96" s="4"/>
      <c r="C96" s="4" t="s">
        <v>130</v>
      </c>
      <c r="D96" s="11"/>
      <c r="E96" s="6"/>
      <c r="F96" s="12"/>
      <c r="G96" s="12"/>
      <c r="H96" s="7">
        <f t="shared" si="8"/>
        <v>0</v>
      </c>
      <c r="I96" s="13"/>
      <c r="J96" s="12"/>
      <c r="K96" s="12"/>
      <c r="L96" s="14"/>
    </row>
    <row r="97" spans="2:12" x14ac:dyDescent="0.45">
      <c r="B97" s="4"/>
      <c r="C97" s="4" t="s">
        <v>131</v>
      </c>
      <c r="D97" s="11"/>
      <c r="E97" s="12"/>
      <c r="F97" s="12"/>
      <c r="G97" s="12"/>
      <c r="H97" s="7">
        <f t="shared" si="8"/>
        <v>0</v>
      </c>
      <c r="I97" s="13"/>
      <c r="J97" s="12"/>
      <c r="K97" s="12"/>
      <c r="L97" s="14"/>
    </row>
    <row r="98" spans="2:12" x14ac:dyDescent="0.45">
      <c r="B98" s="15"/>
      <c r="C98" s="15"/>
      <c r="D98" s="3" t="s">
        <v>30</v>
      </c>
      <c r="E98" s="16">
        <f>SUM(E90:E97)</f>
        <v>48354</v>
      </c>
      <c r="F98" s="16">
        <f>SUM(F90:F97)</f>
        <v>0</v>
      </c>
      <c r="G98" s="16">
        <f>SUM(G90:G97)</f>
        <v>0</v>
      </c>
      <c r="H98" s="18">
        <f>SUM(H90:H97)</f>
        <v>48354</v>
      </c>
      <c r="I98" s="16">
        <f>(I90*H90)+(I91*H91)+(I92*H92)+(I93*H93)+(I94*H94)+(I95*H95)+(I96*H96)+(I97*H97)</f>
        <v>48354</v>
      </c>
      <c r="J98" s="16">
        <v>37866.11</v>
      </c>
      <c r="K98" s="17"/>
      <c r="L98" s="14"/>
    </row>
    <row r="99" spans="2:12" x14ac:dyDescent="0.45">
      <c r="B99" s="3"/>
      <c r="C99" s="3" t="s">
        <v>132</v>
      </c>
      <c r="D99" s="151" t="s">
        <v>133</v>
      </c>
      <c r="E99" s="151"/>
      <c r="F99" s="151"/>
      <c r="G99" s="151"/>
      <c r="H99" s="151"/>
      <c r="I99" s="151"/>
      <c r="J99" s="152"/>
      <c r="K99" s="152"/>
      <c r="L99" s="151"/>
    </row>
    <row r="100" spans="2:12" ht="95.15" x14ac:dyDescent="0.45">
      <c r="B100" s="4" t="s">
        <v>186</v>
      </c>
      <c r="C100" s="4" t="s">
        <v>134</v>
      </c>
      <c r="D100" s="33" t="s">
        <v>135</v>
      </c>
      <c r="E100" s="22">
        <v>19200</v>
      </c>
      <c r="F100" s="22"/>
      <c r="G100" s="22"/>
      <c r="H100" s="23">
        <f>E100</f>
        <v>19200</v>
      </c>
      <c r="I100" s="24">
        <v>1</v>
      </c>
      <c r="J100" s="22">
        <v>820</v>
      </c>
      <c r="K100" s="127" t="s">
        <v>256</v>
      </c>
      <c r="L100" s="10"/>
    </row>
    <row r="101" spans="2:12" ht="63.45" x14ac:dyDescent="0.45">
      <c r="B101" s="4" t="s">
        <v>188</v>
      </c>
      <c r="C101" s="4" t="s">
        <v>136</v>
      </c>
      <c r="D101" s="34" t="s">
        <v>137</v>
      </c>
      <c r="E101" s="22">
        <v>4400</v>
      </c>
      <c r="F101" s="22"/>
      <c r="G101" s="22"/>
      <c r="H101" s="23">
        <f t="shared" ref="H101:H107" si="9">E101</f>
        <v>4400</v>
      </c>
      <c r="I101" s="24">
        <v>1</v>
      </c>
      <c r="J101" s="22">
        <v>0</v>
      </c>
      <c r="K101" s="26" t="s">
        <v>257</v>
      </c>
      <c r="L101" s="10"/>
    </row>
    <row r="102" spans="2:12" x14ac:dyDescent="0.45">
      <c r="B102" s="4"/>
      <c r="C102" s="4" t="s">
        <v>138</v>
      </c>
      <c r="D102" s="35"/>
      <c r="E102" s="6"/>
      <c r="F102" s="6"/>
      <c r="G102" s="6"/>
      <c r="H102" s="7">
        <f t="shared" si="9"/>
        <v>0</v>
      </c>
      <c r="I102" s="8"/>
      <c r="J102" s="6"/>
      <c r="K102" s="6"/>
      <c r="L102" s="10"/>
    </row>
    <row r="103" spans="2:12" x14ac:dyDescent="0.45">
      <c r="B103" s="4"/>
      <c r="C103" s="4" t="s">
        <v>139</v>
      </c>
      <c r="D103" s="35"/>
      <c r="E103" s="6"/>
      <c r="F103" s="6"/>
      <c r="G103" s="6"/>
      <c r="H103" s="7">
        <f t="shared" si="9"/>
        <v>0</v>
      </c>
      <c r="I103" s="8"/>
      <c r="J103" s="6"/>
      <c r="K103" s="6"/>
      <c r="L103" s="10"/>
    </row>
    <row r="104" spans="2:12" x14ac:dyDescent="0.45">
      <c r="B104" s="4"/>
      <c r="C104" s="4" t="s">
        <v>140</v>
      </c>
      <c r="D104" s="35"/>
      <c r="E104" s="6"/>
      <c r="F104" s="6"/>
      <c r="G104" s="6"/>
      <c r="H104" s="7">
        <f t="shared" si="9"/>
        <v>0</v>
      </c>
      <c r="I104" s="8"/>
      <c r="J104" s="6"/>
      <c r="K104" s="6"/>
      <c r="L104" s="10"/>
    </row>
    <row r="105" spans="2:12" x14ac:dyDescent="0.45">
      <c r="B105" s="4"/>
      <c r="C105" s="4" t="s">
        <v>141</v>
      </c>
      <c r="D105" s="35"/>
      <c r="E105" s="6"/>
      <c r="F105" s="6"/>
      <c r="G105" s="6"/>
      <c r="H105" s="7">
        <f t="shared" si="9"/>
        <v>0</v>
      </c>
      <c r="I105" s="8"/>
      <c r="J105" s="6"/>
      <c r="K105" s="6"/>
      <c r="L105" s="10"/>
    </row>
    <row r="106" spans="2:12" x14ac:dyDescent="0.45">
      <c r="B106" s="4"/>
      <c r="C106" s="4" t="s">
        <v>142</v>
      </c>
      <c r="D106" s="11"/>
      <c r="E106" s="12"/>
      <c r="F106" s="12"/>
      <c r="G106" s="12"/>
      <c r="H106" s="7">
        <f t="shared" si="9"/>
        <v>0</v>
      </c>
      <c r="I106" s="13"/>
      <c r="J106" s="12"/>
      <c r="K106" s="12"/>
      <c r="L106" s="14"/>
    </row>
    <row r="107" spans="2:12" x14ac:dyDescent="0.45">
      <c r="B107" s="4"/>
      <c r="C107" s="4" t="s">
        <v>143</v>
      </c>
      <c r="D107" s="11"/>
      <c r="E107" s="12"/>
      <c r="F107" s="12"/>
      <c r="G107" s="12"/>
      <c r="H107" s="7">
        <f t="shared" si="9"/>
        <v>0</v>
      </c>
      <c r="I107" s="13"/>
      <c r="J107" s="12"/>
      <c r="K107" s="12"/>
      <c r="L107" s="14"/>
    </row>
    <row r="108" spans="2:12" x14ac:dyDescent="0.45">
      <c r="B108" s="15"/>
      <c r="C108" s="15"/>
      <c r="D108" s="3" t="s">
        <v>30</v>
      </c>
      <c r="E108" s="18">
        <f>SUM(E100:E107)</f>
        <v>23600</v>
      </c>
      <c r="F108" s="18">
        <f>SUM(F100:F107)</f>
        <v>0</v>
      </c>
      <c r="G108" s="18">
        <f>SUM(G100:G107)</f>
        <v>0</v>
      </c>
      <c r="H108" s="18">
        <f>SUM(H100:H107)</f>
        <v>23600</v>
      </c>
      <c r="I108" s="16">
        <f>(I100*H100)+(I101*H101)+(I102*H102)+(I103*H103)+(I104*H104)+(I105*H105)+(I106*H106)+(I107*H107)</f>
        <v>23600</v>
      </c>
      <c r="J108" s="16">
        <v>820</v>
      </c>
      <c r="K108" s="17"/>
      <c r="L108" s="14"/>
    </row>
    <row r="109" spans="2:12" x14ac:dyDescent="0.45">
      <c r="B109" s="3"/>
      <c r="C109" s="3" t="s">
        <v>144</v>
      </c>
      <c r="D109" s="151" t="s">
        <v>145</v>
      </c>
      <c r="E109" s="151"/>
      <c r="F109" s="151"/>
      <c r="G109" s="151"/>
      <c r="H109" s="151"/>
      <c r="I109" s="151"/>
      <c r="J109" s="152"/>
      <c r="K109" s="152"/>
      <c r="L109" s="151"/>
    </row>
    <row r="110" spans="2:12" ht="47.6" x14ac:dyDescent="0.45">
      <c r="B110" s="4" t="s">
        <v>185</v>
      </c>
      <c r="C110" s="4" t="s">
        <v>146</v>
      </c>
      <c r="D110" s="34" t="s">
        <v>147</v>
      </c>
      <c r="E110" s="22">
        <v>9600</v>
      </c>
      <c r="F110" s="22"/>
      <c r="G110" s="22"/>
      <c r="H110" s="23">
        <f>E110</f>
        <v>9600</v>
      </c>
      <c r="I110" s="24">
        <v>1</v>
      </c>
      <c r="J110" s="22">
        <v>2436</v>
      </c>
      <c r="K110" s="26" t="s">
        <v>232</v>
      </c>
      <c r="L110" s="10"/>
    </row>
    <row r="111" spans="2:12" ht="47.6" x14ac:dyDescent="0.45">
      <c r="B111" s="4" t="s">
        <v>186</v>
      </c>
      <c r="C111" s="4" t="s">
        <v>148</v>
      </c>
      <c r="D111" s="34" t="s">
        <v>149</v>
      </c>
      <c r="E111" s="22">
        <v>53000</v>
      </c>
      <c r="F111" s="22"/>
      <c r="G111" s="22"/>
      <c r="H111" s="23">
        <f t="shared" ref="H111:H117" si="10">E111</f>
        <v>53000</v>
      </c>
      <c r="I111" s="24">
        <v>1</v>
      </c>
      <c r="J111" s="22">
        <v>32400</v>
      </c>
      <c r="K111" s="26" t="s">
        <v>233</v>
      </c>
      <c r="L111" s="10"/>
    </row>
    <row r="112" spans="2:12" x14ac:dyDescent="0.45">
      <c r="B112" s="4"/>
      <c r="C112" s="4" t="s">
        <v>150</v>
      </c>
      <c r="D112" s="5"/>
      <c r="E112" s="6"/>
      <c r="F112" s="6"/>
      <c r="G112" s="6"/>
      <c r="H112" s="7">
        <f t="shared" si="10"/>
        <v>0</v>
      </c>
      <c r="I112" s="8"/>
      <c r="J112" s="6"/>
      <c r="K112" s="6"/>
      <c r="L112" s="10"/>
    </row>
    <row r="113" spans="2:12" x14ac:dyDescent="0.45">
      <c r="B113" s="4"/>
      <c r="C113" s="4" t="s">
        <v>151</v>
      </c>
      <c r="D113" s="5"/>
      <c r="E113" s="6"/>
      <c r="F113" s="6"/>
      <c r="G113" s="6"/>
      <c r="H113" s="7">
        <f t="shared" si="10"/>
        <v>0</v>
      </c>
      <c r="I113" s="8"/>
      <c r="J113" s="6"/>
      <c r="K113" s="6"/>
      <c r="L113" s="10"/>
    </row>
    <row r="114" spans="2:12" x14ac:dyDescent="0.45">
      <c r="B114" s="4"/>
      <c r="C114" s="4" t="s">
        <v>152</v>
      </c>
      <c r="D114" s="5"/>
      <c r="E114" s="6"/>
      <c r="F114" s="6"/>
      <c r="G114" s="6"/>
      <c r="H114" s="7">
        <f t="shared" si="10"/>
        <v>0</v>
      </c>
      <c r="I114" s="8"/>
      <c r="J114" s="6"/>
      <c r="K114" s="6"/>
      <c r="L114" s="10"/>
    </row>
    <row r="115" spans="2:12" x14ac:dyDescent="0.45">
      <c r="B115" s="4"/>
      <c r="C115" s="4" t="s">
        <v>153</v>
      </c>
      <c r="D115" s="5"/>
      <c r="E115" s="6"/>
      <c r="F115" s="6"/>
      <c r="G115" s="6"/>
      <c r="H115" s="7">
        <f t="shared" si="10"/>
        <v>0</v>
      </c>
      <c r="I115" s="8"/>
      <c r="J115" s="6"/>
      <c r="K115" s="6"/>
      <c r="L115" s="10"/>
    </row>
    <row r="116" spans="2:12" x14ac:dyDescent="0.45">
      <c r="B116" s="4"/>
      <c r="C116" s="4" t="s">
        <v>154</v>
      </c>
      <c r="D116" s="11"/>
      <c r="E116" s="12"/>
      <c r="F116" s="12"/>
      <c r="G116" s="12"/>
      <c r="H116" s="7">
        <f t="shared" si="10"/>
        <v>0</v>
      </c>
      <c r="I116" s="13"/>
      <c r="J116" s="12"/>
      <c r="K116" s="12"/>
      <c r="L116" s="14"/>
    </row>
    <row r="117" spans="2:12" x14ac:dyDescent="0.45">
      <c r="B117" s="4"/>
      <c r="C117" s="4" t="s">
        <v>155</v>
      </c>
      <c r="D117" s="11"/>
      <c r="E117" s="12"/>
      <c r="F117" s="12"/>
      <c r="G117" s="12"/>
      <c r="H117" s="7">
        <f t="shared" si="10"/>
        <v>0</v>
      </c>
      <c r="I117" s="13"/>
      <c r="J117" s="12"/>
      <c r="K117" s="12"/>
      <c r="L117" s="14"/>
    </row>
    <row r="118" spans="2:12" x14ac:dyDescent="0.45">
      <c r="B118" s="15"/>
      <c r="C118" s="15"/>
      <c r="D118" s="3" t="s">
        <v>30</v>
      </c>
      <c r="E118" s="16">
        <f>SUM(E110:E117)</f>
        <v>62600</v>
      </c>
      <c r="F118" s="16">
        <f>SUM(F110:F117)</f>
        <v>0</v>
      </c>
      <c r="G118" s="16">
        <f>SUM(G110:G117)</f>
        <v>0</v>
      </c>
      <c r="H118" s="16">
        <f>SUM(H110:H117)</f>
        <v>62600</v>
      </c>
      <c r="I118" s="16">
        <f>(I110*H110)+(I111*H111)+(I112*H112)+(I113*H113)+(I114*H114)+(I115*H115)+(I116*H116)+(I117*H117)</f>
        <v>62600</v>
      </c>
      <c r="J118" s="16">
        <v>34836</v>
      </c>
      <c r="K118" s="17"/>
      <c r="L118" s="14"/>
    </row>
    <row r="119" spans="2:12" x14ac:dyDescent="0.45">
      <c r="B119" s="29"/>
      <c r="C119" s="29"/>
      <c r="D119" s="19"/>
      <c r="E119" s="30"/>
      <c r="F119" s="30"/>
      <c r="G119" s="30"/>
      <c r="H119" s="30"/>
      <c r="I119" s="30"/>
      <c r="J119" s="30"/>
      <c r="K119" s="30"/>
      <c r="L119" s="19"/>
    </row>
    <row r="120" spans="2:12" x14ac:dyDescent="0.45">
      <c r="B120" s="29"/>
      <c r="C120" s="29"/>
      <c r="D120" s="19"/>
      <c r="E120" s="30"/>
      <c r="F120" s="30"/>
      <c r="G120" s="30"/>
      <c r="H120" s="30"/>
      <c r="I120" s="30"/>
      <c r="J120" s="30"/>
      <c r="K120" s="30"/>
      <c r="L120" s="19"/>
    </row>
    <row r="121" spans="2:12" ht="47.6" x14ac:dyDescent="0.45">
      <c r="B121" s="108" t="s">
        <v>193</v>
      </c>
      <c r="C121" s="3" t="s">
        <v>156</v>
      </c>
      <c r="D121" s="36" t="s">
        <v>157</v>
      </c>
      <c r="E121" s="37">
        <v>133852</v>
      </c>
      <c r="F121" s="37"/>
      <c r="G121" s="37"/>
      <c r="H121" s="38">
        <f>E121</f>
        <v>133852</v>
      </c>
      <c r="I121" s="39">
        <v>0.6</v>
      </c>
      <c r="J121" s="37">
        <v>124063.54284301343</v>
      </c>
      <c r="K121" s="37"/>
      <c r="L121" s="40"/>
    </row>
    <row r="122" spans="2:12" ht="47.6" x14ac:dyDescent="0.45">
      <c r="B122" s="108" t="s">
        <v>194</v>
      </c>
      <c r="C122" s="3" t="s">
        <v>158</v>
      </c>
      <c r="D122" s="36" t="s">
        <v>159</v>
      </c>
      <c r="E122" s="37">
        <v>82900</v>
      </c>
      <c r="F122" s="37"/>
      <c r="G122" s="37"/>
      <c r="H122" s="38">
        <f>E122</f>
        <v>82900</v>
      </c>
      <c r="I122" s="39"/>
      <c r="J122" s="37">
        <v>76622.33</v>
      </c>
      <c r="K122" s="37"/>
      <c r="L122" s="40"/>
    </row>
    <row r="123" spans="2:12" ht="47.6" x14ac:dyDescent="0.45">
      <c r="B123" s="101" t="s">
        <v>191</v>
      </c>
      <c r="C123" s="3" t="s">
        <v>160</v>
      </c>
      <c r="D123" s="41" t="s">
        <v>161</v>
      </c>
      <c r="E123" s="37">
        <v>36300</v>
      </c>
      <c r="F123" s="37"/>
      <c r="G123" s="37"/>
      <c r="H123" s="38">
        <f>E123</f>
        <v>36300</v>
      </c>
      <c r="I123" s="39">
        <v>1</v>
      </c>
      <c r="J123" s="37">
        <v>18291.5</v>
      </c>
      <c r="K123" s="128" t="s">
        <v>234</v>
      </c>
      <c r="L123" s="40"/>
    </row>
    <row r="124" spans="2:12" ht="47.6" x14ac:dyDescent="0.45">
      <c r="B124" s="42"/>
      <c r="C124" s="42" t="s">
        <v>162</v>
      </c>
      <c r="D124" s="36" t="s">
        <v>163</v>
      </c>
      <c r="E124" s="37">
        <v>0</v>
      </c>
      <c r="F124" s="37"/>
      <c r="G124" s="37"/>
      <c r="H124" s="38">
        <f>E124</f>
        <v>0</v>
      </c>
      <c r="I124" s="39">
        <v>1</v>
      </c>
      <c r="J124" s="37">
        <v>0</v>
      </c>
      <c r="K124" s="128" t="s">
        <v>258</v>
      </c>
      <c r="L124" s="40"/>
    </row>
    <row r="125" spans="2:12" ht="31.75" x14ac:dyDescent="0.45">
      <c r="B125" s="101" t="s">
        <v>192</v>
      </c>
      <c r="C125" s="3" t="s">
        <v>164</v>
      </c>
      <c r="D125" s="36" t="s">
        <v>165</v>
      </c>
      <c r="E125" s="37">
        <v>20000</v>
      </c>
      <c r="F125" s="37"/>
      <c r="G125" s="37"/>
      <c r="H125" s="38">
        <f>E125</f>
        <v>20000</v>
      </c>
      <c r="I125" s="39">
        <v>1</v>
      </c>
      <c r="J125" s="37">
        <v>0</v>
      </c>
      <c r="K125" s="37" t="s">
        <v>259</v>
      </c>
      <c r="L125" s="40"/>
    </row>
    <row r="126" spans="2:12" x14ac:dyDescent="0.45">
      <c r="B126" s="29"/>
      <c r="C126" s="29"/>
      <c r="D126" s="43" t="s">
        <v>166</v>
      </c>
      <c r="E126" s="44">
        <f>SUM(E121:E125)</f>
        <v>273052</v>
      </c>
      <c r="F126" s="44">
        <f>SUM(F121:F124)</f>
        <v>0</v>
      </c>
      <c r="G126" s="44">
        <f>SUM(G121:G124)</f>
        <v>0</v>
      </c>
      <c r="H126" s="44">
        <f>SUM(H121:H124)</f>
        <v>253052</v>
      </c>
      <c r="I126" s="16">
        <f>(I121*H121)+(I122*H122)+(I123*H123)+(I124*H124)+(I125*H125)</f>
        <v>136611.20000000001</v>
      </c>
      <c r="J126" s="16">
        <v>218977.37284301344</v>
      </c>
      <c r="K126" s="17"/>
      <c r="L126" s="36"/>
    </row>
    <row r="127" spans="2:12" x14ac:dyDescent="0.45">
      <c r="B127" s="29"/>
      <c r="C127" s="29"/>
      <c r="D127" s="19"/>
      <c r="E127" s="30"/>
      <c r="F127" s="30"/>
      <c r="G127" s="30"/>
      <c r="H127" s="30"/>
      <c r="I127" s="30"/>
      <c r="J127" s="30"/>
      <c r="K127" s="30"/>
      <c r="L127" s="19"/>
    </row>
    <row r="128" spans="2:12" x14ac:dyDescent="0.45">
      <c r="B128" s="29"/>
      <c r="C128" s="29"/>
      <c r="D128" s="19"/>
      <c r="E128" s="30"/>
      <c r="F128" s="30"/>
      <c r="G128" s="30"/>
      <c r="H128" s="30"/>
      <c r="I128" s="30"/>
      <c r="J128" s="30"/>
      <c r="K128" s="30"/>
      <c r="L128" s="19"/>
    </row>
    <row r="129" spans="2:12" x14ac:dyDescent="0.45">
      <c r="B129" s="29"/>
      <c r="C129" s="29"/>
      <c r="D129" s="19"/>
      <c r="E129" s="30"/>
      <c r="F129" s="30"/>
      <c r="G129" s="30"/>
      <c r="H129" s="30"/>
      <c r="I129" s="30"/>
      <c r="J129" s="30"/>
      <c r="K129" s="30"/>
      <c r="L129" s="19"/>
    </row>
    <row r="130" spans="2:12" x14ac:dyDescent="0.45">
      <c r="B130" s="29"/>
      <c r="C130" s="29"/>
      <c r="D130" s="19"/>
      <c r="E130" s="30"/>
      <c r="F130" s="30"/>
      <c r="G130" s="30"/>
      <c r="H130" s="30"/>
      <c r="I130" s="30"/>
      <c r="J130" s="30"/>
      <c r="K130" s="30"/>
      <c r="L130" s="19"/>
    </row>
    <row r="131" spans="2:12" x14ac:dyDescent="0.45">
      <c r="B131" s="29"/>
      <c r="C131" s="29"/>
      <c r="D131" s="19"/>
      <c r="E131" s="30"/>
      <c r="F131" s="30"/>
      <c r="G131" s="30"/>
      <c r="H131" s="30"/>
      <c r="I131" s="30"/>
      <c r="J131" s="30"/>
      <c r="K131" s="30"/>
      <c r="L131" s="19"/>
    </row>
    <row r="132" spans="2:12" x14ac:dyDescent="0.45">
      <c r="B132" s="29"/>
      <c r="C132" s="29"/>
      <c r="D132" s="19"/>
      <c r="E132" s="30"/>
      <c r="F132" s="30"/>
      <c r="G132" s="30"/>
      <c r="H132" s="30"/>
      <c r="I132" s="30"/>
      <c r="J132" s="30"/>
      <c r="K132" s="30"/>
      <c r="L132" s="19"/>
    </row>
    <row r="133" spans="2:12" ht="16.3" thickBot="1" x14ac:dyDescent="0.5">
      <c r="B133" s="29"/>
      <c r="C133" s="29"/>
      <c r="D133" s="19"/>
      <c r="E133" s="30"/>
      <c r="F133" s="30"/>
      <c r="G133" s="30"/>
      <c r="H133" s="30"/>
      <c r="I133" s="30"/>
      <c r="J133" s="30"/>
      <c r="K133" s="30"/>
      <c r="L133" s="19"/>
    </row>
    <row r="134" spans="2:12" x14ac:dyDescent="0.45">
      <c r="B134" s="29"/>
      <c r="C134" s="29"/>
      <c r="D134" s="155" t="s">
        <v>167</v>
      </c>
      <c r="E134" s="156"/>
      <c r="F134" s="45"/>
      <c r="G134" s="45"/>
      <c r="H134" s="46"/>
      <c r="I134" s="47"/>
      <c r="J134" s="48"/>
      <c r="K134" s="48"/>
      <c r="L134" s="47"/>
    </row>
    <row r="135" spans="2:12" x14ac:dyDescent="0.45">
      <c r="B135" s="29"/>
      <c r="C135" s="29"/>
      <c r="D135" s="173"/>
      <c r="E135" s="175" t="str">
        <f>E3</f>
        <v>Recipient Organization</v>
      </c>
      <c r="F135" s="49" t="s">
        <v>168</v>
      </c>
      <c r="G135" s="16" t="s">
        <v>169</v>
      </c>
      <c r="H135" s="157" t="s">
        <v>5</v>
      </c>
      <c r="I135" s="19"/>
      <c r="J135" s="30"/>
      <c r="K135" s="30"/>
      <c r="L135" s="47"/>
    </row>
    <row r="136" spans="2:12" x14ac:dyDescent="0.45">
      <c r="B136" s="29"/>
      <c r="C136" s="29"/>
      <c r="D136" s="174"/>
      <c r="E136" s="176"/>
      <c r="F136" s="50"/>
      <c r="G136" s="51"/>
      <c r="H136" s="158"/>
      <c r="I136" s="19"/>
      <c r="J136" s="30"/>
      <c r="K136" s="30"/>
      <c r="L136" s="47"/>
    </row>
    <row r="137" spans="2:12" x14ac:dyDescent="0.45">
      <c r="B137" s="52"/>
      <c r="C137" s="52"/>
      <c r="D137" s="53" t="s">
        <v>170</v>
      </c>
      <c r="E137" s="54">
        <f>SUM(E14,E24,E34,E44,E56,E66,E76,E86,E98,E108,E118,E121,E122,E123,E124,E125)</f>
        <v>1121495.325</v>
      </c>
      <c r="F137" s="54">
        <f>SUM(F14,F24,F34,F44,F56,F66,F76,F86,F98,F108,F118,F121,F122,F123,F124,F125)</f>
        <v>0</v>
      </c>
      <c r="G137" s="54">
        <f>SUM(G14,G24,G34,G44,G56,G66,G76,G86,G98,G108,G118,G121,G122,G123,G124,G125)</f>
        <v>0</v>
      </c>
      <c r="H137" s="54">
        <f>SUM(E137:G137)</f>
        <v>1121495.325</v>
      </c>
      <c r="I137" s="19"/>
      <c r="J137" s="30"/>
      <c r="K137" s="30"/>
      <c r="L137" s="52"/>
    </row>
    <row r="138" spans="2:12" x14ac:dyDescent="0.45">
      <c r="B138" s="55"/>
      <c r="C138" s="55"/>
      <c r="D138" s="53" t="s">
        <v>171</v>
      </c>
      <c r="E138" s="54">
        <f>E137*0.07</f>
        <v>78504.672749999998</v>
      </c>
      <c r="F138" s="56">
        <f>F137*0.07</f>
        <v>0</v>
      </c>
      <c r="G138" s="57">
        <f>G137*0.07</f>
        <v>0</v>
      </c>
      <c r="H138" s="54">
        <f>H137*0.07</f>
        <v>78504.672749999998</v>
      </c>
      <c r="I138" s="55"/>
      <c r="J138" s="58"/>
      <c r="K138" s="58"/>
      <c r="L138" s="59"/>
    </row>
    <row r="139" spans="2:12" ht="16.3" thickBot="1" x14ac:dyDescent="0.5">
      <c r="B139" s="55"/>
      <c r="C139" s="55"/>
      <c r="D139" s="60" t="s">
        <v>5</v>
      </c>
      <c r="E139" s="61">
        <f>SUM(E137:E138)</f>
        <v>1199999.9977499999</v>
      </c>
      <c r="F139" s="62">
        <f>SUM(F137:F138)</f>
        <v>0</v>
      </c>
      <c r="G139" s="63">
        <f>SUM(G137:G138)</f>
        <v>0</v>
      </c>
      <c r="H139" s="61">
        <f>SUM(H137:H138)</f>
        <v>1199999.9977499999</v>
      </c>
      <c r="I139" s="55"/>
      <c r="J139" s="58"/>
      <c r="K139" s="58"/>
      <c r="L139" s="59"/>
    </row>
    <row r="140" spans="2:12" x14ac:dyDescent="0.45">
      <c r="B140" s="55"/>
      <c r="C140" s="55"/>
      <c r="D140" s="15"/>
      <c r="E140" s="15"/>
      <c r="F140" s="15"/>
      <c r="G140" s="15"/>
      <c r="H140" s="15"/>
      <c r="I140" s="15"/>
      <c r="J140" s="64"/>
      <c r="K140" s="64"/>
      <c r="L140" s="65"/>
    </row>
    <row r="141" spans="2:12" ht="16.3" thickBot="1" x14ac:dyDescent="0.5">
      <c r="B141" s="19"/>
      <c r="C141" s="19"/>
      <c r="D141" s="29"/>
      <c r="E141" s="66"/>
      <c r="F141" s="66"/>
      <c r="G141" s="66"/>
      <c r="H141" s="66"/>
      <c r="I141" s="66"/>
      <c r="J141" s="67"/>
      <c r="K141" s="67"/>
      <c r="L141" s="47"/>
    </row>
    <row r="142" spans="2:12" x14ac:dyDescent="0.45">
      <c r="B142" s="59"/>
      <c r="C142" s="59"/>
      <c r="D142" s="159" t="s">
        <v>172</v>
      </c>
      <c r="E142" s="160"/>
      <c r="F142" s="161"/>
      <c r="G142" s="161"/>
      <c r="H142" s="161"/>
      <c r="I142" s="162"/>
      <c r="J142" s="68"/>
      <c r="K142" s="68"/>
      <c r="L142" s="59"/>
    </row>
    <row r="143" spans="2:12" x14ac:dyDescent="0.45">
      <c r="B143" s="59"/>
      <c r="C143" s="59"/>
      <c r="D143" s="69"/>
      <c r="E143" s="163" t="str">
        <f>E3</f>
        <v>Recipient Organization</v>
      </c>
      <c r="F143" s="70" t="s">
        <v>168</v>
      </c>
      <c r="G143" s="70" t="s">
        <v>169</v>
      </c>
      <c r="H143" s="165" t="s">
        <v>5</v>
      </c>
      <c r="I143" s="167" t="s">
        <v>173</v>
      </c>
      <c r="J143" s="68"/>
      <c r="K143" s="68"/>
      <c r="L143" s="59"/>
    </row>
    <row r="144" spans="2:12" x14ac:dyDescent="0.45">
      <c r="B144" s="59"/>
      <c r="C144" s="59"/>
      <c r="D144" s="69"/>
      <c r="E144" s="164"/>
      <c r="F144" s="70"/>
      <c r="G144" s="70"/>
      <c r="H144" s="166"/>
      <c r="I144" s="168"/>
      <c r="J144" s="68"/>
      <c r="K144" s="68"/>
      <c r="L144" s="59"/>
    </row>
    <row r="145" spans="2:12" x14ac:dyDescent="0.45">
      <c r="B145" s="59"/>
      <c r="C145" s="59"/>
      <c r="D145" s="71" t="s">
        <v>174</v>
      </c>
      <c r="E145" s="72">
        <f>E139*I145</f>
        <v>419999.99921249994</v>
      </c>
      <c r="F145" s="73">
        <f>SUM(F137:F138)*0.7</f>
        <v>0</v>
      </c>
      <c r="G145" s="73">
        <f>SUM(G137:G138)*0.7</f>
        <v>0</v>
      </c>
      <c r="H145" s="73"/>
      <c r="I145" s="74">
        <v>0.35</v>
      </c>
      <c r="J145" s="48"/>
      <c r="K145" s="48"/>
      <c r="L145" s="59"/>
    </row>
    <row r="146" spans="2:12" x14ac:dyDescent="0.45">
      <c r="B146" s="131"/>
      <c r="C146" s="131"/>
      <c r="D146" s="75" t="s">
        <v>175</v>
      </c>
      <c r="E146" s="76">
        <f>E139*I146</f>
        <v>419999.99921249994</v>
      </c>
      <c r="F146" s="77">
        <f>SUM(F137:F138)*0.3</f>
        <v>0</v>
      </c>
      <c r="G146" s="77">
        <f>SUM(G137:G138)*0.3</f>
        <v>0</v>
      </c>
      <c r="H146" s="77"/>
      <c r="I146" s="78">
        <v>0.35</v>
      </c>
      <c r="J146" s="48"/>
      <c r="K146" s="48"/>
      <c r="L146" s="15"/>
    </row>
    <row r="147" spans="2:12" x14ac:dyDescent="0.45">
      <c r="B147" s="131"/>
      <c r="C147" s="131"/>
      <c r="D147" s="75" t="s">
        <v>176</v>
      </c>
      <c r="E147" s="76">
        <f>E139*I147</f>
        <v>359999.99932499992</v>
      </c>
      <c r="F147" s="77"/>
      <c r="G147" s="77"/>
      <c r="H147" s="77"/>
      <c r="I147" s="78">
        <v>0.3</v>
      </c>
      <c r="J147" s="48"/>
      <c r="K147" s="48"/>
      <c r="L147" s="15"/>
    </row>
    <row r="148" spans="2:12" ht="16.3" thickBot="1" x14ac:dyDescent="0.5">
      <c r="B148" s="131"/>
      <c r="C148" s="131"/>
      <c r="D148" s="60" t="s">
        <v>177</v>
      </c>
      <c r="E148" s="63">
        <f>SUM(E145:E147)</f>
        <v>1199999.9977499999</v>
      </c>
      <c r="F148" s="63">
        <f>SUM(F145:F146)</f>
        <v>0</v>
      </c>
      <c r="G148" s="63">
        <f>SUM(G145:G146)</f>
        <v>0</v>
      </c>
      <c r="H148" s="79"/>
      <c r="I148" s="80"/>
      <c r="J148" s="81"/>
      <c r="K148" s="81"/>
      <c r="L148" s="15"/>
    </row>
    <row r="149" spans="2:12" ht="16.3" thickBot="1" x14ac:dyDescent="0.5">
      <c r="B149" s="131"/>
      <c r="C149" s="131"/>
      <c r="D149" s="82"/>
      <c r="E149" s="83"/>
      <c r="F149" s="83"/>
      <c r="G149" s="83"/>
      <c r="H149" s="83"/>
      <c r="I149" s="83"/>
      <c r="J149" s="84"/>
      <c r="K149" s="84"/>
      <c r="L149" s="15"/>
    </row>
    <row r="150" spans="2:12" x14ac:dyDescent="0.45">
      <c r="B150" s="131"/>
      <c r="C150" s="131"/>
      <c r="D150" s="85" t="s">
        <v>178</v>
      </c>
      <c r="E150" s="86">
        <f>SUM(I14,I24,I34,I44,I56,I66,I76,I86,I98,I108,I118,I126)*1.07</f>
        <v>1053537.5417499999</v>
      </c>
      <c r="F150" s="66"/>
      <c r="G150" s="66"/>
      <c r="H150" s="66"/>
      <c r="I150" s="87" t="s">
        <v>179</v>
      </c>
      <c r="J150" s="88">
        <v>915343.17284301342</v>
      </c>
      <c r="K150" s="89"/>
      <c r="L150" s="15"/>
    </row>
    <row r="151" spans="2:12" ht="16.3" thickBot="1" x14ac:dyDescent="0.5">
      <c r="B151" s="131"/>
      <c r="C151" s="131"/>
      <c r="D151" s="90" t="s">
        <v>180</v>
      </c>
      <c r="E151" s="91">
        <f>E150/E139</f>
        <v>0.8779479531044857</v>
      </c>
      <c r="F151" s="92"/>
      <c r="G151" s="92"/>
      <c r="H151" s="92"/>
      <c r="I151" s="93" t="s">
        <v>181</v>
      </c>
      <c r="J151" s="94">
        <v>0.81618099731535976</v>
      </c>
      <c r="K151" s="95"/>
      <c r="L151" s="15"/>
    </row>
    <row r="152" spans="2:12" x14ac:dyDescent="0.45">
      <c r="B152" s="131"/>
      <c r="C152" s="131"/>
      <c r="D152" s="169"/>
      <c r="E152" s="170"/>
      <c r="F152" s="96"/>
      <c r="G152" s="96"/>
      <c r="H152" s="96"/>
      <c r="I152" s="15"/>
      <c r="J152" s="64"/>
      <c r="K152" s="64"/>
      <c r="L152" s="15"/>
    </row>
    <row r="153" spans="2:12" x14ac:dyDescent="0.45">
      <c r="B153" s="131"/>
      <c r="C153" s="131"/>
      <c r="D153" s="90" t="s">
        <v>182</v>
      </c>
      <c r="E153" s="97">
        <f>SUM(E123:G125)*1.07</f>
        <v>60241</v>
      </c>
      <c r="F153" s="98"/>
      <c r="G153" s="98"/>
      <c r="H153" s="98"/>
      <c r="I153" s="15"/>
      <c r="J153" s="64"/>
      <c r="K153" s="64"/>
      <c r="L153" s="15"/>
    </row>
    <row r="154" spans="2:12" x14ac:dyDescent="0.45">
      <c r="B154" s="131"/>
      <c r="C154" s="131"/>
      <c r="D154" s="90" t="s">
        <v>183</v>
      </c>
      <c r="E154" s="91">
        <f>E153/E139</f>
        <v>5.0200833427459901E-2</v>
      </c>
      <c r="F154" s="98"/>
      <c r="G154" s="98"/>
      <c r="H154" s="98"/>
      <c r="I154" s="15"/>
      <c r="J154" s="64"/>
      <c r="K154" s="64"/>
      <c r="L154" s="15"/>
    </row>
    <row r="155" spans="2:12" ht="16.3" thickBot="1" x14ac:dyDescent="0.5">
      <c r="B155" s="131"/>
      <c r="C155" s="131"/>
      <c r="D155" s="171" t="s">
        <v>184</v>
      </c>
      <c r="E155" s="172"/>
      <c r="F155" s="99"/>
      <c r="G155" s="99"/>
      <c r="H155" s="99"/>
      <c r="I155" s="15"/>
      <c r="J155" s="100"/>
      <c r="K155" s="100"/>
      <c r="L155" s="15"/>
    </row>
    <row r="156" spans="2:12" x14ac:dyDescent="0.45">
      <c r="B156" s="131"/>
      <c r="C156" s="131"/>
      <c r="D156" s="15"/>
      <c r="E156" s="15"/>
      <c r="F156" s="15"/>
      <c r="G156" s="15"/>
      <c r="H156" s="15"/>
      <c r="I156" s="15"/>
      <c r="J156" s="64"/>
      <c r="K156" s="64"/>
      <c r="L156" s="15"/>
    </row>
    <row r="157" spans="2:12" x14ac:dyDescent="0.45">
      <c r="B157" s="131"/>
      <c r="C157" s="131"/>
      <c r="D157" s="15"/>
      <c r="E157" s="15"/>
      <c r="F157" s="15"/>
      <c r="G157" s="15"/>
      <c r="H157" s="15"/>
      <c r="I157" s="15"/>
      <c r="J157" s="64"/>
      <c r="K157" s="64"/>
      <c r="L157" s="15"/>
    </row>
    <row r="158" spans="2:12" x14ac:dyDescent="0.45">
      <c r="B158" s="131"/>
      <c r="C158" s="131"/>
      <c r="D158" s="15"/>
      <c r="E158" s="15"/>
      <c r="F158" s="15"/>
      <c r="G158" s="15"/>
      <c r="H158" s="15"/>
      <c r="I158" s="15"/>
      <c r="J158" s="64"/>
      <c r="K158" s="64"/>
      <c r="L158" s="15"/>
    </row>
    <row r="159" spans="2:12" x14ac:dyDescent="0.45">
      <c r="B159" s="131"/>
      <c r="C159" s="131"/>
      <c r="D159" s="15"/>
      <c r="E159" s="15"/>
      <c r="F159" s="15"/>
      <c r="G159" s="15"/>
      <c r="H159" s="15"/>
      <c r="I159" s="15"/>
      <c r="J159" s="64"/>
      <c r="K159" s="64"/>
      <c r="L159" s="15"/>
    </row>
    <row r="160" spans="2:12" x14ac:dyDescent="0.45">
      <c r="B160" s="131"/>
      <c r="C160" s="131"/>
      <c r="D160" s="15"/>
      <c r="E160" s="15"/>
      <c r="F160" s="15"/>
      <c r="G160" s="15"/>
      <c r="H160" s="15"/>
      <c r="I160" s="15"/>
      <c r="J160" s="64"/>
      <c r="K160" s="64"/>
      <c r="L160" s="15"/>
    </row>
  </sheetData>
  <autoFilter ref="B3:L44" xr:uid="{0BCD4BCE-5300-402A-8E48-9AD7F34C39CB}"/>
  <mergeCells count="26">
    <mergeCell ref="C146:C160"/>
    <mergeCell ref="D152:E152"/>
    <mergeCell ref="D155:E155"/>
    <mergeCell ref="D135:D136"/>
    <mergeCell ref="E135:E136"/>
    <mergeCell ref="H135:H136"/>
    <mergeCell ref="D142:I142"/>
    <mergeCell ref="E143:E144"/>
    <mergeCell ref="H143:H144"/>
    <mergeCell ref="I143:I144"/>
    <mergeCell ref="B146:B160"/>
    <mergeCell ref="D89:L89"/>
    <mergeCell ref="D4:L4"/>
    <mergeCell ref="D5:L5"/>
    <mergeCell ref="D15:L15"/>
    <mergeCell ref="D25:L25"/>
    <mergeCell ref="D35:L35"/>
    <mergeCell ref="D46:L46"/>
    <mergeCell ref="D47:L47"/>
    <mergeCell ref="D57:L57"/>
    <mergeCell ref="D67:L67"/>
    <mergeCell ref="D77:L77"/>
    <mergeCell ref="D88:L88"/>
    <mergeCell ref="D99:L99"/>
    <mergeCell ref="D109:L109"/>
    <mergeCell ref="D134:E134"/>
  </mergeCells>
  <conditionalFormatting sqref="E151">
    <cfRule type="cellIs" dxfId="1" priority="2" operator="lessThan">
      <formula>0.15</formula>
    </cfRule>
  </conditionalFormatting>
  <conditionalFormatting sqref="E154">
    <cfRule type="cellIs" dxfId="0" priority="1" operator="lessThan">
      <formula>0.05</formula>
    </cfRule>
  </conditionalFormatting>
  <dataValidations count="6">
    <dataValidation allowBlank="1" showInputMessage="1" showErrorMessage="1" prompt="% Towards Gender Equality and Women's Empowerment Must be Higher than 15%_x000a_" sqref="E151:H151" xr:uid="{1464318D-61ED-4062-A877-8ED6FEC9DA4F}"/>
    <dataValidation allowBlank="1" showInputMessage="1" showErrorMessage="1" prompt="M&amp;E Budget Cannot be Less than 5%_x000a_" sqref="E154:H154" xr:uid="{86A038D8-4636-4E71-B8A0-41CB46C801D2}"/>
    <dataValidation allowBlank="1" showInputMessage="1" showErrorMessage="1" prompt="Insert *text* description of Outcome here" sqref="D4:L4 D46:L46 D88:L88" xr:uid="{E06E6BC2-3809-4DD2-8075-1EEAF0F68D0D}"/>
    <dataValidation allowBlank="1" showInputMessage="1" showErrorMessage="1" prompt="Insert *text* description of Output here" sqref="D5 D15 D25 D35 D47 D57 D67 D77 D89 D99 D109" xr:uid="{3F98F761-CCD3-4BCF-96B3-61817E0B5F2B}"/>
    <dataValidation allowBlank="1" showInputMessage="1" showErrorMessage="1" prompt="Insert *text* description of Activity here" sqref="D6 D16 D26 D36 D48 D58 D68 D78 D90 D110" xr:uid="{DE107EEE-7EC6-4753-A22B-00EC774645C2}"/>
    <dataValidation allowBlank="1" showErrorMessage="1" prompt="% Towards Gender Equality and Women's Empowerment Must be Higher than 15%_x000a_" sqref="E153:H153" xr:uid="{6847F307-A644-4A85-B39D-F7C94F364A28}"/>
  </dataValidations>
  <pageMargins left="0.7" right="0.7" top="0.75" bottom="0.75" header="0.3" footer="0.3"/>
  <pageSetup paperSize="9" scale="2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5EDD-4C39-4AEB-BFC0-79A73D9D958A}">
  <dimension ref="B2:N19"/>
  <sheetViews>
    <sheetView topLeftCell="F1" zoomScale="50" zoomScaleNormal="50" workbookViewId="0">
      <selection activeCell="G8" sqref="G8"/>
    </sheetView>
  </sheetViews>
  <sheetFormatPr defaultRowHeight="15.9" x14ac:dyDescent="0.45"/>
  <cols>
    <col min="2" max="2" width="29.5" style="15" customWidth="1"/>
    <col min="3" max="3" width="52.92578125" customWidth="1"/>
    <col min="4" max="4" width="16.5703125" customWidth="1"/>
    <col min="5" max="5" width="20.42578125" bestFit="1" customWidth="1"/>
    <col min="6" max="6" width="17.42578125" bestFit="1" customWidth="1"/>
    <col min="7" max="7" width="19.0703125" customWidth="1"/>
    <col min="8" max="8" width="15.85546875" customWidth="1"/>
    <col min="9" max="9" width="42.35546875" customWidth="1"/>
    <col min="10" max="10" width="31" customWidth="1"/>
    <col min="11" max="11" width="31.140625" customWidth="1"/>
    <col min="12" max="12" width="29.640625" customWidth="1"/>
    <col min="13" max="13" width="34" customWidth="1"/>
    <col min="14" max="14" width="24.640625" customWidth="1"/>
  </cols>
  <sheetData>
    <row r="2" spans="2:14" ht="45.55" customHeight="1" x14ac:dyDescent="0.45">
      <c r="D2" s="122" t="s">
        <v>224</v>
      </c>
      <c r="E2" s="122" t="s">
        <v>218</v>
      </c>
      <c r="F2" s="122" t="s">
        <v>217</v>
      </c>
      <c r="G2" s="122" t="s">
        <v>207</v>
      </c>
      <c r="I2" s="177" t="s">
        <v>208</v>
      </c>
      <c r="J2" s="177"/>
      <c r="K2" s="177"/>
      <c r="L2" s="177"/>
      <c r="M2" s="177"/>
    </row>
    <row r="3" spans="2:14" ht="47.6" x14ac:dyDescent="0.45">
      <c r="B3" s="106" t="s">
        <v>187</v>
      </c>
      <c r="C3" s="103" t="s">
        <v>201</v>
      </c>
      <c r="D3" s="123">
        <v>106000</v>
      </c>
      <c r="E3" s="115">
        <f>'Report to September 2023'!H13+'Report to September 2023'!H54+'Report to September 2023'!H63+'Report to September 2023'!H92+71852</f>
        <v>108000</v>
      </c>
      <c r="F3" s="117">
        <f>(E3-D3)/D3</f>
        <v>1.8867924528301886E-2</v>
      </c>
      <c r="G3" s="116">
        <f>'Report to September 2023'!J13+'Report to September 2023'!J54+'Report to September 2023'!J63+'Report to September 2023'!J92+69786</f>
        <v>102125.45000000001</v>
      </c>
      <c r="H3" s="111"/>
      <c r="I3" s="125" t="s">
        <v>220</v>
      </c>
      <c r="J3" s="178" t="s">
        <v>221</v>
      </c>
      <c r="K3" s="178"/>
      <c r="L3" s="178"/>
      <c r="M3" s="178"/>
      <c r="N3" s="110"/>
    </row>
    <row r="4" spans="2:14" ht="79.3" x14ac:dyDescent="0.45">
      <c r="B4" s="106" t="s">
        <v>188</v>
      </c>
      <c r="C4" s="103" t="s">
        <v>202</v>
      </c>
      <c r="D4" s="124">
        <v>86300</v>
      </c>
      <c r="E4" s="113">
        <f>'Report to September 2023'!H48+'Report to September 2023'!H50+'Report to September 2023'!H78+'Report to September 2023'!H101+30000</f>
        <v>49700</v>
      </c>
      <c r="F4" s="118">
        <f t="shared" ref="F4:F9" si="0">(E4-D4)/D4</f>
        <v>-0.42410196987253768</v>
      </c>
      <c r="G4" s="104">
        <f>'Report to September 2023'!J48+'Report to September 2023'!J50+'Report to September 2023'!J78+'Report to September 2023'!J101+22885</f>
        <v>29023.9</v>
      </c>
      <c r="I4" s="119" t="s">
        <v>210</v>
      </c>
      <c r="J4" s="103" t="s">
        <v>222</v>
      </c>
      <c r="K4" s="103" t="s">
        <v>211</v>
      </c>
      <c r="L4" s="102"/>
      <c r="M4" s="102"/>
      <c r="N4" s="114"/>
    </row>
    <row r="5" spans="2:14" ht="79.3" x14ac:dyDescent="0.45">
      <c r="B5" s="106" t="s">
        <v>195</v>
      </c>
      <c r="C5" s="103" t="s">
        <v>203</v>
      </c>
      <c r="D5" s="124">
        <v>2300</v>
      </c>
      <c r="E5" s="113">
        <f>'Report to September 2023'!H52+'Report to September 2023'!H53+1136</f>
        <v>3431.3249999999998</v>
      </c>
      <c r="F5" s="118">
        <f t="shared" si="0"/>
        <v>0.49188043478260862</v>
      </c>
      <c r="G5" s="102">
        <f>'Report to September 2023'!J52+'Report to September 2023'!J53</f>
        <v>3945</v>
      </c>
      <c r="H5" s="111"/>
      <c r="I5" s="105" t="s">
        <v>156</v>
      </c>
      <c r="J5" s="120" t="s">
        <v>214</v>
      </c>
      <c r="K5" s="120" t="s">
        <v>209</v>
      </c>
      <c r="L5" s="121"/>
      <c r="M5" s="102"/>
    </row>
    <row r="6" spans="2:14" ht="79.3" x14ac:dyDescent="0.45">
      <c r="B6" s="106" t="s">
        <v>192</v>
      </c>
      <c r="C6" s="103" t="s">
        <v>204</v>
      </c>
      <c r="D6" s="124">
        <v>38000</v>
      </c>
      <c r="E6" s="113">
        <f>'Report to September 2023'!H125</f>
        <v>20000</v>
      </c>
      <c r="F6" s="118">
        <f t="shared" si="0"/>
        <v>-0.47368421052631576</v>
      </c>
      <c r="G6" s="102">
        <f>'Report to September 2023'!J125</f>
        <v>0</v>
      </c>
      <c r="I6" s="105" t="s">
        <v>158</v>
      </c>
      <c r="J6" s="120" t="s">
        <v>212</v>
      </c>
      <c r="K6" s="120" t="s">
        <v>216</v>
      </c>
      <c r="L6" s="120" t="s">
        <v>213</v>
      </c>
      <c r="M6" s="120" t="s">
        <v>215</v>
      </c>
    </row>
    <row r="7" spans="2:14" ht="31.75" x14ac:dyDescent="0.45">
      <c r="B7" s="106" t="s">
        <v>196</v>
      </c>
      <c r="C7" s="103" t="s">
        <v>219</v>
      </c>
      <c r="D7" s="124">
        <v>13000</v>
      </c>
      <c r="E7" s="113">
        <v>9500</v>
      </c>
      <c r="F7" s="118">
        <f t="shared" si="0"/>
        <v>-0.26923076923076922</v>
      </c>
      <c r="G7" s="107">
        <v>3762</v>
      </c>
    </row>
    <row r="8" spans="2:14" ht="79.3" x14ac:dyDescent="0.45">
      <c r="B8" s="106" t="s">
        <v>186</v>
      </c>
      <c r="C8" s="103" t="s">
        <v>205</v>
      </c>
      <c r="D8" s="124">
        <v>687700</v>
      </c>
      <c r="E8" s="113">
        <f>'Report to September 2023'!H9+'Report to September 2023'!H10+'Report to September 2023'!H11+'Report to September 2023'!H12+'Report to September 2023'!H16+'Report to September 2023'!H49+'Report to September 2023'!H51+'Report to September 2023'!H58+'Report to September 2023'!H62+'Report to September 2023'!H68+'Report to September 2023'!H69+'Report to September 2023'!H79+'Report to September 2023'!H91+'Report to September 2023'!H100+'Report to September 2023'!H111+20000+48000+62000</f>
        <v>761800</v>
      </c>
      <c r="F8" s="117">
        <f t="shared" si="0"/>
        <v>0.10775047258979206</v>
      </c>
      <c r="G8" s="104">
        <f>'Report to September 2023'!J9+'Report to September 2023'!J10+'Report to September 2023'!J11+'Report to September 2023'!J12+'Report to September 2023'!J16+'Report to September 2023'!J49+'Report to September 2023'!J51+'Report to September 2023'!J58+'Report to September 2023'!J62+'Report to September 2023'!J68+'Report to September 2023'!J69+'Report to September 2023'!J79+'Report to September 2023'!J91+'Report to September 2023'!J100+'Report to September 2023'!J111+19992+54277+48164</f>
        <v>662851.44999999995</v>
      </c>
    </row>
    <row r="9" spans="2:14" ht="63.45" x14ac:dyDescent="0.45">
      <c r="B9" s="106" t="s">
        <v>185</v>
      </c>
      <c r="C9" s="103" t="s">
        <v>206</v>
      </c>
      <c r="D9" s="124">
        <v>188200</v>
      </c>
      <c r="E9" s="113">
        <f>'Report to September 2023'!H6+'Report to September 2023'!H7+'Report to September 2023'!H8+'Report to September 2023'!H59+'Report to September 2023'!H60+'Report to September 2023'!H61+'Report to September 2023'!H90+'Report to September 2023'!H110+'Report to September 2023'!H123+24264</f>
        <v>169064</v>
      </c>
      <c r="F9" s="117">
        <f t="shared" si="0"/>
        <v>-0.10167906482465462</v>
      </c>
      <c r="G9" s="104">
        <f>'Report to September 2023'!J6+'Report to September 2023'!J7+'Report to September 2023'!J8+'Report to September 2023'!J59+'Report to September 2023'!J60+'Report to September 2023'!J61+'Report to September 2023'!J90+'Report to September 2023'!J110+'Report to September 2023'!J123+24696</f>
        <v>113634.5</v>
      </c>
      <c r="H9" s="111"/>
    </row>
    <row r="10" spans="2:14" x14ac:dyDescent="0.45">
      <c r="B10" s="106" t="s">
        <v>197</v>
      </c>
      <c r="C10" s="103"/>
      <c r="D10" s="124">
        <v>78504.69620000002</v>
      </c>
      <c r="E10" s="104">
        <v>78504.69620000002</v>
      </c>
      <c r="F10" s="102"/>
      <c r="G10" s="104">
        <f>SUM('Cost categories '!G3:G9)*7%</f>
        <v>64073.961000000003</v>
      </c>
    </row>
    <row r="11" spans="2:14" x14ac:dyDescent="0.45">
      <c r="B11" s="106" t="s">
        <v>198</v>
      </c>
      <c r="C11" s="103"/>
      <c r="D11" s="103"/>
      <c r="E11" s="104">
        <v>1200000</v>
      </c>
      <c r="F11" s="102"/>
      <c r="G11" s="107">
        <v>1200000</v>
      </c>
    </row>
    <row r="12" spans="2:14" x14ac:dyDescent="0.45">
      <c r="B12" s="106" t="s">
        <v>199</v>
      </c>
      <c r="C12" s="103"/>
      <c r="D12" s="103"/>
      <c r="E12" s="104"/>
      <c r="F12" s="102"/>
      <c r="G12" s="102"/>
    </row>
    <row r="13" spans="2:14" x14ac:dyDescent="0.45">
      <c r="B13" s="106" t="s">
        <v>200</v>
      </c>
      <c r="C13" s="103"/>
      <c r="D13" s="103"/>
      <c r="E13" s="104"/>
      <c r="F13" s="102"/>
      <c r="G13" s="102"/>
    </row>
    <row r="18" spans="9:9" x14ac:dyDescent="0.45">
      <c r="I18" s="112"/>
    </row>
    <row r="19" spans="9:9" x14ac:dyDescent="0.45">
      <c r="I19" s="109"/>
    </row>
  </sheetData>
  <mergeCells count="2">
    <mergeCell ref="I2:M2"/>
    <mergeCell ref="J3:M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Imenteelea.grimes@undp.org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MPTF_00006_00913</ProjectId>
    <FundCode xmlns="f9695bc1-6109-4dcd-a27a-f8a0370b00e2">MPTF_00006</FundCode>
    <Comments xmlns="f9695bc1-6109-4dcd-a27a-f8a0370b00e2">Annual Financial Report 2023</Comments>
    <Active xmlns="f9695bc1-6109-4dcd-a27a-f8a0370b00e2">Yes</Active>
    <DocumentDate xmlns="b1528a4b-5ccb-40f7-a09e-43427183cd95">2023-11-23T08:00:00+00:00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7D1A5EB-B3B0-423C-A68F-0779CDBBB1C2}"/>
</file>

<file path=customXml/itemProps2.xml><?xml version="1.0" encoding="utf-8"?>
<ds:datastoreItem xmlns:ds="http://schemas.openxmlformats.org/officeDocument/2006/customXml" ds:itemID="{3F6ABC6A-F2E7-401B-A570-844D1C939759}"/>
</file>

<file path=customXml/itemProps3.xml><?xml version="1.0" encoding="utf-8"?>
<ds:datastoreItem xmlns:ds="http://schemas.openxmlformats.org/officeDocument/2006/customXml" ds:itemID="{DDFA4BF6-97C4-4F1A-95B7-E50693A96A7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 to September 2023</vt:lpstr>
      <vt:lpstr>Cost categories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UNPBF Financial Report to Sept 2023_15112023.xlsx</dc:title>
  <dc:creator>Ellie Shillito</dc:creator>
  <cp:lastModifiedBy>Lenovo</cp:lastModifiedBy>
  <cp:lastPrinted>2023-11-23T09:32:53Z</cp:lastPrinted>
  <dcterms:created xsi:type="dcterms:W3CDTF">2023-11-08T11:46:10Z</dcterms:created>
  <dcterms:modified xsi:type="dcterms:W3CDTF">2023-11-23T09:33:04Z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