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70" firstSheet="3" activeTab="3"/>
  </bookViews>
  <sheets>
    <sheet name="Niger FAO Format" sheetId="1" state="hidden" r:id="rId1"/>
    <sheet name="Mali FAO Format" sheetId="2" state="hidden" r:id="rId2"/>
    <sheet name="BKF FAO Format" sheetId="3" state="hidden" r:id="rId3"/>
    <sheet name="1) Tableau budgétaire 1" sheetId="4" r:id="rId4"/>
    <sheet name="2) Tableau budgétaire 2" sheetId="5" r:id="rId5"/>
    <sheet name="3) Notes d'explication" sheetId="6" r:id="rId6"/>
    <sheet name="4) Pour utilisation par PBSO" sheetId="7" r:id="rId7"/>
    <sheet name="5) Pour utilisation par MPTFO" sheetId="8" r:id="rId8"/>
    <sheet name="Dropdowns" sheetId="9" state="hidden" r:id="rId9"/>
    <sheet name="Sheet2" sheetId="10" state="hidden" r:id="rId10"/>
  </sheets>
  <definedNames>
    <definedName name="_xlfn.IFERROR" hidden="1">#NAME?</definedName>
    <definedName name="_xlfn.SINGLE" hidden="1">#NAME?</definedName>
  </definedNames>
  <calcPr fullCalcOnLoad="1"/>
</workbook>
</file>

<file path=xl/comments3.xml><?xml version="1.0" encoding="utf-8"?>
<comments xmlns="http://schemas.openxmlformats.org/spreadsheetml/2006/main">
  <authors>
    <author>Celine Polini (PSE)</author>
  </authors>
  <commentList>
    <comment ref="H80" authorId="0">
      <text>
        <r>
          <rPr>
            <b/>
            <sz val="9"/>
            <rFont val="Tahoma"/>
            <family val="2"/>
          </rPr>
          <t>Celine Polini (PSE):</t>
        </r>
        <r>
          <rPr>
            <sz val="9"/>
            <rFont val="Tahoma"/>
            <family val="2"/>
          </rPr>
          <t xml:space="preserve">
le total reste le meme mais a été 'reparti entre les 3 catégories pour correspondre aux standards FAO </t>
        </r>
      </text>
    </comment>
    <comment ref="H73" authorId="0">
      <text>
        <r>
          <rPr>
            <b/>
            <sz val="9"/>
            <rFont val="Tahoma"/>
            <family val="2"/>
          </rPr>
          <t>Celine Polini (PSE):</t>
        </r>
        <r>
          <rPr>
            <sz val="9"/>
            <rFont val="Tahoma"/>
            <family val="2"/>
          </rPr>
          <t xml:space="preserve">
comme discuté 40 000 de la voiture reportées sur le coordo international. 5 000 gardés sur non exp</t>
        </r>
      </text>
    </comment>
    <comment ref="H19" authorId="0">
      <text>
        <r>
          <rPr>
            <b/>
            <sz val="9"/>
            <rFont val="Tahoma"/>
            <family val="2"/>
          </rPr>
          <t>Celine Polini (PSE):</t>
        </r>
        <r>
          <rPr>
            <sz val="9"/>
            <rFont val="Tahoma"/>
            <family val="2"/>
          </rPr>
          <t xml:space="preserve">
+40 000</t>
        </r>
      </text>
    </comment>
  </commentList>
</comments>
</file>

<file path=xl/sharedStrings.xml><?xml version="1.0" encoding="utf-8"?>
<sst xmlns="http://schemas.openxmlformats.org/spreadsheetml/2006/main" count="1397" uniqueCount="952">
  <si>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</si>
  <si>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</si>
  <si>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</si>
  <si>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</si>
  <si>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</si>
  <si>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</si>
  <si>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</si>
  <si>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</si>
  <si>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</si>
  <si>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</si>
  <si>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</si>
  <si>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</si>
  <si>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</si>
  <si>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</si>
  <si>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</si>
  <si>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</si>
  <si>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</si>
  <si>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</si>
  <si>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</si>
  <si>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</si>
  <si>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</si>
  <si>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</si>
  <si>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</si>
  <si>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</si>
  <si>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</si>
  <si>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</si>
  <si>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</si>
  <si>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</si>
  <si>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</si>
  <si>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</si>
  <si>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</si>
  <si>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</si>
  <si>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</si>
  <si>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</si>
  <si>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</si>
  <si>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</si>
  <si>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</si>
  <si>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</si>
  <si>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</si>
  <si>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</si>
  <si>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</si>
  <si>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</si>
  <si>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</si>
  <si>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</si>
  <si>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</si>
  <si>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</si>
  <si>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</si>
  <si>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</si>
  <si>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</si>
  <si>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</si>
  <si>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</si>
  <si>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</si>
  <si>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</si>
  <si>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</si>
  <si>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</si>
  <si>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</si>
  <si>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</si>
  <si>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</si>
  <si>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</si>
  <si>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</si>
  <si>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</si>
  <si>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</si>
  <si>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</si>
  <si>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</si>
  <si>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</si>
  <si>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</si>
  <si>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</si>
  <si>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</si>
  <si>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</si>
  <si>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</si>
  <si>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</si>
  <si>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</si>
  <si>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</si>
  <si>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</si>
  <si>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</si>
  <si>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</si>
  <si>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</si>
  <si>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</si>
  <si>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</si>
  <si>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</si>
  <si>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</si>
  <si>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</si>
  <si>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</si>
  <si>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</si>
  <si>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</si>
  <si>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</si>
  <si>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</si>
  <si>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</si>
  <si>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</si>
  <si>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</si>
  <si>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</si>
  <si>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</si>
  <si>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</si>
  <si>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</si>
  <si>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</si>
  <si>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</si>
  <si>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</si>
  <si>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</si>
  <si>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</si>
  <si>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</si>
  <si>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</si>
  <si>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</si>
  <si>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</si>
  <si>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</si>
  <si>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</si>
  <si>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</si>
  <si>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</si>
  <si>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</si>
  <si>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</si>
  <si>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</si>
  <si>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</si>
  <si>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</si>
  <si>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</si>
  <si>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</si>
  <si>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</si>
  <si>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</si>
  <si>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</si>
  <si>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</si>
  <si>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</si>
  <si>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</si>
  <si>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</si>
  <si>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</si>
  <si>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</si>
  <si>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</si>
  <si>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</si>
  <si>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</si>
  <si>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</si>
  <si>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</si>
  <si>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</si>
  <si>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</si>
  <si>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</si>
  <si>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</si>
  <si>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</si>
  <si>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</si>
  <si>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</si>
  <si>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</si>
  <si>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</si>
  <si>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</si>
  <si>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</si>
  <si>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</si>
  <si>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</si>
  <si>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</si>
  <si>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</si>
  <si>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</si>
  <si>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</si>
  <si>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</si>
  <si>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</si>
  <si>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</si>
  <si>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</si>
  <si>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</si>
  <si>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</si>
  <si>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</si>
  <si>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</si>
  <si>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</si>
  <si>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</si>
  <si>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</si>
  <si>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</si>
  <si>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</si>
  <si>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</si>
  <si>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</si>
  <si>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</si>
  <si>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</si>
  <si>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</si>
  <si>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</si>
  <si>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</si>
  <si>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</si>
  <si>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</si>
  <si>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</si>
  <si>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</si>
  <si>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</si>
  <si>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</si>
  <si>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</si>
  <si>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</si>
  <si>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</si>
  <si>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</si>
  <si>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</si>
  <si>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</si>
  <si>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</si>
  <si>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</si>
  <si>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</si>
  <si>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</si>
  <si>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</si>
  <si>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</si>
  <si>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</si>
  <si>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</si>
  <si>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</si>
  <si>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</si>
  <si>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</si>
  <si>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</si>
  <si>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</si>
  <si>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</si>
  <si>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</si>
  <si>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</si>
  <si>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</si>
  <si>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</si>
  <si>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</si>
  <si>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</si>
  <si>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</si>
  <si>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</si>
  <si>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</si>
  <si>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</si>
  <si>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</si>
  <si>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</si>
  <si>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</si>
  <si>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</si>
  <si>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</si>
  <si>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</si>
  <si>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</si>
  <si>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</si>
  <si>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</si>
  <si>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</si>
  <si>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</si>
  <si>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</si>
  <si>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</si>
  <si>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</si>
  <si>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</si>
  <si>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</si>
  <si>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</si>
  <si>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</si>
  <si>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</si>
  <si>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</si>
  <si>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</si>
  <si>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</si>
  <si>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</si>
  <si>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</si>
  <si>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</si>
  <si>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</si>
  <si>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</si>
  <si>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</si>
  <si>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</si>
  <si>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</si>
  <si>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</si>
  <si>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</si>
  <si>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</si>
  <si>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</si>
  <si>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</si>
  <si>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</si>
  <si>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</si>
  <si>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</si>
  <si>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</si>
  <si>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</si>
  <si>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</si>
  <si>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</si>
  <si>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</si>
  <si>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</si>
  <si>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</si>
  <si>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</si>
  <si>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</si>
  <si>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</si>
  <si>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</si>
  <si>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</si>
  <si>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</si>
  <si>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</si>
  <si>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</si>
  <si>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</si>
  <si>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</si>
  <si>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</si>
  <si>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</si>
  <si>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</si>
  <si>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</si>
  <si>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</si>
  <si>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</si>
  <si>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</si>
  <si>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</si>
  <si>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</si>
  <si>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</si>
  <si>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</si>
  <si>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</si>
  <si>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</si>
  <si>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</si>
  <si>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</si>
  <si>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</si>
  <si>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</si>
  <si>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</si>
  <si>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</si>
  <si>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</si>
  <si>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</si>
  <si>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</si>
  <si>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</si>
  <si>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</si>
  <si>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</si>
  <si>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</si>
  <si>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</si>
  <si>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</si>
  <si>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</si>
  <si>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</si>
  <si>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</si>
  <si>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</si>
  <si>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</si>
  <si>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</si>
  <si>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</si>
  <si>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</si>
  <si>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</si>
  <si>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</si>
  <si>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</si>
  <si>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</si>
  <si>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</si>
  <si>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</si>
  <si>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</si>
  <si>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</si>
  <si>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</si>
  <si>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</si>
  <si>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</si>
  <si>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</si>
  <si>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</si>
  <si>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</si>
  <si>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</si>
  <si>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</si>
  <si>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</si>
  <si>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</si>
  <si>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</si>
  <si>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</si>
  <si>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</si>
  <si>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</si>
  <si>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</si>
  <si>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</si>
  <si>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</si>
  <si>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</si>
  <si>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</si>
  <si>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</si>
  <si>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</si>
  <si>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</si>
  <si>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</si>
  <si>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</si>
  <si>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</si>
  <si>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</si>
  <si>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</si>
  <si>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</si>
  <si>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</si>
  <si>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</si>
  <si>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</si>
  <si>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</si>
  <si>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</si>
  <si>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</si>
  <si>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</si>
  <si>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</si>
  <si>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</si>
  <si>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</si>
  <si>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</si>
  <si>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</si>
  <si>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</si>
  <si>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</si>
  <si>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</si>
  <si>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</si>
  <si>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</si>
  <si>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</si>
  <si>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</si>
  <si>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</si>
  <si>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</si>
  <si>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</si>
  <si>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</si>
  <si>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</si>
  <si>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</si>
  <si>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</si>
  <si>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</si>
  <si>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</si>
  <si>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</si>
  <si>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</si>
  <si>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</si>
  <si>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</si>
  <si>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</si>
  <si>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</si>
  <si>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</si>
  <si>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</si>
  <si>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</si>
  <si>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</si>
  <si>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</si>
  <si>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</si>
  <si>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</si>
  <si>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</si>
  <si>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</si>
  <si>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</si>
  <si>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</si>
  <si>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</si>
  <si>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</si>
  <si>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</si>
  <si>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</si>
  <si>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</si>
  <si>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</si>
  <si>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</si>
  <si>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</si>
  <si>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</si>
  <si>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</si>
  <si>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</si>
  <si>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</si>
  <si>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</si>
  <si>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</si>
  <si>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</si>
  <si>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</si>
  <si>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</si>
  <si>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</si>
  <si>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</si>
  <si>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</si>
  <si>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</si>
  <si>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</si>
  <si>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</si>
  <si>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</si>
  <si>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</si>
  <si>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</si>
  <si>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</si>
  <si>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</si>
  <si>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</si>
  <si>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</si>
  <si>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</si>
  <si>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</si>
  <si>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</si>
  <si>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</si>
  <si>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</si>
  <si>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</si>
  <si>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</si>
  <si>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</si>
  <si>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</si>
  <si>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</si>
  <si>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</si>
  <si>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</si>
  <si>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</si>
  <si>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</si>
  <si>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</si>
  <si>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</si>
  <si>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</si>
  <si>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</si>
  <si>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</si>
  <si>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</si>
  <si>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</si>
  <si>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</si>
  <si>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</si>
  <si>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</si>
  <si>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</si>
  <si>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</si>
  <si>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</si>
  <si>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</si>
  <si>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</si>
  <si>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</si>
  <si>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</si>
  <si>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</si>
  <si>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</si>
  <si>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</si>
  <si>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</si>
  <si>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</si>
  <si>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</si>
  <si>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</si>
  <si>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</si>
  <si>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</si>
  <si>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</si>
  <si>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</si>
  <si>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</si>
  <si>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</si>
  <si>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</si>
  <si>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</si>
  <si>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</si>
  <si>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</si>
  <si>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</si>
  <si>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</si>
  <si>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</si>
  <si>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</si>
  <si>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</si>
  <si>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</si>
  <si>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</si>
  <si>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</si>
  <si>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</si>
  <si>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</si>
  <si>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</si>
  <si>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</si>
  <si>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</si>
  <si>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</si>
  <si>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</si>
  <si>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</si>
  <si>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</si>
  <si>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</si>
  <si>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</si>
  <si>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</si>
  <si>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</si>
  <si>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</si>
  <si>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</si>
  <si>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</si>
  <si>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</si>
  <si>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</si>
  <si>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</si>
  <si>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</si>
  <si>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</si>
  <si>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</si>
  <si>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</si>
  <si>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</si>
  <si>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</si>
  <si>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</si>
  <si>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</si>
  <si>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</si>
  <si>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</si>
  <si>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</si>
  <si>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</si>
  <si>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</si>
  <si>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</si>
  <si>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</si>
  <si>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</si>
  <si>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</si>
  <si>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</si>
  <si>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</si>
  <si>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</si>
  <si>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</si>
  <si>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</si>
  <si>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</si>
  <si>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</si>
  <si>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</si>
  <si>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</si>
  <si>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</si>
  <si>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</si>
  <si>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</si>
  <si>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</si>
  <si>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</si>
  <si>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</si>
  <si>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</si>
  <si>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</si>
  <si>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</si>
  <si>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</si>
  <si>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</si>
  <si>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</si>
  <si>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</si>
  <si>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</si>
  <si>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</si>
  <si>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</si>
  <si>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</si>
  <si>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</si>
  <si>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</si>
  <si>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</si>
  <si>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</si>
  <si>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</si>
  <si>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</si>
  <si>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</si>
  <si>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</si>
  <si>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</si>
  <si>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</si>
  <si>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</si>
  <si>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</si>
  <si>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</si>
  <si>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</si>
  <si>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</si>
  <si>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</si>
  <si>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</si>
  <si>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</si>
  <si>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</si>
  <si>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</si>
  <si>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</si>
  <si>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</si>
  <si>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</si>
  <si>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</si>
  <si>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</si>
  <si>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</si>
  <si>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</si>
  <si>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</si>
  <si>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</si>
  <si>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</si>
  <si>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</si>
  <si>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</si>
  <si>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</si>
  <si>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</si>
  <si>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</si>
  <si>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</si>
  <si>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</si>
  <si>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</si>
  <si>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</si>
  <si>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</si>
  <si>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</si>
  <si>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</si>
  <si>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</si>
  <si>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</si>
  <si>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</si>
  <si>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</si>
  <si>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</si>
  <si>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</si>
  <si>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</si>
  <si>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</si>
  <si>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</si>
  <si>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rPr>
      <t xml:space="preserve"> comprend les déplacements du personnel et des autres agents payés par l’organisation directement liée au projet.</t>
    </r>
  </si>
  <si>
    <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</si>
  <si>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indexed="8"/>
        <rFont val="Calibri"/>
        <family val="2"/>
      </rPr>
      <t>Premièrement, préparez un budget organisé par</t>
    </r>
    <r>
      <rPr>
        <b/>
        <sz val="16"/>
        <color indexed="8"/>
        <rFont val="Calibri"/>
        <family val="2"/>
      </rPr>
      <t xml:space="preserve"> activité / produit / résultat dans la feuille 1</t>
    </r>
    <r>
      <rPr>
        <sz val="16"/>
        <color indexed="8"/>
        <rFont val="Calibri"/>
        <family val="2"/>
      </rPr>
      <t>. (Les montants des activités peuvent être estimations indicatives.)</t>
    </r>
    <r>
      <rPr>
        <b/>
        <sz val="16"/>
        <color indexed="8"/>
        <rFont val="Calibri"/>
        <family val="2"/>
      </rPr>
      <t xml:space="preserve">
b) </t>
    </r>
    <r>
      <rPr>
        <sz val="16"/>
        <color indexed="8"/>
        <rFont val="Calibri"/>
        <family val="2"/>
      </rPr>
      <t xml:space="preserve">Ensuite, divisez chaque budget en fonction </t>
    </r>
    <r>
      <rPr>
        <b/>
        <sz val="16"/>
        <color indexed="8"/>
        <rFont val="Calibri"/>
        <family val="2"/>
      </rPr>
      <t xml:space="preserve">des catégories de budget des Nations Unies dans la feuille 2.
3. </t>
    </r>
    <r>
      <rPr>
        <sz val="16"/>
        <color indexed="8"/>
        <rFont val="Calibri"/>
        <family val="2"/>
      </rPr>
      <t xml:space="preserve">Assurez-vous d’inclure </t>
    </r>
    <r>
      <rPr>
        <b/>
        <sz val="16"/>
        <color indexed="8"/>
        <rFont val="Calibri"/>
        <family val="2"/>
      </rPr>
      <t>% en faveur de l’égalité des sexes et de l’autonomisation des femmes (GEWE).
4. N'utilisez pas les feuilles 4 ou 5</t>
    </r>
    <r>
      <rPr>
        <sz val="16"/>
        <color indexed="8"/>
        <rFont val="Calibri"/>
        <family val="2"/>
      </rPr>
      <t>, qui sont destinées au MPTF et au PBSO.</t>
    </r>
    <r>
      <rPr>
        <b/>
        <sz val="16"/>
        <color indexed="8"/>
        <rFont val="Calibri"/>
        <family val="2"/>
      </rPr>
      <t xml:space="preserve">
5. Laissez  en blanc </t>
    </r>
    <r>
      <rPr>
        <sz val="16"/>
        <color indexed="8"/>
        <rFont val="Calibri"/>
        <family val="2"/>
      </rPr>
      <t>toutes les organisations / résultats / réalisations / activités qui ne sont pas nécessaires. NE PAS supprimer les cellules.</t>
    </r>
    <r>
      <rPr>
        <b/>
        <sz val="16"/>
        <color indexed="8"/>
        <rFont val="Calibri"/>
        <family val="2"/>
      </rPr>
      <t xml:space="preserve">
6. Ne pas ajuster les montants des tranches </t>
    </r>
    <r>
      <rPr>
        <sz val="16"/>
        <color indexed="8"/>
        <rFont val="Calibri"/>
        <family val="2"/>
      </rPr>
      <t>sans consulter PBSO.</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</si>
  <si>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rPr>
      <t xml:space="preserve"> </t>
    </r>
    <r>
      <rPr>
        <sz val="11"/>
        <color indexed="10"/>
        <rFont val="Calibri"/>
        <family val="2"/>
      </rPr>
      <t>rouge</t>
    </r>
    <r>
      <rPr>
        <sz val="11"/>
        <color theme="1"/>
        <rFont val="Calibri"/>
        <family val="2"/>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</si>
  <si>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</si>
  <si>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</si>
  <si>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r>
      <t xml:space="preserve">1. Frais d’équipe et dépenses du personnel : </t>
    </r>
    <r>
      <rPr>
        <sz val="11"/>
        <color theme="1"/>
        <rFont val="Calibri"/>
        <family val="2"/>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</si>
  <si>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</si>
  <si>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</si>
  <si>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Des informations permettant une gestion apaisée de la transhumance sont collectées, analysées et diffusées auprès des différents utilisateurs</t>
  </si>
  <si>
    <t>Les capacités de collecte, de traitement des données et de diffusion des informations relatives aux crises pastorales, par les différents acteurs en charge de gestion de la transhumance sont améliorées</t>
  </si>
  <si>
    <t>Les systèmes existants tels que le Système d’information sur le pastoralisme au Sahel (SIPSA), les systèmes nationaux d’information sur le pastoralisme sont renforcés et intègrent le TTT (Transhumance Tracking Tool) pour une analyse conjointe de données</t>
  </si>
  <si>
    <t>Les capacités institutionnelles des structures nationales et locales chargées de la gestion des conflits communautaires liés à la transhumance sont renforcées</t>
  </si>
  <si>
    <t>La transhumance transfrontalière est facilitée</t>
  </si>
  <si>
    <t>Des infrastructures communautaires en lien avec la transhumance sont réalisées et/ou réhabilitées  et sécurisées</t>
  </si>
  <si>
    <t>Sécuriser  les aires de pâturage villageoises et les couloirs principaux et secondaires utilisés par les transhumants</t>
  </si>
  <si>
    <t>L’alimentation du bétail est assurée</t>
  </si>
  <si>
    <t>Fournir des semences fourragères aux éleveurs (sédentaires le long des couloirs de transhumance)</t>
  </si>
  <si>
    <t>Approvisionner les magasins en stocks initiaux d'aliments  à bétail (15 tonnes x 3 magasins)</t>
  </si>
  <si>
    <t>La protection sanitaire des animaux de la zone d’intervention du projet est renforcée</t>
  </si>
  <si>
    <t>Fournir du matériel de chaine de froid (glacières)</t>
  </si>
  <si>
    <t>Fournir des vaccins contre la PPCB (Péripneumonie Contagieuse Bovine) et la PPR (Peste des Petits Ruminants)</t>
  </si>
  <si>
    <t>Fournir du matériel de vaccination (seringues, aiguilles, verres de rechange)</t>
  </si>
  <si>
    <t>Accompagner l'organisation des campagnes de vaccination</t>
  </si>
  <si>
    <t>Les acteurs y compris les agriculteurs et les éleveurs sont formés et/ou  sensibilisés sur les textes qui encadrent la transhumance, la gestion des ressources naturelles et la gestion des conflits</t>
  </si>
  <si>
    <t>Former les agriculteurs et les éleveurs sur les textes qui encadrent la transhumance</t>
  </si>
  <si>
    <t>Former les agriculteurs et les éleveurs sur les textes qui encadrent la gestion des ressources naturelles (GRN)</t>
  </si>
  <si>
    <t>Former les agriculteurs et les éleveurs sur les textes qui encadrent la gestion des conflits agriculteurs-éleveurs</t>
  </si>
  <si>
    <t>Réhabiliter 180 km de pistes à bétail</t>
  </si>
  <si>
    <t>Réaliser 15 parcs de vaccination</t>
  </si>
  <si>
    <t>Réaliser/ réhabiliter 23 forages pastoraux</t>
  </si>
  <si>
    <t>Réaliser une étude de référence sur les mécanismes endogènes et modernes de prévention et de résolution des conflits liés à la transhumance (cartographie des mécanismes paritaires éleveurs-agriculteurs et autres mécanismes existants, des cadres de concertation, des infrastructures pastorales, sécurisées ou non, avec ou sans COGES, identification des bonnes pratiques, notamment le respect des textes relatifs transhumance, à la gestion des ressources naturelles)</t>
  </si>
  <si>
    <t>Mettre en place un cadre de coopération transfrontalière entre les structures de suivi de la transhumance et de l’utilisation des ressources naturelles des trois pays</t>
  </si>
  <si>
    <t>Elaborer un guide de suivi de la transhumance national et transfrontalière et de l’utilisation des ressources naturelles</t>
  </si>
  <si>
    <t>Accompagner la tenue des sessions des différents cadres de concertation et de suivi de la transhumance, y compris le cadre transfrontalier transhumance</t>
  </si>
  <si>
    <t>Former les membres des cadres de concertation sur le suivi national et transfrontalier de la transhumance</t>
  </si>
  <si>
    <t>Mettre en place des réseaux transfrontaliers des jeunes et femmes leaders des communautés cibles pour promouvoir une transhumance pacifique</t>
  </si>
  <si>
    <t>Les mécanismes de prévention et de gestion des conflits liés à la transhumance et à l’utilisation des ressources naturelles sont renforcés.</t>
  </si>
  <si>
    <t>Les cadres de concertation des acteurs en charge de la gestion de la transhumance et de l’utilisation des ressources naturelles, sont renforcés et fonctionnels.</t>
  </si>
  <si>
    <t>Organiser des rencontres d’échanges et de partage de bonnes pratiques sur la gestion des conflits communautaires liés à la transhumance</t>
  </si>
  <si>
    <t>Elaborer et mettre en œuvre un plan de communication sur les bonnes pratiques en matière de gestion des conflits liés à la transhumance</t>
  </si>
  <si>
    <t>Mettre en place des mécanismes paritaires éleveurs agriculteurs (assurant la représentativité des jeunes et des femmes) de préparation des arrivées de transhumants</t>
  </si>
  <si>
    <t>Mettre en place/dynamiser les Comités de gestion des infrastructures pastorales compose de femmes et de jeunes</t>
  </si>
  <si>
    <t>Réaliser 03 magasins de stockages d’aliments de bétail au long des couloirs au profit des organisations féminines</t>
  </si>
  <si>
    <t>Former les membres de comité de gestion en technique de gestion des infrastructures, de production d’aliments (la collecte, la conservation et l’enrichissement du fourrage ainsi que la fabrication des blocs multi nutritionnels)</t>
  </si>
  <si>
    <t>Fournir des kits de fauche et de conservation du fourrage aux éleveurs (sédentaires le long des couloirs de transhumance) pour la fauche du fourrage.</t>
  </si>
  <si>
    <t>Mettre en place/dynamiser les cadres de concertation sur la transhumance (locaux et transfrontaliers) en veillant à la représentativité des jeunes et des femmes</t>
  </si>
  <si>
    <t>Mettre en place/dynamiser les mécanismes de prévention et de résolution des conflits communautaires, y compris ceux liés à la transhumance et à l’utilisation des ressources naturelles</t>
  </si>
  <si>
    <t>Organisation recipiendiaire 4</t>
  </si>
  <si>
    <t>Organisation recipiendiaire 5</t>
  </si>
  <si>
    <t>Organisation recipiendiaire 6</t>
  </si>
  <si>
    <t>Recipient Agency 4</t>
  </si>
  <si>
    <t>Recipient Agency 5</t>
  </si>
  <si>
    <t>Recipient Agency 6</t>
  </si>
  <si>
    <t>Recip Agency 4</t>
  </si>
  <si>
    <t>Recip Agency 5</t>
  </si>
  <si>
    <t>Recip Agency 6</t>
  </si>
  <si>
    <t>Renforcer les capacités de suivi et de collecte auprès des relais et enquêteurs</t>
  </si>
  <si>
    <t>Mettre en œuvre le TTT dans  les zones d’intervention et collecte régulière des données par le biais d’enquêteurs et de systèmes existants de collecte</t>
  </si>
  <si>
    <t>Centraliser les données collectées au sein des structures existantes de gestion de données de transhumance</t>
  </si>
  <si>
    <t>Produire des rapports réguliers informant les acteurs</t>
  </si>
  <si>
    <t>Renforcer les capacités des acteurs locaux et nationaux (SIPSA, RBM et étatiques) dans la collecte et le traitement des données et le Reporting</t>
  </si>
  <si>
    <t>Assurer la coordination des structures de collecte de données liées aux transhumances (SIPSA, RBM et étatiques), ’harmonisation des données collectées et la passation de certaines activités de collectes et gestion des données</t>
  </si>
  <si>
    <t>Contractulisation avec RBM pour les frais d'organisation, Formation et suivi par OIM, expertise nationale</t>
  </si>
  <si>
    <t>Frais de traitement et de gestion des donnees, frais de formation, de suivi et de verification</t>
  </si>
  <si>
    <t>Expertise pour l'analyse et le reporting, reproduction et diffusion des rapports</t>
  </si>
  <si>
    <t>Frais d'organisation des ateliers de formation, Frais de mission et expertise nationale et internationale</t>
  </si>
  <si>
    <t>Frais d'organisation de reunions/rencontres de travail, Frais de mission et expertise nationale et internationale</t>
  </si>
  <si>
    <t xml:space="preserve">Contractualisation avec RBM pour les enquetes terrain, expertise, mission de formation et de suivi </t>
  </si>
  <si>
    <t xml:space="preserve">Contractualisation avec RBM pour la collecte de donnees, achat d;equipements de collecte, mission de formation et de suivi </t>
  </si>
  <si>
    <t>Frais de consultance, Organisation des ateliers, Frais de mission des experts</t>
  </si>
  <si>
    <t>Frais d'organisation des ateliers, reunions et rencontres, Frais d'expertise nationale et international, Frais de mission</t>
  </si>
  <si>
    <t>Frais d'organisation des ateliers de formation, Frais d'expertise national et international, Frais de missions</t>
  </si>
  <si>
    <t>Frais d'organisation de reunions/rencontres nationales et internationales, expertises, Frais de mission et de suivi</t>
  </si>
  <si>
    <t>Frais d'organisation de voyages d'etude, de rencontres de partage d'experience et de bonnes pratiques, expertises, frais de mission et de suivi</t>
  </si>
  <si>
    <t>Frais de consultance, Conception, reproduction et diffusion du plan, communications et visibilte, organisation de rencontres</t>
  </si>
  <si>
    <t>OIM BURKINA FASO</t>
  </si>
  <si>
    <t>OIM NIGER</t>
  </si>
  <si>
    <t>OIM MALI</t>
  </si>
  <si>
    <t>Organisation recipiendiaire 4  (budget en USD)</t>
  </si>
  <si>
    <t>Organisation recipiendiaire 1  
(budget en USD)</t>
  </si>
  <si>
    <t>Organisation recipiendiaire 2 
 (budget en USD)</t>
  </si>
  <si>
    <t>Organisation recipiendiaire 3 
 (budget en USD)</t>
  </si>
  <si>
    <t>Organisation recipiendiaire 5 (budget en USD)</t>
  </si>
  <si>
    <t>FAO BURKINA FASO</t>
  </si>
  <si>
    <t>FAO MALI</t>
  </si>
  <si>
    <t>FAO NIGER</t>
  </si>
  <si>
    <t>Organisation recipiendiaire  6 (budget en USD)</t>
  </si>
  <si>
    <t>Sub-Total</t>
  </si>
  <si>
    <t>7% Indirect Costs</t>
  </si>
  <si>
    <r>
      <rPr>
        <b/>
        <sz val="11"/>
        <color indexed="8"/>
        <rFont val="Calibri"/>
        <family val="2"/>
      </rPr>
      <t>Example of a detailed mapped budget (PBF/FAO) used to obtain OSP and Financial Clearances</t>
    </r>
    <r>
      <rPr>
        <sz val="11"/>
        <color theme="1"/>
        <rFont val="Calibri"/>
        <family val="2"/>
      </rPr>
      <t xml:space="preserve">
**Please note that the various budget and expenditure codes/descriptions included in this budget are </t>
    </r>
    <r>
      <rPr>
        <u val="single"/>
        <sz val="11"/>
        <color indexed="8"/>
        <rFont val="Calibri"/>
        <family val="2"/>
      </rPr>
      <t>just examples.</t>
    </r>
    <r>
      <rPr>
        <sz val="11"/>
        <color theme="1"/>
        <rFont val="Calibri"/>
        <family val="2"/>
      </rPr>
      <t xml:space="preserve"> Your particular project can/will use different codes based on the planned activities
*** The </t>
    </r>
    <r>
      <rPr>
        <sz val="11"/>
        <color indexed="10"/>
        <rFont val="Calibri"/>
        <family val="2"/>
      </rPr>
      <t>lines in red</t>
    </r>
    <r>
      <rPr>
        <sz val="11"/>
        <color theme="1"/>
        <rFont val="Calibri"/>
        <family val="2"/>
      </rPr>
      <t xml:space="preserve"> are the direct support costs that need to be calculated across the different budget categories</t>
    </r>
  </si>
  <si>
    <t>PBF Budget Categories
(UNDG)</t>
  </si>
  <si>
    <t>FAO Budget Code</t>
  </si>
  <si>
    <t>FAO Posting Code</t>
  </si>
  <si>
    <t>Budget Line Description</t>
  </si>
  <si>
    <t>Duration  (Month)</t>
  </si>
  <si>
    <t>Unit</t>
  </si>
  <si>
    <t>Quantity</t>
  </si>
  <si>
    <t>Unit cost (USD)</t>
  </si>
  <si>
    <t>Total cost (USD)</t>
  </si>
  <si>
    <t>Observations</t>
  </si>
  <si>
    <t>1. Staff and Other Personnel Costs</t>
  </si>
  <si>
    <t xml:space="preserve">Professional Staff </t>
  </si>
  <si>
    <t>International Operation Officer</t>
  </si>
  <si>
    <t xml:space="preserve">Unit </t>
  </si>
  <si>
    <t>Consultans (national and international)</t>
  </si>
  <si>
    <t>Livestock Officer</t>
  </si>
  <si>
    <t xml:space="preserve">M&amp;E Expert </t>
  </si>
  <si>
    <t>National civil engineering Expert</t>
  </si>
  <si>
    <t>Communication Officer</t>
  </si>
  <si>
    <t>Purchasing Assistant</t>
  </si>
  <si>
    <t xml:space="preserve">Administrative Assistant </t>
  </si>
  <si>
    <t>Operation Officer</t>
  </si>
  <si>
    <t>Driver</t>
  </si>
  <si>
    <t>DSC - Professional Staff - Human Resources Services</t>
  </si>
  <si>
    <t>For internationally-hired professional staff, USD 267 per month per person</t>
  </si>
  <si>
    <t>DSC - International Consultants  - Human Resource Services</t>
  </si>
  <si>
    <t>Calculated per person per month</t>
  </si>
  <si>
    <t>DSC - National Consultants - Human Resource Services</t>
  </si>
  <si>
    <t xml:space="preserve">Section Total </t>
  </si>
  <si>
    <t>Expendable procurement</t>
  </si>
  <si>
    <t>Semences fourragères</t>
  </si>
  <si>
    <t>kg</t>
  </si>
  <si>
    <t>Fauches et matériel de conservation du fourrage</t>
  </si>
  <si>
    <t>Kit</t>
  </si>
  <si>
    <t>Aliment de bétail</t>
  </si>
  <si>
    <t>Tonne</t>
  </si>
  <si>
    <t>Matériel de chaine de froid (Glacière)</t>
  </si>
  <si>
    <t>Vaccins</t>
  </si>
  <si>
    <t>Dose</t>
  </si>
  <si>
    <t>Matériel de vaccination</t>
  </si>
  <si>
    <t>DSC - Expendable - Procurement Services (PO) - CSDA</t>
  </si>
  <si>
    <t>DSC - Expendable - Procurement Services (PO)</t>
  </si>
  <si>
    <t>Cash and Financial Assistance</t>
  </si>
  <si>
    <t>Unconditional cash transfers</t>
  </si>
  <si>
    <t>Conditional cash transfers</t>
  </si>
  <si>
    <t>Direct beneficiary grants</t>
  </si>
  <si>
    <t xml:space="preserve">DSC - Cash Transfer Modality Projects  </t>
  </si>
  <si>
    <t xml:space="preserve">amount subject to the value of cash transfer;  check the price list at  http://intranet.fao.org/faohandbook/area/programme_budget/project_cost_recovery/price_lists/en/ </t>
  </si>
  <si>
    <t>3. Equipment, vehicles, and furniture</t>
  </si>
  <si>
    <t>Non-expendable procurement</t>
  </si>
  <si>
    <t>Data processing equipment - Mini/micro computer</t>
  </si>
  <si>
    <t>DSC - Non-Expendable - Procurement Services (PO) - CSDA</t>
  </si>
  <si>
    <t>USD 44 calculated per PO / If support from Procurement Services is needed, then USD 860 per tender</t>
  </si>
  <si>
    <t>DSC - Non-Expendable - Procurement Services (PO)</t>
  </si>
  <si>
    <t>4. Contractual Services</t>
  </si>
  <si>
    <t>Contracts</t>
  </si>
  <si>
    <t>This line is used for contracts for services under MS502</t>
  </si>
  <si>
    <t>Réhabilitation de sentiers à bétail</t>
  </si>
  <si>
    <t>Réhabilitation de forage</t>
  </si>
  <si>
    <t>Réalisation de parcs de vaccination</t>
  </si>
  <si>
    <t>Sécurisation/Balisation 5 Aires de pâturage</t>
  </si>
  <si>
    <t>ha</t>
  </si>
  <si>
    <t>Réhabilitation de magasin</t>
  </si>
  <si>
    <t xml:space="preserve">DSC - Contracts - Procurement Services </t>
  </si>
  <si>
    <t>Travel</t>
  </si>
  <si>
    <t>Travel - consultants - NPP</t>
  </si>
  <si>
    <t>FFT</t>
  </si>
  <si>
    <t>Travel - Non Staff</t>
  </si>
  <si>
    <t>LoA (Mise en place/renforcement de 2 mécanismes préparation arrivées, 20 comités de gestion, organisation de 2 campagnes de vaccinarion, appui à la gestion des infrastrutures pastorales)</t>
  </si>
  <si>
    <t>This line is used for LoAs under MS507</t>
  </si>
  <si>
    <t>LoA Clubs Dimitra</t>
  </si>
  <si>
    <t>Quality Assurance carried out by CSDA per LOA PO in GRMS</t>
  </si>
  <si>
    <t>USD 100 per LoA / If Quality Assurance needs to be carried out by CSDA, then the amount per LoA is USD 1,948</t>
  </si>
  <si>
    <t xml:space="preserve">DSC - Contracts - Procurement Services  </t>
  </si>
  <si>
    <t>7. General Operating &amp; Other Direct Costs</t>
  </si>
  <si>
    <t>Training</t>
  </si>
  <si>
    <t>Formation de 300 membres de COGES, 600 acteurs (Textes de lois, GRN et gestion de conflits)</t>
  </si>
  <si>
    <t>Section Total</t>
  </si>
  <si>
    <t>Technical Support Services</t>
  </si>
  <si>
    <t>TSS LTO</t>
  </si>
  <si>
    <t>Mandatory technical backstopping costs: Minimum amount is USD 3,072
M&amp;E/Conflict and Peace Analysis Unit backstopping: 
- If FAO is the lead agency, include USD 10,000
- If FAO is not the lead agency, include USD 5,000</t>
  </si>
  <si>
    <t>TSS PSC</t>
  </si>
  <si>
    <t>Evaluation</t>
  </si>
  <si>
    <r>
      <t>The amount for evaluation will change if FAO is the lead agency - otherwise the standard cost applies. 
- For evaluation standard costs, please see page 2 of the the Guidance Note 2. 
- If FAO is the lead agency and, therefore, responsible for conducting an independent project evaluation, the amount to be budgeted is</t>
    </r>
    <r>
      <rPr>
        <sz val="10"/>
        <rFont val="Calibri"/>
        <family val="2"/>
      </rPr>
      <t xml:space="preserve"> USD 50 000 for a single-country project and USD 60 000 for cross-border projects (to be split between the two countries) </t>
    </r>
  </si>
  <si>
    <t xml:space="preserve">Reporting </t>
  </si>
  <si>
    <t>Standard cost</t>
  </si>
  <si>
    <t>General Operating Expenses</t>
  </si>
  <si>
    <t>Miscellaneous</t>
  </si>
  <si>
    <t>Vehicles operation and maintenance</t>
  </si>
  <si>
    <t>Operation and maintenance of equipment</t>
  </si>
  <si>
    <t>Other operating costs</t>
  </si>
  <si>
    <t>Visibility/communication (other communications)</t>
  </si>
  <si>
    <t>Office supplies</t>
  </si>
  <si>
    <t>DSC - General Operating Expenses - Procurement Services</t>
  </si>
  <si>
    <t xml:space="preserve"> </t>
  </si>
  <si>
    <t>DSC - Security Services</t>
  </si>
  <si>
    <t>*** Calculated per person per month and based on the rate for the specific country</t>
  </si>
  <si>
    <t>GOE Common Services- (Other Central Support Services)</t>
  </si>
  <si>
    <t xml:space="preserve">IT services </t>
  </si>
  <si>
    <t>Financial Services</t>
  </si>
  <si>
    <t>Lump sum</t>
  </si>
  <si>
    <t>Calculated based on the total budget of the project</t>
  </si>
  <si>
    <t>SubTotal</t>
  </si>
  <si>
    <t>8. Indirect Support Costs</t>
  </si>
  <si>
    <t>Indirect Support Costs (PSC) - 7%</t>
  </si>
  <si>
    <t xml:space="preserve">Total Cost </t>
  </si>
  <si>
    <t>Project</t>
  </si>
  <si>
    <t>Promotion d’une transhumance pacifique dans la région du Liptako-Gourma</t>
  </si>
  <si>
    <t xml:space="preserve">Personnel </t>
  </si>
  <si>
    <t>Procurement Officer</t>
  </si>
  <si>
    <t xml:space="preserve">Consultants </t>
  </si>
  <si>
    <t>International Operations officer</t>
  </si>
  <si>
    <t>Expert national elevage</t>
  </si>
  <si>
    <t>Consultant national Coordinateur du projet</t>
  </si>
  <si>
    <t xml:space="preserve">Assistant Admin &amp; Operations </t>
  </si>
  <si>
    <t>NPP - driver</t>
  </si>
  <si>
    <t>International Consultants  - Human Resource Services</t>
  </si>
  <si>
    <t>National Consultants - Human Resource Services</t>
  </si>
  <si>
    <t xml:space="preserve"> 2. Supplies, Commodities, Materials</t>
  </si>
  <si>
    <t>Expendable</t>
  </si>
  <si>
    <t>Matériels agricoles</t>
  </si>
  <si>
    <t>Achat d'aliments bétail</t>
  </si>
  <si>
    <t>Intrants pour la production fourragère</t>
  </si>
  <si>
    <t>Expendable - Procurement Services (PO)</t>
  </si>
  <si>
    <t>Non expendable equipments</t>
  </si>
  <si>
    <t>Non-Expendable - Procurement Services (PO)</t>
  </si>
  <si>
    <t>Contrats aménagements</t>
  </si>
  <si>
    <t>Contrats de rélisation /réhabilitation des infrastructures pastorales</t>
  </si>
  <si>
    <t>Contrat de construction des BAB</t>
  </si>
  <si>
    <t xml:space="preserve"> DSC Contracts - Procurement Servcies</t>
  </si>
  <si>
    <t>Travel Consultants nationaux</t>
  </si>
  <si>
    <t>Travel - Procurement Services</t>
  </si>
  <si>
    <t>Contrats</t>
  </si>
  <si>
    <t>LoA pour Cartographie et production des rapports d'information/ Mise en place les comités régionaux, communaux et villageois de transhumance</t>
  </si>
  <si>
    <t>Year</t>
  </si>
  <si>
    <t>LoA Formation des comités à la collecte, traitement et diffusion des données</t>
  </si>
  <si>
    <t>LoA étude de référence et dynamisation et animation des clubs Dimitra</t>
  </si>
  <si>
    <t>LoA analyse des forces et faiblesses des mécanismes de prévention des conflites et mise en place d'un plan d'action (2.2)mise en place et renforcer les comités de gestion des forages;  mise en place et renforcement des capacités des comités de gestion des banques d'AB</t>
  </si>
  <si>
    <t>Frais généraux</t>
  </si>
  <si>
    <t xml:space="preserve">Training - Procurement Services </t>
  </si>
  <si>
    <t>TSS /LTO</t>
  </si>
  <si>
    <t>TSS/ PSC</t>
  </si>
  <si>
    <t>Evaluation finale</t>
  </si>
  <si>
    <t>Budget frais généraux de fonctionnement</t>
  </si>
  <si>
    <t xml:space="preserve">Security services </t>
  </si>
  <si>
    <t>General Operating Expenses - Procurement Services</t>
  </si>
  <si>
    <t xml:space="preserve">IT Services </t>
  </si>
  <si>
    <t>Sub-total</t>
  </si>
  <si>
    <t>Indirect Support Costs (7%)</t>
  </si>
  <si>
    <t xml:space="preserve">Total  </t>
  </si>
  <si>
    <t>BUDGET DU PROJET PBF: Transhumance pacifique dans le Liptako Gourma</t>
  </si>
  <si>
    <t>24 months</t>
  </si>
  <si>
    <t>Budget lines</t>
  </si>
  <si>
    <t>Description</t>
  </si>
  <si>
    <t>duration  (mth)</t>
  </si>
  <si>
    <t>units</t>
  </si>
  <si>
    <t>unit cost</t>
  </si>
  <si>
    <t xml:space="preserve">TOTAL </t>
  </si>
  <si>
    <t>BF</t>
  </si>
  <si>
    <t>Professional staff</t>
  </si>
  <si>
    <t>Emergency Operations Coordinator</t>
  </si>
  <si>
    <t xml:space="preserve">International Procurement Officer </t>
  </si>
  <si>
    <t>Professional salaries - Human Resource Services</t>
  </si>
  <si>
    <t>GS</t>
  </si>
  <si>
    <t>Administrative Assistant</t>
  </si>
  <si>
    <t>GS Salaries - Human Resource Services</t>
  </si>
  <si>
    <t>Consultant international coordonateur régional du projet</t>
  </si>
  <si>
    <t>Coordonnateur nationaux du projet</t>
  </si>
  <si>
    <t>Assistant Procurement</t>
  </si>
  <si>
    <t>Expert Cash</t>
  </si>
  <si>
    <t>Expert Nutrition</t>
  </si>
  <si>
    <t>Expert Agronome</t>
  </si>
  <si>
    <t>Expert PFNL</t>
  </si>
  <si>
    <t>Expert SE</t>
  </si>
  <si>
    <t>Expert Communication</t>
  </si>
  <si>
    <t>Responsable sous-bureau SAHEL</t>
  </si>
  <si>
    <t>Responsable sous-bureau CN</t>
  </si>
  <si>
    <t>Responsable sous-bureau NORD</t>
  </si>
  <si>
    <t>Techniciens Sous-Bureaux</t>
  </si>
  <si>
    <t>Chauffeurs</t>
  </si>
  <si>
    <t>Assistante administrative</t>
  </si>
  <si>
    <t>Maganisier</t>
  </si>
  <si>
    <t>Expert Principal Etude baseline</t>
  </si>
  <si>
    <t>Deuxième Expert Baseline</t>
  </si>
  <si>
    <t>Expert principal  Etude Endline</t>
  </si>
  <si>
    <t>Deuxième Expert  Etude Endline</t>
  </si>
  <si>
    <t>Expert Etude PDM</t>
  </si>
  <si>
    <t>Expert Etude de Marché</t>
  </si>
  <si>
    <t>Expert Etude ASEG Baseline</t>
  </si>
  <si>
    <t>International Consultants - Human Resource Services</t>
  </si>
  <si>
    <t>Protocoles d'Accord avec les PT</t>
  </si>
  <si>
    <t>Protocoles d'Accord avec les PO</t>
  </si>
  <si>
    <t xml:space="preserve"> Contracts - Procurement Servcies  </t>
  </si>
  <si>
    <t xml:space="preserve"> Contracts - Procurement Servcies  (QA CSAP) </t>
  </si>
  <si>
    <t>Locally Contracted Labour</t>
  </si>
  <si>
    <t>DSA Consultants nationaux</t>
  </si>
  <si>
    <t>Travel Consultants internationaux</t>
  </si>
  <si>
    <t>DSA Procurement Officer</t>
  </si>
  <si>
    <t>Travel Procurement Officer</t>
  </si>
  <si>
    <t>Mission d'appui technique du siège</t>
  </si>
  <si>
    <t>Mission d'appui technique REOWA</t>
  </si>
  <si>
    <t>Mission d'appui technique RAF</t>
  </si>
  <si>
    <t>Local training</t>
  </si>
  <si>
    <t>Appui en infrastructures communautaires en lien avec la transhumance sont réalisées et/ou réhabilitées  et sécurisées</t>
  </si>
  <si>
    <t>Expendable - Procurement Services (CSAP support Ad-hoc DoA)</t>
  </si>
  <si>
    <t>Expendable - Procurement Services (CSAP)</t>
  </si>
  <si>
    <t xml:space="preserve">Car 4X4 </t>
  </si>
  <si>
    <t>Laptops</t>
  </si>
  <si>
    <t>Desktop</t>
  </si>
  <si>
    <t xml:space="preserve">2 Ecrans </t>
  </si>
  <si>
    <t>TSS</t>
  </si>
  <si>
    <t>Rapport</t>
  </si>
  <si>
    <t>Visibilité/communication</t>
  </si>
  <si>
    <t>sub-total</t>
  </si>
  <si>
    <t>Staff</t>
  </si>
  <si>
    <t>Contrat de service pour travaux</t>
  </si>
  <si>
    <t>Frais d'organisation d'ateliers et de formation</t>
  </si>
  <si>
    <t>Achat d'intrants zootechniques, frais de distrbution et de formation technique</t>
  </si>
  <si>
    <t>Frais de prestation de service de vaccination</t>
  </si>
  <si>
    <t>Third Tranche:</t>
  </si>
  <si>
    <t>L'alimentation et la protection sanitaire du bétail sont renforcées</t>
  </si>
  <si>
    <t>BUDGET APPROUVE</t>
  </si>
  <si>
    <t>NOUVEAU BUDGET</t>
  </si>
  <si>
    <t>Activité supprimée</t>
  </si>
  <si>
    <t>Catégories</t>
  </si>
  <si>
    <t>Frais d'organisations des sessions, Frais de mission pour suivi et monitoring; Ressources additionnelle du fait de la covid et du contexte securitaire, ressources additionnelles requise pour l'activité</t>
  </si>
  <si>
    <t>Contrat de service pour travaux pour la mali et le Burkina, Mobilisation communitaire pour le Niger</t>
  </si>
  <si>
    <r>
      <t>Cartographier/</t>
    </r>
    <r>
      <rPr>
        <sz val="12"/>
        <color indexed="10"/>
        <rFont val="Calibri"/>
        <family val="2"/>
      </rPr>
      <t xml:space="preserve">Mettre à jour la cartographie des ressources pastorales et validation du rayon de couverture spatiale du suivi des mouvements transhumants dans l’espace transfrontalier </t>
    </r>
    <r>
      <rPr>
        <strike/>
        <sz val="12"/>
        <color indexed="8"/>
        <rFont val="Calibri"/>
        <family val="2"/>
      </rPr>
      <t>les transhumances dans les zones d’intervention</t>
    </r>
  </si>
  <si>
    <t xml:space="preserve"> Renforcer les capacités des acteurs nationaux en charge de la gestion de la transhumance sur l’outil de gestion de la transhumance</t>
  </si>
  <si>
    <t xml:space="preserve">Renforcer les capacités des acteurs sur l’analyse de l’indice de stabilité </t>
  </si>
  <si>
    <t>Intégration de l’analyse de l’index de stabilité de l’OIM dans le TTT pour réorienter les mouvements transhumants en cas de besoin</t>
  </si>
  <si>
    <t>Plaidoyer à l’endroit des autorités compétentes pour une participation et une implication des structures en charge de la transhumance dans la production et les réponses aux alertes ;</t>
  </si>
  <si>
    <t>Activite 2.1.9</t>
  </si>
  <si>
    <t>Activite 2.1.10</t>
  </si>
  <si>
    <t>Mettre en place et opérationnalisation d’un réseau transfrontalier de jeunes et de femmes leaders pour promouvoir la transhumance </t>
  </si>
  <si>
    <t>Mettre en place et opérationnaliser un observatoire transfrontalier de suivi de la transhumance et des conflits liés aux ressources pastorales</t>
  </si>
  <si>
    <t xml:space="preserve">Organiser des rencontres de cadrage et de partage d’expériences entre les différents cadres de concertation communale pour discuter de la transhumance </t>
  </si>
  <si>
    <t xml:space="preserve">Elaborer/ opérationnaliser des plans d’action des cadres de concertation </t>
  </si>
  <si>
    <t>Actualiser et vulgariser massivement les bonnes pratiques de gestion de la transhumance au niveau régional </t>
  </si>
  <si>
    <t>Elaborer /mettre à jour un guide de gestion sur la transhumance transfrontalière </t>
  </si>
  <si>
    <t xml:space="preserve">Renforcer les capacités des cadres de concertation en technique de médiation, de prévention et gestion des conflits </t>
  </si>
  <si>
    <t>Activite 3.1.9</t>
  </si>
  <si>
    <t>Activite 3.1.10</t>
  </si>
  <si>
    <t>Activite 3.1.11</t>
  </si>
  <si>
    <t>Activite 3.1.12</t>
  </si>
  <si>
    <t>Renforcement des capacités des comités de gestion des ressources et infrastructures pastorales réalisées ou réhabilités dans le cadre de la première phase en les dotant d’intrants, outils et de fonds de roulement pour mieux gérer et pérenniser les investissements existants</t>
  </si>
  <si>
    <t xml:space="preserve">Appui au développement de corridor transfrontalier de transhumances autour des investissant investissements réalisés au cours de la première phase </t>
  </si>
  <si>
    <t xml:space="preserve">Promotion d’une approche intégrée d’élaboration et de mise en œuvre de conventions de gestions des ressources et infrastructures pastorales </t>
  </si>
  <si>
    <t xml:space="preserve">Promotion de comités transfrontaliers de gestion des ressources pastorales partagées </t>
  </si>
  <si>
    <t>Activite 3.2.9</t>
  </si>
  <si>
    <t>Activite 3.2.10</t>
  </si>
  <si>
    <t xml:space="preserve">Renforcement de la production fourragère par les jeunes et les femmes comme activité génératrice d’autonomisation des jeunes et des femmes </t>
  </si>
  <si>
    <t xml:space="preserve">Appui au renforcement de la collaboration sur la surveillance transfrontalière des maladies le long des portes d’entrées et couloirs de passage nationaux des communes frontalières </t>
  </si>
  <si>
    <t xml:space="preserve">Promouvoir et appuyer l’organisation conjointe des campagnes de vaccination au niveau des postes d’entrée et de sortie entre communes transfrontalières pour renforcer la cohésion sociale entre les acteurs </t>
  </si>
  <si>
    <t>Formation des acteurs sur les directives volontaires applicables à la gouvernance des terres pastorales et le développement de corridors de transhumance transfrontaliers</t>
  </si>
  <si>
    <t>Les communautés pastorales sont résilientes grâce à une meilleure compréhension des dynamiques de l'espace pastoral</t>
  </si>
  <si>
    <t xml:space="preserve">Les connaissances des acteurs sur la capacité technique, environnementale, économique et social de l’espace pastoral à satisfaire les besoins des communautés pastorales sont améliorées </t>
  </si>
  <si>
    <t>Analyse de la viabilité pastorale et étude inventaire des valeurs directes et indirectes de l’économie pastorale</t>
  </si>
  <si>
    <t>Analyser les forces et faiblesses des systèmes traditionnel d’informations sur les ressources pastorales existants</t>
  </si>
  <si>
    <t>Renforcement des capacités des membres des STI et SCPA/RU sur la collecte et diffusion des données sur les ressources pastorales</t>
  </si>
  <si>
    <t xml:space="preserve">Traduire et diffuser les principaux textes législatifs et règlementaires sur la trashumance en langues locales   </t>
  </si>
  <si>
    <t xml:space="preserve"> Des procédures de de la rumeurs de la stigmatisation, la marginalisation et des plaintes sont mise en place et renforcées pour une pour une transhumance apaisée</t>
  </si>
  <si>
    <t xml:space="preserve"> Elaborer  et vulgariser les outils de collecte de la rumeur de la stigmatisation, la marginalisation et des plaintes;</t>
  </si>
  <si>
    <t xml:space="preserve"> Mettre en place le circuit de la remontée et du retour rumeurs de la stigmatisation, la marginalisation et des plaintes des transhumants ;</t>
  </si>
  <si>
    <t xml:space="preserve"> Mettre en place un système de documentation des rumeurs de la stigmatisation, la marginalisation et des plaintes </t>
  </si>
  <si>
    <t>Enquêtes de perception</t>
  </si>
  <si>
    <t>Troisième tranche</t>
  </si>
  <si>
    <t>Quatrième tranche</t>
  </si>
  <si>
    <t>Cinquième tranche</t>
  </si>
  <si>
    <t>Fourth tranche</t>
  </si>
  <si>
    <t>Fifth tranche</t>
  </si>
  <si>
    <t>Suivi équipe du projet</t>
  </si>
  <si>
    <t>planification et suivi avec le comité technique</t>
  </si>
  <si>
    <t>Frais d'organisation activités de plaidoyer, Frais de mission et expertise nationale et internationale</t>
  </si>
  <si>
    <t>Frais d'organisation de reunions d'élaboration des plans, appui à la mise œuvre des plans</t>
  </si>
  <si>
    <t>Frais de Protocole avec ALG et services techniques</t>
  </si>
  <si>
    <t>Fais de consultance</t>
  </si>
  <si>
    <t>Frais de protocole de mise en œuvre et suivi avec les services stechnqiues</t>
  </si>
  <si>
    <t>Achat d'intrants zootechniques, frais de distribution et frais de protocole avec les services techniques</t>
  </si>
  <si>
    <t>Frais de prestation pour le services de traduction et de diffusion</t>
  </si>
  <si>
    <t>Frais de consultance</t>
  </si>
  <si>
    <t>Frais d'organisation d'atelier de formation (location de salle, restauration, deplacement des participants)</t>
  </si>
  <si>
    <t>Frais d'organisation d'atelier de formation (restauration, deplacement des participants, Honoraires du Consultant-formateur )</t>
  </si>
  <si>
    <t>Frais de formation (location de salle, restauration, deplacement des participants), Achat d'intrant et fonds de roulement des COGES</t>
  </si>
  <si>
    <t>BUDGET INITIAL</t>
  </si>
  <si>
    <t>Niveau de depense/ engagement actuel 
(a remplir au moment des rapports de projet)</t>
  </si>
  <si>
    <t xml:space="preserve">Niveau de dépense/engagement actuelle pour action directe sur égalité des sexes et autonomisation des femmes (GEWE) (cas echeant) </t>
  </si>
  <si>
    <t>NIGER</t>
  </si>
  <si>
    <t>MALI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</si>
</sst>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000000000"/>
    <numFmt numFmtId="174" formatCode="_-* #,##0\ _€_-;\-* #,##0\ _€_-;_-* &quot;-&quot;??\ _€_-;_-@_-"/>
    <numFmt numFmtId="175" formatCode="_-* #,##0\ _F_B_-;\-* #,##0\ _F_B_-;_-* &quot;-&quot;??\ _F_B_-;_-@_-"/>
    <numFmt numFmtId="176" formatCode="_(&quot;$&quot;* #,##0_);_(&quot;$&quot;* \(#,##0\);_(&quot;$&quot;* &quot;-&quot;??_);_(@_)"/>
    <numFmt numFmtId="177" formatCode="_(&quot;$&quot;* #,##0.0_);_(&quot;$&quot;* \(#,##0.0\);_(&quot;$&quot;* &quot;-&quot;??_);_(@_)"/>
    <numFmt numFmtId="178" formatCode="_-* #,##0.00\ _C_F_A_-;\-* #,##0.00\ _C_F_A_-;_-* &quot;-&quot;??\ _C_F_A_-;_-@_-"/>
    <numFmt numFmtId="179" formatCode="_-* #,##0.00\ _€_-;\-* #,##0.00\ _€_-;_-* &quot;-&quot;??\ _€_-;_-@_-"/>
  </numFmts>
  <fonts count="132">
    <font>
      <sz val="11"/>
      <color theme="1"/>
      <name val="Calibri"/>
      <family val="2"/>
    </font>
    <font>
      <sz val="11"/>
      <color indexed="8"/>
      <name val="Calibri"/>
      <family val="2"/>
    </font>
    <font>
      <b/>
      <sz val="11"/>
      <color indexed="8"/>
      <name val="Calibri"/>
      <family val="2"/>
    </font>
    <font>
      <b/>
      <sz val="16"/>
      <color indexed="8"/>
      <name val="Calibri"/>
      <family val="2"/>
    </font>
    <font>
      <sz val="11"/>
      <color indexed="10"/>
      <name val="Calibri"/>
      <family val="2"/>
    </font>
    <font>
      <sz val="16"/>
      <color indexed="8"/>
      <name val="Calibri"/>
      <family val="2"/>
    </font>
    <font>
      <b/>
      <sz val="16"/>
      <color indexed="10"/>
      <name val="Calibri"/>
      <family val="2"/>
    </font>
    <font>
      <sz val="8"/>
      <name val="Calibri"/>
      <family val="2"/>
    </font>
    <font>
      <u val="single"/>
      <sz val="11"/>
      <color indexed="8"/>
      <name val="Calibri"/>
      <family val="2"/>
    </font>
    <font>
      <b/>
      <sz val="10"/>
      <name val="Arial"/>
      <family val="2"/>
    </font>
    <font>
      <sz val="10"/>
      <name val="Arial"/>
      <family val="2"/>
    </font>
    <font>
      <sz val="10"/>
      <name val="Calibri"/>
      <family val="2"/>
    </font>
    <font>
      <sz val="12"/>
      <name val="Times New Roman"/>
      <family val="1"/>
    </font>
    <font>
      <b/>
      <sz val="12"/>
      <name val="Times New Roman"/>
      <family val="1"/>
    </font>
    <font>
      <sz val="10"/>
      <name val="Times New Roman"/>
      <family val="1"/>
    </font>
    <font>
      <b/>
      <sz val="10"/>
      <name val="Times New Roman"/>
      <family val="1"/>
    </font>
    <font>
      <sz val="9"/>
      <name val="Tahoma"/>
      <family val="2"/>
    </font>
    <font>
      <b/>
      <sz val="9"/>
      <name val="Tahoma"/>
      <family val="2"/>
    </font>
    <font>
      <sz val="12"/>
      <color indexed="10"/>
      <name val="Calibri"/>
      <family val="2"/>
    </font>
    <font>
      <strike/>
      <sz val="12"/>
      <color indexed="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2"/>
      <color indexed="8"/>
      <name val="Calibri"/>
      <family val="2"/>
    </font>
    <font>
      <b/>
      <sz val="12"/>
      <color indexed="8"/>
      <name val="Calibri"/>
      <family val="2"/>
    </font>
    <font>
      <b/>
      <sz val="36"/>
      <color indexed="8"/>
      <name val="Calibri"/>
      <family val="2"/>
    </font>
    <font>
      <sz val="36"/>
      <color indexed="8"/>
      <name val="Calibri"/>
      <family val="2"/>
    </font>
    <font>
      <sz val="9"/>
      <color indexed="8"/>
      <name val="Calibri"/>
      <family val="2"/>
    </font>
    <font>
      <sz val="11"/>
      <name val="Calibri"/>
      <family val="2"/>
    </font>
    <font>
      <b/>
      <sz val="28"/>
      <color indexed="8"/>
      <name val="Calibri"/>
      <family val="2"/>
    </font>
    <font>
      <b/>
      <sz val="12"/>
      <color indexed="40"/>
      <name val="Calibri"/>
      <family val="2"/>
    </font>
    <font>
      <b/>
      <sz val="36"/>
      <color indexed="40"/>
      <name val="Calibri"/>
      <family val="2"/>
    </font>
    <font>
      <b/>
      <sz val="20"/>
      <color indexed="8"/>
      <name val="Calibri"/>
      <family val="2"/>
    </font>
    <font>
      <b/>
      <sz val="10"/>
      <color indexed="8"/>
      <name val="Arial"/>
      <family val="2"/>
    </font>
    <font>
      <sz val="10"/>
      <color indexed="8"/>
      <name val="Arial"/>
      <family val="2"/>
    </font>
    <font>
      <b/>
      <sz val="10"/>
      <color indexed="10"/>
      <name val="Arial"/>
      <family val="2"/>
    </font>
    <font>
      <sz val="10"/>
      <color indexed="10"/>
      <name val="Arial"/>
      <family val="2"/>
    </font>
    <font>
      <sz val="10"/>
      <color indexed="8"/>
      <name val="Calibri"/>
      <family val="2"/>
    </font>
    <font>
      <sz val="9"/>
      <color indexed="10"/>
      <name val="Arial"/>
      <family val="2"/>
    </font>
    <font>
      <b/>
      <sz val="14"/>
      <color indexed="8"/>
      <name val="Calibri"/>
      <family val="2"/>
    </font>
    <font>
      <sz val="10"/>
      <color indexed="30"/>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2"/>
      <color indexed="8"/>
      <name val="Arial Narrow"/>
      <family val="2"/>
    </font>
    <font>
      <b/>
      <u val="single"/>
      <sz val="11"/>
      <color indexed="8"/>
      <name val="Calibri"/>
      <family val="2"/>
    </font>
    <font>
      <b/>
      <sz val="10"/>
      <color indexed="8"/>
      <name val="Times New Roman"/>
      <family val="1"/>
    </font>
    <font>
      <sz val="10"/>
      <color indexed="8"/>
      <name val="Times New Roman"/>
      <family val="1"/>
    </font>
    <font>
      <sz val="10"/>
      <color indexed="10"/>
      <name val="Calibri"/>
      <family val="2"/>
    </font>
    <font>
      <sz val="10"/>
      <color indexed="10"/>
      <name val="Times New Roman"/>
      <family val="1"/>
    </font>
    <font>
      <sz val="11"/>
      <color indexed="8"/>
      <name val="Times New Roman"/>
      <family val="1"/>
    </font>
    <font>
      <sz val="10"/>
      <color indexed="8"/>
      <name val="Arial Narrow"/>
      <family val="2"/>
    </font>
    <font>
      <b/>
      <sz val="12"/>
      <color indexed="10"/>
      <name val="Calibri"/>
      <family val="2"/>
    </font>
    <font>
      <sz val="12"/>
      <name val="Calibri"/>
      <family val="2"/>
    </font>
    <font>
      <sz val="10"/>
      <color indexed="60"/>
      <name val="Times New Roman"/>
      <family val="1"/>
    </font>
    <font>
      <b/>
      <sz val="24"/>
      <color indexed="8"/>
      <name val="Calibri"/>
      <family val="2"/>
    </font>
    <font>
      <sz val="11"/>
      <color indexed="30"/>
      <name val="Calibri"/>
      <family val="2"/>
    </font>
    <font>
      <b/>
      <sz val="12"/>
      <color indexed="30"/>
      <name val="Calibri"/>
      <family val="2"/>
    </font>
    <font>
      <sz val="12"/>
      <color indexed="30"/>
      <name val="Calibri"/>
      <family val="2"/>
    </font>
    <font>
      <b/>
      <sz val="16"/>
      <color indexed="8"/>
      <name val="Arial Black"/>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2"/>
      <color theme="1"/>
      <name val="Calibri"/>
      <family val="2"/>
    </font>
    <font>
      <b/>
      <sz val="36"/>
      <color theme="1"/>
      <name val="Calibri"/>
      <family val="2"/>
    </font>
    <font>
      <sz val="36"/>
      <color theme="1"/>
      <name val="Calibri"/>
      <family val="2"/>
    </font>
    <font>
      <sz val="9"/>
      <color theme="1"/>
      <name val="Calibri"/>
      <family val="2"/>
    </font>
    <font>
      <b/>
      <sz val="28"/>
      <color theme="1"/>
      <name val="Calibri"/>
      <family val="2"/>
    </font>
    <font>
      <b/>
      <sz val="12"/>
      <color rgb="FF00B0F0"/>
      <name val="Calibri"/>
      <family val="2"/>
    </font>
    <font>
      <b/>
      <sz val="36"/>
      <color rgb="FF00B0F0"/>
      <name val="Calibri"/>
      <family val="2"/>
    </font>
    <font>
      <b/>
      <sz val="20"/>
      <color theme="1"/>
      <name val="Calibri"/>
      <family val="2"/>
    </font>
    <font>
      <b/>
      <sz val="10"/>
      <color rgb="FF000000"/>
      <name val="Arial"/>
      <family val="2"/>
    </font>
    <font>
      <sz val="10"/>
      <color rgb="FF000000"/>
      <name val="Arial"/>
      <family val="2"/>
    </font>
    <font>
      <sz val="10"/>
      <color theme="1"/>
      <name val="Arial"/>
      <family val="2"/>
    </font>
    <font>
      <b/>
      <sz val="10"/>
      <color theme="1"/>
      <name val="Arial"/>
      <family val="2"/>
    </font>
    <font>
      <b/>
      <sz val="10"/>
      <color rgb="FFFF0000"/>
      <name val="Arial"/>
      <family val="2"/>
    </font>
    <font>
      <sz val="10"/>
      <color rgb="FFFF0000"/>
      <name val="Arial"/>
      <family val="2"/>
    </font>
    <font>
      <sz val="10"/>
      <color theme="1"/>
      <name val="Calibri"/>
      <family val="2"/>
    </font>
    <font>
      <sz val="9"/>
      <color rgb="FFFF0000"/>
      <name val="Arial"/>
      <family val="2"/>
    </font>
    <font>
      <b/>
      <sz val="14"/>
      <color theme="1"/>
      <name val="Calibri"/>
      <family val="2"/>
    </font>
    <font>
      <sz val="10"/>
      <color rgb="FF0070C0"/>
      <name val="Calibri"/>
      <family val="2"/>
    </font>
    <font>
      <b/>
      <sz val="12"/>
      <color rgb="FF000000"/>
      <name val="Times New Roman"/>
      <family val="1"/>
    </font>
    <font>
      <sz val="12"/>
      <color rgb="FF000000"/>
      <name val="Times New Roman"/>
      <family val="1"/>
    </font>
    <font>
      <sz val="12"/>
      <color rgb="FFFF0000"/>
      <name val="Times New Roman"/>
      <family val="1"/>
    </font>
    <font>
      <b/>
      <sz val="12"/>
      <color rgb="FFFF0000"/>
      <name val="Times New Roman"/>
      <family val="1"/>
    </font>
    <font>
      <sz val="12"/>
      <color rgb="FF000000"/>
      <name val="Arial Narrow"/>
      <family val="2"/>
    </font>
    <font>
      <u val="single"/>
      <sz val="11"/>
      <color theme="1"/>
      <name val="Calibri"/>
      <family val="2"/>
    </font>
    <font>
      <b/>
      <u val="single"/>
      <sz val="11"/>
      <color theme="1"/>
      <name val="Calibri"/>
      <family val="2"/>
    </font>
    <font>
      <b/>
      <sz val="10"/>
      <color rgb="FF000000"/>
      <name val="Times New Roman"/>
      <family val="1"/>
    </font>
    <font>
      <sz val="10"/>
      <color rgb="FF000000"/>
      <name val="Times New Roman"/>
      <family val="1"/>
    </font>
    <font>
      <sz val="10"/>
      <color rgb="FFFF0000"/>
      <name val="Calibri"/>
      <family val="2"/>
    </font>
    <font>
      <sz val="10"/>
      <color rgb="FFFF0000"/>
      <name val="Times New Roman"/>
      <family val="1"/>
    </font>
    <font>
      <sz val="10"/>
      <color theme="1"/>
      <name val="Times New Roman"/>
      <family val="1"/>
    </font>
    <font>
      <sz val="11"/>
      <color theme="1"/>
      <name val="Times New Roman"/>
      <family val="1"/>
    </font>
    <font>
      <sz val="10"/>
      <color rgb="FF000000"/>
      <name val="Arial Narrow"/>
      <family val="2"/>
    </font>
    <font>
      <b/>
      <sz val="16"/>
      <color theme="1"/>
      <name val="Calibri"/>
      <family val="2"/>
    </font>
    <font>
      <sz val="12"/>
      <color rgb="FFFF0000"/>
      <name val="Calibri"/>
      <family val="2"/>
    </font>
    <font>
      <b/>
      <sz val="12"/>
      <color rgb="FFFF0000"/>
      <name val="Calibri"/>
      <family val="2"/>
    </font>
    <font>
      <sz val="12"/>
      <color rgb="FF000000"/>
      <name val="Calibri"/>
      <family val="2"/>
    </font>
    <font>
      <sz val="10"/>
      <color rgb="FFC00000"/>
      <name val="Times New Roman"/>
      <family val="1"/>
    </font>
    <font>
      <b/>
      <sz val="24"/>
      <color theme="1"/>
      <name val="Calibri"/>
      <family val="2"/>
    </font>
    <font>
      <sz val="11"/>
      <color rgb="FF0070C0"/>
      <name val="Calibri"/>
      <family val="2"/>
    </font>
    <font>
      <b/>
      <sz val="12"/>
      <color rgb="FF0070C0"/>
      <name val="Calibri"/>
      <family val="2"/>
    </font>
    <font>
      <sz val="12"/>
      <color rgb="FF0070C0"/>
      <name val="Calibri"/>
      <family val="2"/>
    </font>
    <font>
      <b/>
      <sz val="16"/>
      <color theme="1"/>
      <name val="Arial Black"/>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3499799966812134"/>
        <bgColor indexed="64"/>
      </patternFill>
    </fill>
    <fill>
      <patternFill patternType="solid">
        <fgColor rgb="FF00B05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FFFFF"/>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thin"/>
      <top style="thin"/>
      <bottom style="medium"/>
    </border>
    <border>
      <left style="thin"/>
      <right/>
      <top style="thin"/>
      <bottom style="thin"/>
    </border>
    <border>
      <left style="thin"/>
      <right style="thin"/>
      <top/>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thin"/>
      <top/>
      <bottom style="medium"/>
    </border>
    <border>
      <left style="medium"/>
      <right style="thin"/>
      <top/>
      <bottom style="thin"/>
    </border>
    <border>
      <left style="medium"/>
      <right/>
      <top style="medium"/>
      <bottom/>
    </border>
    <border>
      <left style="medium"/>
      <right style="thin"/>
      <top/>
      <bottom style="medium"/>
    </border>
    <border>
      <left/>
      <right/>
      <top style="medium"/>
      <bottom/>
    </border>
    <border>
      <left/>
      <right style="medium"/>
      <top style="medium"/>
      <bottom/>
    </border>
    <border>
      <left style="medium"/>
      <right style="medium"/>
      <top/>
      <bottom style="thin"/>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style="medium"/>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medium"/>
      <bottom style="thin"/>
    </border>
    <border>
      <left/>
      <right style="thin"/>
      <top/>
      <bottom style="thin"/>
    </border>
    <border>
      <left style="thin"/>
      <right/>
      <top/>
      <bottom style="thin"/>
    </border>
    <border>
      <left/>
      <right style="medium"/>
      <top style="thin"/>
      <bottom style="thin"/>
    </border>
    <border>
      <left style="medium"/>
      <right style="medium"/>
      <top/>
      <bottom style="medium">
        <color rgb="FF7F7F7F"/>
      </bottom>
    </border>
    <border>
      <left/>
      <right style="thin"/>
      <top style="thin"/>
      <bottom/>
    </border>
    <border>
      <left/>
      <right style="medium"/>
      <top style="thin"/>
      <bottom/>
    </border>
    <border>
      <left style="medium"/>
      <right/>
      <top style="thin"/>
      <bottom style="thin"/>
    </border>
    <border>
      <left/>
      <right style="medium"/>
      <top/>
      <bottom style="thin"/>
    </border>
    <border>
      <left style="medium"/>
      <right style="medium"/>
      <top style="medium"/>
      <bottom/>
    </border>
    <border>
      <left/>
      <right/>
      <top/>
      <bottom style="thin"/>
    </border>
    <border>
      <left/>
      <right style="thin"/>
      <top/>
      <bottom style="medium"/>
    </border>
    <border>
      <left style="thin"/>
      <right/>
      <top/>
      <bottom style="medium"/>
    </border>
    <border>
      <left/>
      <right style="thin"/>
      <top/>
      <bottom/>
    </border>
    <border>
      <left style="thin"/>
      <right style="thin"/>
      <top/>
      <bottom/>
    </border>
    <border>
      <left style="thin"/>
      <right/>
      <top/>
      <bottom/>
    </border>
    <border>
      <left style="medium"/>
      <right style="medium"/>
      <top style="thin"/>
      <bottom style="medium"/>
    </border>
    <border>
      <left style="medium"/>
      <right style="medium"/>
      <top style="thin"/>
      <bottom/>
    </border>
    <border>
      <left style="thin"/>
      <right/>
      <top style="thin"/>
      <bottom/>
    </border>
    <border>
      <left style="thin"/>
      <right style="thin"/>
      <top style="medium"/>
      <bottom/>
    </border>
    <border>
      <left style="thin"/>
      <right/>
      <top style="medium"/>
      <bottom/>
    </border>
    <border>
      <left/>
      <right style="thin"/>
      <top style="medium"/>
      <bottom style="thin"/>
    </border>
    <border>
      <left style="thin"/>
      <right style="medium"/>
      <top style="medium"/>
      <bottom style="medium"/>
    </border>
    <border>
      <left style="thin"/>
      <right style="medium"/>
      <top/>
      <bottom style="medium"/>
    </border>
    <border>
      <left style="thin"/>
      <right style="medium"/>
      <top/>
      <bottom/>
    </border>
    <border>
      <left style="thin"/>
      <right style="medium"/>
      <top style="thin"/>
      <bottom/>
    </border>
    <border>
      <left style="thin"/>
      <right style="medium"/>
      <top style="medium"/>
      <bottom/>
    </border>
    <border>
      <left style="medium"/>
      <right style="thin"/>
      <top style="thin"/>
      <bottom/>
    </border>
    <border>
      <left style="medium"/>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right style="thin"/>
      <top style="thin"/>
      <bottom style="medium"/>
    </border>
    <border>
      <left style="medium"/>
      <right style="thin"/>
      <top/>
      <bottom/>
    </border>
    <border>
      <left style="medium"/>
      <right style="thin"/>
      <top style="medium"/>
      <bottom style="mediu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right style="thick"/>
      <top style="medium"/>
      <bottom/>
    </border>
    <border>
      <left/>
      <right style="thick"/>
      <top/>
      <bottom/>
    </border>
    <border>
      <left/>
      <right style="thick"/>
      <top/>
      <bottom style="medium"/>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0" borderId="2" applyNumberFormat="0" applyFill="0" applyAlignment="0" applyProtection="0"/>
    <xf numFmtId="0" fontId="76" fillId="27" borderId="1" applyNumberFormat="0" applyAlignment="0" applyProtection="0"/>
    <xf numFmtId="0" fontId="77" fillId="28"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7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874">
    <xf numFmtId="0" fontId="0" fillId="0" borderId="0" xfId="0" applyFont="1" applyAlignment="1">
      <alignment/>
    </xf>
    <xf numFmtId="0" fontId="88" fillId="0" borderId="0" xfId="0" applyFont="1" applyAlignment="1">
      <alignment vertical="center" wrapText="1"/>
    </xf>
    <xf numFmtId="0" fontId="89" fillId="0" borderId="0" xfId="0" applyFont="1" applyAlignment="1">
      <alignment vertical="center" wrapText="1"/>
    </xf>
    <xf numFmtId="0" fontId="89" fillId="0" borderId="0" xfId="0" applyFont="1" applyAlignment="1" applyProtection="1">
      <alignment vertical="center" wrapText="1"/>
      <protection locked="0"/>
    </xf>
    <xf numFmtId="0" fontId="88" fillId="0" borderId="0" xfId="0" applyFont="1" applyAlignment="1" applyProtection="1">
      <alignment vertical="center" wrapText="1"/>
      <protection locked="0"/>
    </xf>
    <xf numFmtId="0" fontId="88" fillId="0" borderId="0" xfId="0" applyFont="1" applyAlignment="1">
      <alignment vertical="center" wrapText="1"/>
    </xf>
    <xf numFmtId="0" fontId="89" fillId="33" borderId="0" xfId="0" applyFont="1" applyFill="1" applyAlignment="1">
      <alignment vertical="center" wrapText="1"/>
    </xf>
    <xf numFmtId="170" fontId="89" fillId="0" borderId="0" xfId="0" applyNumberFormat="1" applyFont="1" applyAlignment="1">
      <alignment vertical="center" wrapText="1"/>
    </xf>
    <xf numFmtId="9" fontId="89" fillId="34" borderId="10" xfId="50" applyFont="1" applyFill="1" applyBorder="1" applyAlignment="1">
      <alignment vertical="center" wrapText="1"/>
    </xf>
    <xf numFmtId="0" fontId="89" fillId="34" borderId="11" xfId="0" applyFont="1" applyFill="1" applyBorder="1" applyAlignment="1">
      <alignment vertical="center" wrapText="1"/>
    </xf>
    <xf numFmtId="9" fontId="89" fillId="34" borderId="12" xfId="50" applyFont="1" applyFill="1" applyBorder="1" applyAlignment="1">
      <alignment vertical="center" wrapText="1"/>
    </xf>
    <xf numFmtId="170" fontId="88" fillId="33" borderId="0" xfId="46" applyFont="1" applyFill="1" applyBorder="1" applyAlignment="1" applyProtection="1">
      <alignment horizontal="center" vertical="center" wrapText="1"/>
      <protection locked="0"/>
    </xf>
    <xf numFmtId="0" fontId="88" fillId="33" borderId="0" xfId="0" applyFont="1" applyFill="1" applyAlignment="1" applyProtection="1">
      <alignment vertical="center" wrapText="1"/>
      <protection locked="0"/>
    </xf>
    <xf numFmtId="0" fontId="88" fillId="33" borderId="0" xfId="0" applyFont="1" applyFill="1" applyAlignment="1" applyProtection="1">
      <alignment horizontal="left" vertical="top" wrapText="1"/>
      <protection locked="0"/>
    </xf>
    <xf numFmtId="0" fontId="89" fillId="33" borderId="0" xfId="0" applyFont="1" applyFill="1" applyAlignment="1" applyProtection="1">
      <alignment vertical="center" wrapText="1"/>
      <protection locked="0"/>
    </xf>
    <xf numFmtId="0" fontId="88" fillId="33" borderId="13" xfId="0" applyFont="1" applyFill="1" applyBorder="1" applyAlignment="1" applyProtection="1">
      <alignment vertical="center" wrapText="1"/>
      <protection locked="0"/>
    </xf>
    <xf numFmtId="0" fontId="88" fillId="0" borderId="13" xfId="0" applyFont="1" applyBorder="1" applyAlignment="1" applyProtection="1">
      <alignment horizontal="left" vertical="top" wrapText="1"/>
      <protection locked="0"/>
    </xf>
    <xf numFmtId="170" fontId="88" fillId="0" borderId="13" xfId="46" applyFont="1" applyBorder="1" applyAlignment="1" applyProtection="1">
      <alignment horizontal="center" vertical="center" wrapText="1"/>
      <protection locked="0"/>
    </xf>
    <xf numFmtId="170" fontId="88" fillId="33" borderId="13" xfId="46" applyFont="1" applyFill="1" applyBorder="1" applyAlignment="1" applyProtection="1">
      <alignment horizontal="center" vertical="center" wrapText="1"/>
      <protection locked="0"/>
    </xf>
    <xf numFmtId="170" fontId="89" fillId="34" borderId="13" xfId="46" applyFont="1" applyFill="1" applyBorder="1" applyAlignment="1" applyProtection="1">
      <alignment horizontal="center" vertical="center" wrapText="1"/>
      <protection/>
    </xf>
    <xf numFmtId="0" fontId="89" fillId="34" borderId="14" xfId="0" applyFont="1" applyFill="1" applyBorder="1" applyAlignment="1">
      <alignment vertical="center" wrapText="1"/>
    </xf>
    <xf numFmtId="170" fontId="89" fillId="33" borderId="0" xfId="46" applyFont="1" applyFill="1" applyBorder="1" applyAlignment="1" applyProtection="1">
      <alignment vertical="center" wrapText="1"/>
      <protection/>
    </xf>
    <xf numFmtId="170" fontId="89" fillId="34" borderId="15" xfId="46" applyFont="1" applyFill="1" applyBorder="1" applyAlignment="1" applyProtection="1">
      <alignment horizontal="center" vertical="center" wrapText="1"/>
      <protection/>
    </xf>
    <xf numFmtId="170" fontId="88" fillId="33" borderId="0" xfId="46" applyFont="1" applyFill="1" applyBorder="1" applyAlignment="1" applyProtection="1">
      <alignment vertical="center" wrapText="1"/>
      <protection locked="0"/>
    </xf>
    <xf numFmtId="0" fontId="88" fillId="33" borderId="0" xfId="0" applyFont="1" applyFill="1" applyAlignment="1">
      <alignment vertical="center" wrapText="1"/>
    </xf>
    <xf numFmtId="170" fontId="89" fillId="34" borderId="13" xfId="46" applyFont="1" applyFill="1" applyBorder="1" applyAlignment="1">
      <alignment vertical="center" wrapText="1"/>
    </xf>
    <xf numFmtId="0" fontId="89" fillId="34" borderId="13" xfId="0" applyFont="1" applyFill="1" applyBorder="1" applyAlignment="1">
      <alignment horizontal="center" vertical="center" wrapText="1"/>
    </xf>
    <xf numFmtId="0" fontId="89" fillId="34" borderId="14" xfId="0" applyFont="1" applyFill="1" applyBorder="1" applyAlignment="1">
      <alignment vertical="center" wrapText="1"/>
    </xf>
    <xf numFmtId="0" fontId="89" fillId="34" borderId="14" xfId="0" applyFont="1" applyFill="1" applyBorder="1" applyAlignment="1">
      <alignment horizontal="center" vertical="center" wrapText="1"/>
    </xf>
    <xf numFmtId="0" fontId="89" fillId="34" borderId="10" xfId="0" applyFont="1" applyFill="1" applyBorder="1" applyAlignment="1">
      <alignment horizontal="center" vertical="center" wrapText="1"/>
    </xf>
    <xf numFmtId="170" fontId="89" fillId="34" borderId="16" xfId="46" applyFont="1" applyFill="1" applyBorder="1" applyAlignment="1">
      <alignment vertical="center" wrapText="1"/>
    </xf>
    <xf numFmtId="170" fontId="88" fillId="0" borderId="13" xfId="46" applyFont="1" applyBorder="1" applyAlignment="1" applyProtection="1">
      <alignment vertical="center" wrapText="1"/>
      <protection locked="0"/>
    </xf>
    <xf numFmtId="0" fontId="89" fillId="34" borderId="11" xfId="0" applyFont="1" applyFill="1" applyBorder="1" applyAlignment="1">
      <alignment vertical="center" wrapText="1"/>
    </xf>
    <xf numFmtId="0" fontId="89" fillId="34" borderId="14" xfId="0" applyFont="1" applyFill="1" applyBorder="1" applyAlignment="1" applyProtection="1">
      <alignment vertical="center" wrapText="1"/>
      <protection locked="0"/>
    </xf>
    <xf numFmtId="170" fontId="89" fillId="33" borderId="0" xfId="0" applyNumberFormat="1" applyFont="1" applyFill="1" applyAlignment="1">
      <alignment vertical="center" wrapText="1"/>
    </xf>
    <xf numFmtId="0" fontId="0" fillId="33" borderId="0" xfId="0" applyFill="1" applyAlignment="1">
      <alignment horizontal="center" vertical="center" wrapText="1"/>
    </xf>
    <xf numFmtId="0" fontId="89" fillId="34" borderId="17" xfId="0" applyFont="1" applyFill="1" applyBorder="1" applyAlignment="1">
      <alignment horizontal="center" vertical="center" wrapText="1"/>
    </xf>
    <xf numFmtId="0" fontId="90" fillId="0" borderId="0" xfId="0" applyFont="1" applyAlignment="1">
      <alignment wrapText="1"/>
    </xf>
    <xf numFmtId="0" fontId="91" fillId="0" borderId="0" xfId="0" applyFont="1" applyAlignment="1">
      <alignment wrapText="1"/>
    </xf>
    <xf numFmtId="0" fontId="0" fillId="0" borderId="0" xfId="0" applyAlignment="1">
      <alignment wrapText="1"/>
    </xf>
    <xf numFmtId="0" fontId="0" fillId="33" borderId="0" xfId="0" applyFill="1" applyAlignment="1">
      <alignment wrapText="1"/>
    </xf>
    <xf numFmtId="0" fontId="89" fillId="0" borderId="0" xfId="0" applyFont="1" applyAlignment="1">
      <alignment wrapText="1"/>
    </xf>
    <xf numFmtId="0" fontId="86" fillId="0" borderId="0" xfId="0" applyFont="1" applyAlignment="1">
      <alignment wrapText="1"/>
    </xf>
    <xf numFmtId="9" fontId="89" fillId="33" borderId="0" xfId="50" applyFont="1" applyFill="1" applyBorder="1" applyAlignment="1">
      <alignment wrapText="1"/>
    </xf>
    <xf numFmtId="0" fontId="86" fillId="33" borderId="0" xfId="0" applyFont="1" applyFill="1" applyAlignment="1">
      <alignment horizontal="center" vertical="center" wrapText="1"/>
    </xf>
    <xf numFmtId="170" fontId="89" fillId="33" borderId="0" xfId="50" applyNumberFormat="1" applyFont="1" applyFill="1" applyBorder="1" applyAlignment="1">
      <alignment wrapText="1"/>
    </xf>
    <xf numFmtId="0" fontId="88" fillId="34" borderId="13" xfId="0" applyFont="1" applyFill="1" applyBorder="1" applyAlignment="1">
      <alignment horizontal="center" vertical="center" wrapText="1"/>
    </xf>
    <xf numFmtId="0" fontId="89" fillId="33" borderId="0" xfId="0" applyFont="1" applyFill="1" applyAlignment="1">
      <alignment horizontal="left" wrapText="1"/>
    </xf>
    <xf numFmtId="0" fontId="88" fillId="34" borderId="13" xfId="0" applyFont="1" applyFill="1" applyBorder="1" applyAlignment="1">
      <alignment vertical="center" wrapText="1"/>
    </xf>
    <xf numFmtId="0" fontId="88" fillId="34" borderId="13" xfId="0" applyFont="1" applyFill="1" applyBorder="1" applyAlignment="1" applyProtection="1">
      <alignment vertical="center" wrapText="1"/>
      <protection locked="0"/>
    </xf>
    <xf numFmtId="0" fontId="88" fillId="0" borderId="0" xfId="0" applyFont="1" applyAlignment="1">
      <alignment wrapText="1"/>
    </xf>
    <xf numFmtId="170" fontId="89" fillId="34" borderId="13" xfId="0" applyNumberFormat="1" applyFont="1" applyFill="1" applyBorder="1" applyAlignment="1">
      <alignment horizontal="center" wrapText="1"/>
    </xf>
    <xf numFmtId="0" fontId="88" fillId="33" borderId="0" xfId="0" applyFont="1" applyFill="1" applyAlignment="1">
      <alignment wrapText="1"/>
    </xf>
    <xf numFmtId="170" fontId="89" fillId="35" borderId="13" xfId="46" applyFont="1" applyFill="1" applyBorder="1" applyAlignment="1" applyProtection="1">
      <alignment wrapText="1"/>
      <protection/>
    </xf>
    <xf numFmtId="170" fontId="89" fillId="0" borderId="0" xfId="0" applyNumberFormat="1" applyFont="1" applyAlignment="1">
      <alignment wrapText="1"/>
    </xf>
    <xf numFmtId="170" fontId="88" fillId="0" borderId="0" xfId="46" applyFont="1" applyFill="1" applyBorder="1" applyAlignment="1">
      <alignment horizontal="right" vertical="center" wrapText="1"/>
    </xf>
    <xf numFmtId="0" fontId="89" fillId="34" borderId="18" xfId="0" applyFont="1" applyFill="1" applyBorder="1" applyAlignment="1">
      <alignment horizontal="center" wrapText="1"/>
    </xf>
    <xf numFmtId="170" fontId="89" fillId="34" borderId="13" xfId="0" applyNumberFormat="1" applyFont="1" applyFill="1" applyBorder="1" applyAlignment="1">
      <alignment wrapText="1"/>
    </xf>
    <xf numFmtId="0" fontId="88" fillId="34" borderId="18" xfId="0" applyFont="1" applyFill="1" applyBorder="1" applyAlignment="1">
      <alignment vertical="center" wrapText="1"/>
    </xf>
    <xf numFmtId="0" fontId="89" fillId="34" borderId="16" xfId="0" applyFont="1" applyFill="1" applyBorder="1" applyAlignment="1">
      <alignment horizontal="left" wrapText="1"/>
    </xf>
    <xf numFmtId="170" fontId="89" fillId="34" borderId="16" xfId="0" applyNumberFormat="1" applyFont="1" applyFill="1" applyBorder="1" applyAlignment="1">
      <alignment horizontal="center" wrapText="1"/>
    </xf>
    <xf numFmtId="170" fontId="89" fillId="34" borderId="16" xfId="0" applyNumberFormat="1" applyFont="1" applyFill="1" applyBorder="1" applyAlignment="1">
      <alignment wrapText="1"/>
    </xf>
    <xf numFmtId="170" fontId="89" fillId="35" borderId="13" xfId="46" applyFont="1" applyFill="1" applyBorder="1" applyAlignment="1">
      <alignment wrapText="1"/>
    </xf>
    <xf numFmtId="170" fontId="89" fillId="33" borderId="17" xfId="46" applyFont="1" applyFill="1" applyBorder="1" applyAlignment="1" applyProtection="1">
      <alignment wrapText="1"/>
      <protection/>
    </xf>
    <xf numFmtId="170" fontId="89" fillId="33" borderId="19" xfId="46" applyFont="1" applyFill="1" applyBorder="1" applyAlignment="1">
      <alignment wrapText="1"/>
    </xf>
    <xf numFmtId="170" fontId="89" fillId="33" borderId="20" xfId="0" applyNumberFormat="1" applyFont="1" applyFill="1" applyBorder="1" applyAlignment="1">
      <alignment wrapText="1"/>
    </xf>
    <xf numFmtId="170" fontId="89" fillId="33" borderId="19" xfId="46" applyFont="1" applyFill="1" applyBorder="1" applyAlignment="1" applyProtection="1">
      <alignment wrapText="1"/>
      <protection/>
    </xf>
    <xf numFmtId="0" fontId="88" fillId="33" borderId="19" xfId="0" applyFont="1" applyFill="1" applyBorder="1" applyAlignment="1" applyProtection="1">
      <alignment vertical="center" wrapText="1"/>
      <protection locked="0"/>
    </xf>
    <xf numFmtId="170" fontId="89" fillId="34" borderId="21" xfId="0" applyNumberFormat="1" applyFont="1" applyFill="1" applyBorder="1" applyAlignment="1">
      <alignment wrapText="1"/>
    </xf>
    <xf numFmtId="0" fontId="89" fillId="34" borderId="22" xfId="0" applyFont="1" applyFill="1" applyBorder="1" applyAlignment="1">
      <alignment horizontal="center" wrapText="1"/>
    </xf>
    <xf numFmtId="170" fontId="88" fillId="34" borderId="18" xfId="0" applyNumberFormat="1" applyFont="1" applyFill="1" applyBorder="1" applyAlignment="1">
      <alignment wrapText="1"/>
    </xf>
    <xf numFmtId="170" fontId="89" fillId="34" borderId="23" xfId="46" applyFont="1" applyFill="1" applyBorder="1" applyAlignment="1">
      <alignment wrapText="1"/>
    </xf>
    <xf numFmtId="170" fontId="88" fillId="34" borderId="16" xfId="0" applyNumberFormat="1" applyFont="1" applyFill="1" applyBorder="1" applyAlignment="1">
      <alignment wrapText="1"/>
    </xf>
    <xf numFmtId="0" fontId="88" fillId="0" borderId="0" xfId="0" applyFont="1" applyAlignment="1">
      <alignment/>
    </xf>
    <xf numFmtId="0" fontId="92" fillId="0" borderId="0" xfId="0" applyFont="1" applyAlignment="1">
      <alignment/>
    </xf>
    <xf numFmtId="49" fontId="0" fillId="0" borderId="0" xfId="0" applyNumberFormat="1" applyAlignment="1">
      <alignment/>
    </xf>
    <xf numFmtId="0" fontId="92" fillId="0" borderId="0" xfId="0" applyFont="1" applyAlignment="1">
      <alignment vertical="center"/>
    </xf>
    <xf numFmtId="49" fontId="39" fillId="0" borderId="0" xfId="0" applyNumberFormat="1" applyFont="1" applyAlignment="1">
      <alignment horizontal="left"/>
    </xf>
    <xf numFmtId="49" fontId="39" fillId="0" borderId="0" xfId="0" applyNumberFormat="1" applyFont="1" applyAlignment="1">
      <alignment horizontal="left" wrapText="1"/>
    </xf>
    <xf numFmtId="0" fontId="86" fillId="34" borderId="24" xfId="0" applyFont="1" applyFill="1" applyBorder="1" applyAlignment="1">
      <alignment/>
    </xf>
    <xf numFmtId="0" fontId="86" fillId="34" borderId="14" xfId="0" applyFont="1" applyFill="1" applyBorder="1" applyAlignment="1">
      <alignment/>
    </xf>
    <xf numFmtId="0" fontId="86" fillId="34" borderId="13" xfId="0" applyFont="1" applyFill="1" applyBorder="1" applyAlignment="1">
      <alignment/>
    </xf>
    <xf numFmtId="0" fontId="86" fillId="34" borderId="10" xfId="0" applyFont="1" applyFill="1" applyBorder="1" applyAlignment="1">
      <alignment/>
    </xf>
    <xf numFmtId="0" fontId="0" fillId="34" borderId="14" xfId="0" applyFill="1" applyBorder="1" applyAlignment="1">
      <alignment vertical="center" wrapText="1"/>
    </xf>
    <xf numFmtId="9" fontId="0" fillId="34" borderId="13" xfId="50" applyFont="1" applyFill="1" applyBorder="1" applyAlignment="1">
      <alignment vertical="center"/>
    </xf>
    <xf numFmtId="170" fontId="0" fillId="34" borderId="10" xfId="0" applyNumberFormat="1" applyFill="1" applyBorder="1" applyAlignment="1">
      <alignment vertical="center"/>
    </xf>
    <xf numFmtId="0" fontId="0" fillId="34" borderId="14" xfId="0" applyFill="1" applyBorder="1" applyAlignment="1">
      <alignment wrapText="1"/>
    </xf>
    <xf numFmtId="0" fontId="0" fillId="34" borderId="14" xfId="0" applyFill="1" applyBorder="1" applyAlignment="1">
      <alignment/>
    </xf>
    <xf numFmtId="0" fontId="0" fillId="34" borderId="11" xfId="0" applyFill="1" applyBorder="1" applyAlignment="1">
      <alignment/>
    </xf>
    <xf numFmtId="170" fontId="0" fillId="34" borderId="12" xfId="0" applyNumberFormat="1" applyFill="1" applyBorder="1" applyAlignment="1">
      <alignment vertical="center"/>
    </xf>
    <xf numFmtId="170" fontId="88" fillId="0" borderId="18" xfId="0" applyNumberFormat="1" applyFont="1" applyBorder="1" applyAlignment="1" applyProtection="1">
      <alignment wrapText="1"/>
      <protection locked="0"/>
    </xf>
    <xf numFmtId="170" fontId="88" fillId="33" borderId="18" xfId="46" applyFont="1" applyFill="1" applyBorder="1" applyAlignment="1" applyProtection="1">
      <alignment horizontal="center" vertical="center" wrapText="1"/>
      <protection locked="0"/>
    </xf>
    <xf numFmtId="170" fontId="88" fillId="0" borderId="13" xfId="0" applyNumberFormat="1" applyFont="1" applyBorder="1" applyAlignment="1" applyProtection="1">
      <alignment wrapText="1"/>
      <protection locked="0"/>
    </xf>
    <xf numFmtId="0" fontId="89" fillId="36" borderId="13" xfId="0" applyFont="1" applyFill="1" applyBorder="1" applyAlignment="1">
      <alignment vertical="center" wrapText="1"/>
    </xf>
    <xf numFmtId="0" fontId="88" fillId="36" borderId="13" xfId="0" applyFont="1" applyFill="1" applyBorder="1" applyAlignment="1">
      <alignment vertical="center" wrapText="1"/>
    </xf>
    <xf numFmtId="0" fontId="89" fillId="34" borderId="13" xfId="0" applyFont="1" applyFill="1" applyBorder="1" applyAlignment="1">
      <alignment vertical="center" wrapText="1"/>
    </xf>
    <xf numFmtId="0" fontId="89" fillId="33" borderId="13" xfId="0" applyFont="1" applyFill="1" applyBorder="1" applyAlignment="1">
      <alignment vertical="center" wrapText="1"/>
    </xf>
    <xf numFmtId="0" fontId="86" fillId="34" borderId="14" xfId="0" applyFont="1" applyFill="1" applyBorder="1" applyAlignment="1">
      <alignment horizontal="left" vertical="center" wrapText="1"/>
    </xf>
    <xf numFmtId="9" fontId="89" fillId="34" borderId="10" xfId="50" applyFont="1" applyFill="1" applyBorder="1" applyAlignment="1" applyProtection="1">
      <alignment wrapText="1"/>
      <protection/>
    </xf>
    <xf numFmtId="0" fontId="89" fillId="34" borderId="13" xfId="46" applyNumberFormat="1" applyFont="1" applyFill="1" applyBorder="1" applyAlignment="1" applyProtection="1">
      <alignment horizontal="center" vertical="center" wrapText="1"/>
      <protection/>
    </xf>
    <xf numFmtId="0" fontId="0" fillId="34" borderId="14" xfId="0" applyFill="1" applyBorder="1" applyAlignment="1">
      <alignment vertical="top" wrapText="1"/>
    </xf>
    <xf numFmtId="0" fontId="0" fillId="34" borderId="14" xfId="0" applyFill="1" applyBorder="1" applyAlignment="1">
      <alignment vertical="top"/>
    </xf>
    <xf numFmtId="0" fontId="0" fillId="34" borderId="11" xfId="0" applyFill="1" applyBorder="1" applyAlignment="1">
      <alignment vertical="top"/>
    </xf>
    <xf numFmtId="49" fontId="88" fillId="0" borderId="13" xfId="46" applyNumberFormat="1" applyFont="1" applyBorder="1" applyAlignment="1" applyProtection="1">
      <alignment horizontal="left" wrapText="1"/>
      <protection locked="0"/>
    </xf>
    <xf numFmtId="49" fontId="88" fillId="33" borderId="13" xfId="46" applyNumberFormat="1" applyFont="1" applyFill="1" applyBorder="1" applyAlignment="1" applyProtection="1">
      <alignment horizontal="left" wrapText="1"/>
      <protection locked="0"/>
    </xf>
    <xf numFmtId="0" fontId="93" fillId="6" borderId="25" xfId="0" applyFont="1" applyFill="1" applyBorder="1" applyAlignment="1">
      <alignment wrapText="1"/>
    </xf>
    <xf numFmtId="170" fontId="88" fillId="34" borderId="13" xfId="46" applyFont="1" applyFill="1" applyBorder="1" applyAlignment="1" applyProtection="1">
      <alignment vertical="center" wrapText="1"/>
      <protection/>
    </xf>
    <xf numFmtId="0" fontId="88" fillId="34" borderId="14" xfId="0" applyFont="1" applyFill="1" applyBorder="1" applyAlignment="1">
      <alignment vertical="center" wrapText="1"/>
    </xf>
    <xf numFmtId="49" fontId="88" fillId="0" borderId="13" xfId="0" applyNumberFormat="1" applyFont="1" applyBorder="1" applyAlignment="1" applyProtection="1">
      <alignment horizontal="left" wrapText="1"/>
      <protection locked="0"/>
    </xf>
    <xf numFmtId="0" fontId="88" fillId="33" borderId="20" xfId="0" applyFont="1" applyFill="1" applyBorder="1" applyAlignment="1" applyProtection="1">
      <alignment vertical="center" wrapText="1"/>
      <protection locked="0"/>
    </xf>
    <xf numFmtId="0" fontId="89" fillId="34" borderId="18" xfId="0" applyFont="1" applyFill="1" applyBorder="1" applyAlignment="1">
      <alignment vertical="center" wrapText="1"/>
    </xf>
    <xf numFmtId="0" fontId="89" fillId="35" borderId="13" xfId="0" applyFont="1" applyFill="1" applyBorder="1" applyAlignment="1" applyProtection="1">
      <alignment vertical="center" wrapText="1"/>
      <protection locked="0"/>
    </xf>
    <xf numFmtId="9" fontId="88" fillId="0" borderId="13" xfId="50" applyFont="1" applyBorder="1" applyAlignment="1" applyProtection="1">
      <alignment horizontal="center" vertical="center" wrapText="1"/>
      <protection locked="0"/>
    </xf>
    <xf numFmtId="9" fontId="88" fillId="33" borderId="13" xfId="50" applyFont="1" applyFill="1" applyBorder="1" applyAlignment="1" applyProtection="1">
      <alignment horizontal="center" vertical="center" wrapText="1"/>
      <protection locked="0"/>
    </xf>
    <xf numFmtId="9" fontId="88" fillId="0" borderId="13" xfId="50" applyFont="1" applyBorder="1" applyAlignment="1" applyProtection="1">
      <alignment vertical="center" wrapText="1"/>
      <protection locked="0"/>
    </xf>
    <xf numFmtId="170" fontId="88" fillId="34" borderId="13" xfId="46" applyFont="1" applyFill="1" applyBorder="1" applyAlignment="1" applyProtection="1">
      <alignment horizontal="center" vertical="center" wrapText="1"/>
      <protection/>
    </xf>
    <xf numFmtId="170" fontId="89" fillId="35" borderId="13" xfId="46" applyFont="1" applyFill="1" applyBorder="1" applyAlignment="1" applyProtection="1">
      <alignment vertical="center" wrapText="1"/>
      <protection/>
    </xf>
    <xf numFmtId="170" fontId="89" fillId="34" borderId="17" xfId="0" applyNumberFormat="1" applyFont="1" applyFill="1" applyBorder="1" applyAlignment="1">
      <alignment wrapText="1"/>
    </xf>
    <xf numFmtId="170" fontId="89" fillId="33" borderId="19" xfId="0" applyNumberFormat="1" applyFont="1" applyFill="1" applyBorder="1" applyAlignment="1">
      <alignment wrapText="1"/>
    </xf>
    <xf numFmtId="170" fontId="88" fillId="34" borderId="13" xfId="0" applyNumberFormat="1" applyFont="1" applyFill="1" applyBorder="1" applyAlignment="1">
      <alignment wrapText="1"/>
    </xf>
    <xf numFmtId="170" fontId="88" fillId="34" borderId="13" xfId="46" applyFont="1" applyFill="1" applyBorder="1" applyAlignment="1">
      <alignment wrapText="1"/>
    </xf>
    <xf numFmtId="0" fontId="89" fillId="34" borderId="26" xfId="0" applyFont="1" applyFill="1" applyBorder="1" applyAlignment="1">
      <alignment wrapText="1"/>
    </xf>
    <xf numFmtId="170" fontId="89" fillId="34" borderId="23" xfId="0" applyNumberFormat="1" applyFont="1" applyFill="1" applyBorder="1" applyAlignment="1">
      <alignment wrapText="1"/>
    </xf>
    <xf numFmtId="9" fontId="0" fillId="0" borderId="0" xfId="50" applyFont="1" applyAlignment="1">
      <alignment/>
    </xf>
    <xf numFmtId="170" fontId="89" fillId="35" borderId="15" xfId="46" applyFont="1" applyFill="1" applyBorder="1" applyAlignment="1" applyProtection="1">
      <alignment wrapText="1"/>
      <protection/>
    </xf>
    <xf numFmtId="170" fontId="89" fillId="35" borderId="15" xfId="46" applyFont="1" applyFill="1" applyBorder="1" applyAlignment="1">
      <alignment wrapText="1"/>
    </xf>
    <xf numFmtId="170" fontId="89" fillId="34" borderId="15" xfId="0" applyNumberFormat="1" applyFont="1" applyFill="1" applyBorder="1" applyAlignment="1">
      <alignment wrapText="1"/>
    </xf>
    <xf numFmtId="0" fontId="88" fillId="0" borderId="17" xfId="0" applyFont="1" applyBorder="1" applyAlignment="1">
      <alignment wrapText="1"/>
    </xf>
    <xf numFmtId="0" fontId="88" fillId="33" borderId="19" xfId="0" applyFont="1" applyFill="1" applyBorder="1" applyAlignment="1">
      <alignment wrapText="1"/>
    </xf>
    <xf numFmtId="0" fontId="88" fillId="0" borderId="20" xfId="0" applyFont="1" applyBorder="1" applyAlignment="1">
      <alignment wrapText="1"/>
    </xf>
    <xf numFmtId="0" fontId="94" fillId="0" borderId="0" xfId="0" applyFont="1" applyAlignment="1">
      <alignment wrapText="1"/>
    </xf>
    <xf numFmtId="0" fontId="93" fillId="6" borderId="27" xfId="0" applyFont="1" applyFill="1" applyBorder="1" applyAlignment="1">
      <alignment wrapText="1"/>
    </xf>
    <xf numFmtId="0" fontId="93" fillId="6" borderId="28" xfId="0" applyFont="1" applyFill="1" applyBorder="1" applyAlignment="1">
      <alignment wrapText="1"/>
    </xf>
    <xf numFmtId="0" fontId="89" fillId="34" borderId="29" xfId="0" applyFont="1" applyFill="1" applyBorder="1" applyAlignment="1">
      <alignment vertical="center" wrapText="1"/>
    </xf>
    <xf numFmtId="0" fontId="89" fillId="34" borderId="30" xfId="0" applyFont="1" applyFill="1" applyBorder="1" applyAlignment="1">
      <alignment vertical="center" wrapText="1"/>
    </xf>
    <xf numFmtId="0" fontId="89" fillId="34" borderId="30" xfId="0" applyFont="1" applyFill="1" applyBorder="1" applyAlignment="1" applyProtection="1">
      <alignment vertical="center" wrapText="1"/>
      <protection locked="0"/>
    </xf>
    <xf numFmtId="0" fontId="89" fillId="34" borderId="24" xfId="0" applyFont="1" applyFill="1" applyBorder="1" applyAlignment="1">
      <alignment horizontal="center" wrapText="1"/>
    </xf>
    <xf numFmtId="0" fontId="86" fillId="34" borderId="31" xfId="0" applyFont="1" applyFill="1" applyBorder="1" applyAlignment="1">
      <alignment wrapText="1"/>
    </xf>
    <xf numFmtId="0" fontId="0" fillId="34" borderId="31" xfId="0" applyFill="1" applyBorder="1" applyAlignment="1">
      <alignment wrapText="1"/>
    </xf>
    <xf numFmtId="0" fontId="86" fillId="34" borderId="32" xfId="0" applyFont="1" applyFill="1" applyBorder="1" applyAlignment="1">
      <alignment wrapText="1"/>
    </xf>
    <xf numFmtId="0" fontId="86" fillId="34" borderId="33" xfId="0" applyFont="1" applyFill="1" applyBorder="1" applyAlignment="1">
      <alignment horizontal="center" vertical="center"/>
    </xf>
    <xf numFmtId="0" fontId="86" fillId="34" borderId="31" xfId="0" applyFont="1" applyFill="1" applyBorder="1" applyAlignment="1">
      <alignment vertical="center" wrapText="1"/>
    </xf>
    <xf numFmtId="0" fontId="95" fillId="0" borderId="0" xfId="0" applyFont="1" applyAlignment="1">
      <alignment horizontal="left" vertical="top" wrapText="1"/>
    </xf>
    <xf numFmtId="0" fontId="96" fillId="6" borderId="0" xfId="0" applyFont="1" applyFill="1" applyAlignment="1">
      <alignment horizontal="left" wrapText="1"/>
    </xf>
    <xf numFmtId="0" fontId="88" fillId="0" borderId="13" xfId="0" applyFont="1" applyBorder="1" applyAlignment="1">
      <alignment horizontal="left" wrapText="1"/>
    </xf>
    <xf numFmtId="0" fontId="88" fillId="0" borderId="13" xfId="0" applyFont="1" applyBorder="1" applyAlignment="1">
      <alignment horizontal="left" vertical="top" wrapText="1"/>
    </xf>
    <xf numFmtId="0" fontId="89" fillId="6" borderId="13" xfId="0" applyFont="1" applyFill="1" applyBorder="1" applyAlignment="1" applyProtection="1">
      <alignment horizontal="center" vertical="center" wrapText="1"/>
      <protection locked="0"/>
    </xf>
    <xf numFmtId="170" fontId="89" fillId="33" borderId="0" xfId="50" applyNumberFormat="1" applyFont="1" applyFill="1" applyBorder="1" applyAlignment="1">
      <alignment vertical="center" wrapText="1"/>
    </xf>
    <xf numFmtId="170" fontId="89" fillId="34" borderId="26" xfId="46" applyFont="1" applyFill="1" applyBorder="1" applyAlignment="1" applyProtection="1">
      <alignment wrapText="1"/>
      <protection/>
    </xf>
    <xf numFmtId="170" fontId="88" fillId="34" borderId="26" xfId="46" applyFont="1" applyFill="1" applyBorder="1" applyAlignment="1" applyProtection="1">
      <alignment wrapText="1"/>
      <protection/>
    </xf>
    <xf numFmtId="170" fontId="88" fillId="34" borderId="23" xfId="46" applyFont="1" applyFill="1" applyBorder="1" applyAlignment="1">
      <alignment wrapText="1"/>
    </xf>
    <xf numFmtId="0" fontId="9" fillId="8" borderId="13" xfId="0" applyFont="1" applyFill="1" applyBorder="1" applyAlignment="1">
      <alignment horizontal="center" vertical="center" wrapText="1"/>
    </xf>
    <xf numFmtId="172" fontId="9" fillId="8" borderId="13" xfId="44" applyNumberFormat="1" applyFont="1" applyFill="1" applyBorder="1" applyAlignment="1">
      <alignment horizontal="center" vertical="center" wrapText="1"/>
    </xf>
    <xf numFmtId="0" fontId="86" fillId="0" borderId="13" xfId="0" applyFont="1" applyBorder="1" applyAlignment="1">
      <alignment horizontal="center" vertical="center"/>
    </xf>
    <xf numFmtId="0" fontId="0" fillId="0" borderId="0" xfId="0" applyAlignment="1">
      <alignment horizontal="center"/>
    </xf>
    <xf numFmtId="0" fontId="97" fillId="37" borderId="13" xfId="0" applyFont="1" applyFill="1" applyBorder="1" applyAlignment="1">
      <alignment horizontal="center" vertical="center" wrapText="1"/>
    </xf>
    <xf numFmtId="0" fontId="97" fillId="37" borderId="13" xfId="0" applyFont="1" applyFill="1" applyBorder="1" applyAlignment="1">
      <alignment vertical="center" wrapText="1"/>
    </xf>
    <xf numFmtId="172" fontId="97" fillId="37" borderId="13" xfId="44" applyNumberFormat="1" applyFont="1" applyFill="1" applyBorder="1" applyAlignment="1">
      <alignment vertical="center" wrapText="1"/>
    </xf>
    <xf numFmtId="0" fontId="97" fillId="13" borderId="13" xfId="0" applyFont="1" applyFill="1" applyBorder="1" applyAlignment="1">
      <alignment horizontal="center" vertical="center" wrapText="1"/>
    </xf>
    <xf numFmtId="0" fontId="98" fillId="13" borderId="13" xfId="0" applyFont="1" applyFill="1" applyBorder="1" applyAlignment="1">
      <alignment horizontal="center" vertical="center" wrapText="1"/>
    </xf>
    <xf numFmtId="0" fontId="98" fillId="13" borderId="13" xfId="0" applyFont="1" applyFill="1" applyBorder="1" applyAlignment="1">
      <alignment vertical="center" wrapText="1"/>
    </xf>
    <xf numFmtId="172" fontId="98" fillId="13" borderId="13" xfId="44" applyNumberFormat="1" applyFont="1" applyFill="1" applyBorder="1" applyAlignment="1">
      <alignment horizontal="center" vertical="center" wrapText="1"/>
    </xf>
    <xf numFmtId="172" fontId="98" fillId="13" borderId="13" xfId="44" applyNumberFormat="1" applyFont="1" applyFill="1" applyBorder="1" applyAlignment="1">
      <alignment vertical="center" wrapText="1"/>
    </xf>
    <xf numFmtId="172" fontId="99" fillId="37" borderId="13" xfId="44" applyNumberFormat="1" applyFont="1" applyFill="1" applyBorder="1" applyAlignment="1">
      <alignment/>
    </xf>
    <xf numFmtId="172" fontId="100" fillId="37" borderId="13" xfId="44" applyNumberFormat="1" applyFont="1" applyFill="1" applyBorder="1" applyAlignment="1">
      <alignment/>
    </xf>
    <xf numFmtId="0" fontId="97" fillId="0" borderId="13" xfId="0" applyFont="1" applyBorder="1" applyAlignment="1">
      <alignment horizontal="center" vertical="center" wrapText="1"/>
    </xf>
    <xf numFmtId="0" fontId="98" fillId="0" borderId="13" xfId="0" applyFont="1" applyBorder="1" applyAlignment="1">
      <alignment horizontal="center" vertical="center" wrapText="1"/>
    </xf>
    <xf numFmtId="0" fontId="98" fillId="0" borderId="13" xfId="0" applyFont="1" applyBorder="1" applyAlignment="1">
      <alignment vertical="center" wrapText="1"/>
    </xf>
    <xf numFmtId="172" fontId="98" fillId="0" borderId="13" xfId="44" applyNumberFormat="1" applyFont="1" applyFill="1" applyBorder="1" applyAlignment="1">
      <alignment horizontal="center" vertical="center" wrapText="1"/>
    </xf>
    <xf numFmtId="172" fontId="99" fillId="0" borderId="13" xfId="44" applyNumberFormat="1" applyFont="1" applyBorder="1" applyAlignment="1">
      <alignment horizontal="center"/>
    </xf>
    <xf numFmtId="172" fontId="98" fillId="0" borderId="13" xfId="44" applyNumberFormat="1" applyFont="1" applyFill="1" applyBorder="1" applyAlignment="1">
      <alignment vertical="center" wrapText="1"/>
    </xf>
    <xf numFmtId="172" fontId="0" fillId="0" borderId="0" xfId="44" applyNumberFormat="1" applyFont="1" applyAlignment="1">
      <alignment/>
    </xf>
    <xf numFmtId="172" fontId="99" fillId="13" borderId="13" xfId="44" applyNumberFormat="1" applyFont="1" applyFill="1" applyBorder="1" applyAlignment="1">
      <alignment horizontal="center"/>
    </xf>
    <xf numFmtId="0" fontId="101" fillId="0" borderId="13" xfId="0" applyFont="1" applyBorder="1" applyAlignment="1">
      <alignment horizontal="center" vertical="center" wrapText="1"/>
    </xf>
    <xf numFmtId="0" fontId="102" fillId="0" borderId="13" xfId="0" applyFont="1" applyBorder="1" applyAlignment="1">
      <alignment horizontal="center" vertical="center" wrapText="1"/>
    </xf>
    <xf numFmtId="0" fontId="102" fillId="0" borderId="13" xfId="0" applyFont="1" applyBorder="1" applyAlignment="1">
      <alignment vertical="center" wrapText="1"/>
    </xf>
    <xf numFmtId="0" fontId="102" fillId="0" borderId="13" xfId="0" applyFont="1" applyBorder="1" applyAlignment="1">
      <alignment vertical="center"/>
    </xf>
    <xf numFmtId="172" fontId="102" fillId="0" borderId="13" xfId="44" applyNumberFormat="1" applyFont="1" applyFill="1" applyBorder="1" applyAlignment="1">
      <alignment horizontal="center" vertical="center" wrapText="1"/>
    </xf>
    <xf numFmtId="172" fontId="102" fillId="0" borderId="13" xfId="44" applyNumberFormat="1" applyFont="1" applyBorder="1" applyAlignment="1">
      <alignment horizontal="center"/>
    </xf>
    <xf numFmtId="172" fontId="102" fillId="0" borderId="13" xfId="44" applyNumberFormat="1" applyFont="1" applyBorder="1" applyAlignment="1">
      <alignment horizontal="center" vertical="center"/>
    </xf>
    <xf numFmtId="0" fontId="103" fillId="0" borderId="13" xfId="0" applyFont="1" applyBorder="1" applyAlignment="1">
      <alignment horizontal="left" vertical="top" wrapText="1"/>
    </xf>
    <xf numFmtId="0" fontId="104" fillId="0" borderId="13" xfId="0" applyFont="1" applyBorder="1" applyAlignment="1">
      <alignment vertical="center" wrapText="1"/>
    </xf>
    <xf numFmtId="172" fontId="104" fillId="0" borderId="13" xfId="44" applyNumberFormat="1" applyFont="1" applyFill="1" applyBorder="1" applyAlignment="1">
      <alignment horizontal="center" vertical="center" wrapText="1"/>
    </xf>
    <xf numFmtId="172" fontId="104" fillId="0" borderId="13" xfId="44" applyNumberFormat="1" applyFont="1" applyFill="1" applyBorder="1" applyAlignment="1">
      <alignment horizontal="center" vertical="center"/>
    </xf>
    <xf numFmtId="0" fontId="103" fillId="0" borderId="13" xfId="0" applyFont="1" applyBorder="1" applyAlignment="1">
      <alignment vertical="top"/>
    </xf>
    <xf numFmtId="172" fontId="102" fillId="0" borderId="13" xfId="44" applyNumberFormat="1" applyFont="1" applyFill="1" applyBorder="1" applyAlignment="1">
      <alignment horizontal="center"/>
    </xf>
    <xf numFmtId="172" fontId="102" fillId="0" borderId="13" xfId="44" applyNumberFormat="1" applyFont="1" applyFill="1" applyBorder="1" applyAlignment="1">
      <alignment horizontal="center" vertical="center"/>
    </xf>
    <xf numFmtId="0" fontId="98" fillId="38" borderId="13" xfId="0" applyFont="1" applyFill="1" applyBorder="1" applyAlignment="1">
      <alignment vertical="center" wrapText="1"/>
    </xf>
    <xf numFmtId="0" fontId="97" fillId="38" borderId="13" xfId="0" applyFont="1" applyFill="1" applyBorder="1" applyAlignment="1">
      <alignment vertical="center" wrapText="1"/>
    </xf>
    <xf numFmtId="172" fontId="99" fillId="38" borderId="13" xfId="44" applyNumberFormat="1" applyFont="1" applyFill="1" applyBorder="1" applyAlignment="1">
      <alignment horizontal="center"/>
    </xf>
    <xf numFmtId="172" fontId="100" fillId="38" borderId="13" xfId="44" applyNumberFormat="1" applyFont="1" applyFill="1" applyBorder="1" applyAlignment="1">
      <alignment horizontal="center"/>
    </xf>
    <xf numFmtId="9" fontId="0" fillId="0" borderId="13" xfId="0" applyNumberFormat="1" applyBorder="1" applyAlignment="1">
      <alignment horizontal="center" vertical="top"/>
    </xf>
    <xf numFmtId="0" fontId="86" fillId="39" borderId="13" xfId="0" applyFont="1" applyFill="1" applyBorder="1" applyAlignment="1">
      <alignment horizontal="center"/>
    </xf>
    <xf numFmtId="172" fontId="99" fillId="37" borderId="13" xfId="44" applyNumberFormat="1" applyFont="1" applyFill="1" applyBorder="1" applyAlignment="1">
      <alignment horizontal="center"/>
    </xf>
    <xf numFmtId="172" fontId="99" fillId="33" borderId="13" xfId="44" applyNumberFormat="1" applyFont="1" applyFill="1" applyBorder="1" applyAlignment="1">
      <alignment horizontal="center" vertical="center"/>
    </xf>
    <xf numFmtId="172" fontId="99" fillId="0" borderId="13" xfId="44" applyNumberFormat="1" applyFont="1" applyBorder="1" applyAlignment="1">
      <alignment horizontal="center" vertical="center"/>
    </xf>
    <xf numFmtId="171" fontId="99" fillId="0" borderId="13" xfId="44" applyFont="1" applyFill="1" applyBorder="1" applyAlignment="1">
      <alignment horizontal="center" vertical="center"/>
    </xf>
    <xf numFmtId="172" fontId="99" fillId="0" borderId="13" xfId="44" applyNumberFormat="1" applyFont="1" applyFill="1" applyBorder="1" applyAlignment="1">
      <alignment horizontal="center" vertical="center"/>
    </xf>
    <xf numFmtId="172" fontId="102" fillId="33" borderId="13" xfId="44" applyNumberFormat="1" applyFont="1" applyFill="1" applyBorder="1" applyAlignment="1">
      <alignment horizontal="center" vertical="center"/>
    </xf>
    <xf numFmtId="0" fontId="0" fillId="0" borderId="13" xfId="0" applyBorder="1" applyAlignment="1">
      <alignment horizontal="center" vertical="top"/>
    </xf>
    <xf numFmtId="172" fontId="86" fillId="39" borderId="13" xfId="44" applyNumberFormat="1" applyFont="1" applyFill="1" applyBorder="1" applyAlignment="1">
      <alignment horizontal="center"/>
    </xf>
    <xf numFmtId="172" fontId="99" fillId="0" borderId="13" xfId="44" applyNumberFormat="1" applyFont="1" applyFill="1" applyBorder="1" applyAlignment="1">
      <alignment horizontal="left" vertical="center"/>
    </xf>
    <xf numFmtId="0" fontId="103" fillId="0" borderId="13" xfId="0" applyFont="1" applyBorder="1" applyAlignment="1">
      <alignment vertical="top" wrapText="1"/>
    </xf>
    <xf numFmtId="172" fontId="100" fillId="38" borderId="13" xfId="44" applyNumberFormat="1" applyFont="1" applyFill="1" applyBorder="1" applyAlignment="1">
      <alignment horizontal="center" vertical="center"/>
    </xf>
    <xf numFmtId="172" fontId="100" fillId="37" borderId="13" xfId="44" applyNumberFormat="1" applyFont="1" applyFill="1" applyBorder="1" applyAlignment="1">
      <alignment horizontal="center" vertical="center"/>
    </xf>
    <xf numFmtId="0" fontId="0" fillId="0" borderId="13" xfId="0" applyBorder="1" applyAlignment="1">
      <alignment vertical="top"/>
    </xf>
    <xf numFmtId="0" fontId="98" fillId="33" borderId="13" xfId="0" applyFont="1" applyFill="1" applyBorder="1" applyAlignment="1">
      <alignment horizontal="center" vertical="center" wrapText="1"/>
    </xf>
    <xf numFmtId="9" fontId="105" fillId="0" borderId="0" xfId="0" applyNumberFormat="1" applyFont="1" applyAlignment="1">
      <alignment horizontal="center" vertical="center"/>
    </xf>
    <xf numFmtId="0" fontId="86" fillId="0" borderId="0" xfId="0" applyFont="1" applyAlignment="1">
      <alignment horizontal="left" vertical="center"/>
    </xf>
    <xf numFmtId="0" fontId="102" fillId="33" borderId="13" xfId="0" applyFont="1" applyFill="1" applyBorder="1" applyAlignment="1">
      <alignment horizontal="center" vertical="center" wrapText="1"/>
    </xf>
    <xf numFmtId="172" fontId="101" fillId="33" borderId="13" xfId="44" applyNumberFormat="1" applyFont="1" applyFill="1" applyBorder="1" applyAlignment="1">
      <alignment horizontal="center" vertical="center"/>
    </xf>
    <xf numFmtId="10" fontId="103" fillId="0" borderId="13" xfId="0" applyNumberFormat="1" applyFont="1" applyBorder="1" applyAlignment="1">
      <alignment horizontal="center" vertical="top"/>
    </xf>
    <xf numFmtId="0" fontId="10" fillId="0" borderId="13" xfId="0" applyFont="1" applyBorder="1" applyAlignment="1">
      <alignment vertical="center" wrapText="1"/>
    </xf>
    <xf numFmtId="172" fontId="10" fillId="0" borderId="13" xfId="44" applyNumberFormat="1" applyFont="1" applyFill="1" applyBorder="1" applyAlignment="1">
      <alignment horizontal="center" vertical="center"/>
    </xf>
    <xf numFmtId="0" fontId="103" fillId="0" borderId="13" xfId="0" applyFont="1" applyBorder="1" applyAlignment="1">
      <alignment/>
    </xf>
    <xf numFmtId="173" fontId="0" fillId="0" borderId="0" xfId="0" applyNumberFormat="1" applyAlignment="1">
      <alignment/>
    </xf>
    <xf numFmtId="10" fontId="0" fillId="0" borderId="13" xfId="0" applyNumberFormat="1" applyBorder="1" applyAlignment="1">
      <alignment horizontal="center" vertical="top"/>
    </xf>
    <xf numFmtId="172" fontId="99" fillId="37" borderId="13" xfId="44" applyNumberFormat="1" applyFont="1" applyFill="1" applyBorder="1" applyAlignment="1">
      <alignment vertical="center"/>
    </xf>
    <xf numFmtId="0" fontId="0" fillId="0" borderId="13" xfId="0" applyBorder="1" applyAlignment="1">
      <alignment horizontal="center" vertical="center"/>
    </xf>
    <xf numFmtId="172" fontId="99" fillId="0" borderId="13" xfId="44" applyNumberFormat="1" applyFont="1" applyFill="1" applyBorder="1" applyAlignment="1">
      <alignment vertical="center"/>
    </xf>
    <xf numFmtId="10" fontId="105" fillId="0" borderId="0" xfId="0" applyNumberFormat="1" applyFont="1" applyAlignment="1">
      <alignment horizontal="center" vertical="center"/>
    </xf>
    <xf numFmtId="0" fontId="86" fillId="0" borderId="0" xfId="0" applyFont="1" applyAlignment="1">
      <alignment horizontal="center" vertical="center" wrapText="1"/>
    </xf>
    <xf numFmtId="3" fontId="0" fillId="0" borderId="0" xfId="0" applyNumberFormat="1" applyAlignment="1">
      <alignment/>
    </xf>
    <xf numFmtId="172" fontId="99" fillId="37" borderId="13" xfId="44" applyNumberFormat="1" applyFont="1" applyFill="1" applyBorder="1" applyAlignment="1">
      <alignment horizontal="center" vertical="center"/>
    </xf>
    <xf numFmtId="0" fontId="99" fillId="0" borderId="13" xfId="0" applyFont="1" applyBorder="1" applyAlignment="1">
      <alignment horizontal="center" vertical="center" wrapText="1"/>
    </xf>
    <xf numFmtId="0" fontId="99" fillId="0" borderId="13" xfId="0" applyFont="1" applyBorder="1" applyAlignment="1">
      <alignment vertical="center" wrapText="1"/>
    </xf>
    <xf numFmtId="171" fontId="99" fillId="0" borderId="13" xfId="44" applyFont="1" applyBorder="1" applyAlignment="1">
      <alignment horizontal="center" vertical="center"/>
    </xf>
    <xf numFmtId="0" fontId="103" fillId="0" borderId="13" xfId="0" applyFont="1" applyBorder="1" applyAlignment="1">
      <alignment horizontal="left" vertical="top"/>
    </xf>
    <xf numFmtId="0" fontId="103" fillId="0" borderId="15" xfId="0" applyFont="1" applyBorder="1" applyAlignment="1">
      <alignment horizontal="left" vertical="top"/>
    </xf>
    <xf numFmtId="171" fontId="102" fillId="0" borderId="13" xfId="44" applyFont="1" applyBorder="1" applyAlignment="1">
      <alignment horizontal="center" vertical="center"/>
    </xf>
    <xf numFmtId="0" fontId="98" fillId="33" borderId="13" xfId="0" applyFont="1" applyFill="1" applyBorder="1" applyAlignment="1">
      <alignment vertical="center" wrapText="1"/>
    </xf>
    <xf numFmtId="0" fontId="9" fillId="37" borderId="13" xfId="0" applyFont="1" applyFill="1" applyBorder="1" applyAlignment="1">
      <alignment vertical="center" wrapText="1"/>
    </xf>
    <xf numFmtId="172" fontId="10" fillId="37" borderId="13" xfId="44" applyNumberFormat="1" applyFont="1" applyFill="1" applyBorder="1" applyAlignment="1">
      <alignment horizontal="center" vertical="center"/>
    </xf>
    <xf numFmtId="0" fontId="10" fillId="33" borderId="13" xfId="0" applyFont="1" applyFill="1" applyBorder="1" applyAlignment="1">
      <alignment horizontal="center" vertical="center" wrapText="1"/>
    </xf>
    <xf numFmtId="0" fontId="10" fillId="0" borderId="13" xfId="0" applyFont="1" applyBorder="1" applyAlignment="1">
      <alignment vertical="center"/>
    </xf>
    <xf numFmtId="0" fontId="10" fillId="38" borderId="13" xfId="0" applyFont="1" applyFill="1" applyBorder="1" applyAlignment="1">
      <alignment vertical="center" wrapText="1"/>
    </xf>
    <xf numFmtId="0" fontId="9" fillId="38" borderId="13" xfId="0" applyFont="1" applyFill="1" applyBorder="1" applyAlignment="1">
      <alignment vertical="center" wrapText="1"/>
    </xf>
    <xf numFmtId="172" fontId="10" fillId="38" borderId="13" xfId="44" applyNumberFormat="1" applyFont="1" applyFill="1" applyBorder="1" applyAlignment="1">
      <alignment horizontal="center" vertical="center"/>
    </xf>
    <xf numFmtId="172" fontId="9" fillId="38" borderId="13" xfId="44" applyNumberFormat="1" applyFont="1" applyFill="1" applyBorder="1" applyAlignment="1">
      <alignment horizontal="center" vertical="center"/>
    </xf>
    <xf numFmtId="9" fontId="106" fillId="0" borderId="13" xfId="0" applyNumberFormat="1" applyFont="1" applyBorder="1" applyAlignment="1">
      <alignment horizontal="center" vertical="top"/>
    </xf>
    <xf numFmtId="0" fontId="97" fillId="37" borderId="13" xfId="0" applyFont="1" applyFill="1" applyBorder="1" applyAlignment="1">
      <alignment horizontal="left" vertical="center" wrapText="1"/>
    </xf>
    <xf numFmtId="4" fontId="0" fillId="0" borderId="0" xfId="0" applyNumberFormat="1" applyAlignment="1">
      <alignment/>
    </xf>
    <xf numFmtId="0" fontId="101" fillId="33" borderId="13" xfId="0" applyFont="1" applyFill="1" applyBorder="1" applyAlignment="1">
      <alignment horizontal="center" vertical="center" wrapText="1"/>
    </xf>
    <xf numFmtId="172" fontId="101" fillId="38" borderId="13" xfId="44" applyNumberFormat="1" applyFont="1" applyFill="1" applyBorder="1" applyAlignment="1">
      <alignment horizontal="center" vertical="center"/>
    </xf>
    <xf numFmtId="0" fontId="0" fillId="38" borderId="13" xfId="0" applyFill="1" applyBorder="1" applyAlignment="1">
      <alignment/>
    </xf>
    <xf numFmtId="0" fontId="0" fillId="14" borderId="13" xfId="0" applyFill="1" applyBorder="1" applyAlignment="1">
      <alignment/>
    </xf>
    <xf numFmtId="0" fontId="97" fillId="14" borderId="13" xfId="0" applyFont="1" applyFill="1" applyBorder="1" applyAlignment="1">
      <alignment vertical="center" wrapText="1"/>
    </xf>
    <xf numFmtId="172" fontId="100" fillId="14" borderId="13" xfId="44" applyNumberFormat="1" applyFont="1" applyFill="1" applyBorder="1" applyAlignment="1">
      <alignment horizontal="center" vertical="center"/>
    </xf>
    <xf numFmtId="3" fontId="0" fillId="0" borderId="13" xfId="0" applyNumberFormat="1" applyBorder="1" applyAlignment="1">
      <alignment horizontal="center" vertical="top"/>
    </xf>
    <xf numFmtId="0" fontId="86" fillId="0" borderId="13" xfId="0" applyFont="1" applyBorder="1" applyAlignment="1">
      <alignment horizontal="center" vertical="center" wrapText="1"/>
    </xf>
    <xf numFmtId="0" fontId="86" fillId="39" borderId="13" xfId="0" applyFont="1" applyFill="1" applyBorder="1" applyAlignment="1">
      <alignment horizontal="center" vertical="center"/>
    </xf>
    <xf numFmtId="0" fontId="0" fillId="0" borderId="13" xfId="0" applyBorder="1" applyAlignment="1">
      <alignment/>
    </xf>
    <xf numFmtId="0" fontId="97" fillId="40" borderId="13" xfId="0" applyFont="1" applyFill="1" applyBorder="1" applyAlignment="1">
      <alignment vertical="center" wrapText="1"/>
    </xf>
    <xf numFmtId="172" fontId="100" fillId="40" borderId="13" xfId="44"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86" fillId="0" borderId="0" xfId="0" applyFont="1" applyAlignment="1">
      <alignment/>
    </xf>
    <xf numFmtId="1" fontId="0" fillId="0" borderId="0" xfId="0" applyNumberFormat="1" applyAlignment="1">
      <alignment vertical="center"/>
    </xf>
    <xf numFmtId="174" fontId="0" fillId="0" borderId="0" xfId="44" applyNumberFormat="1" applyFont="1" applyAlignment="1">
      <alignment/>
    </xf>
    <xf numFmtId="3" fontId="9" fillId="8" borderId="13" xfId="0" applyNumberFormat="1" applyFont="1" applyFill="1" applyBorder="1" applyAlignment="1">
      <alignment horizontal="center" vertical="center" wrapText="1"/>
    </xf>
    <xf numFmtId="0" fontId="107" fillId="37" borderId="14" xfId="0" applyFont="1" applyFill="1" applyBorder="1" applyAlignment="1">
      <alignment horizontal="center" vertical="center"/>
    </xf>
    <xf numFmtId="0" fontId="107" fillId="37" borderId="13" xfId="0" applyFont="1" applyFill="1" applyBorder="1" applyAlignment="1">
      <alignment horizontal="center" vertical="center"/>
    </xf>
    <xf numFmtId="0" fontId="107" fillId="37" borderId="13" xfId="0" applyFont="1" applyFill="1" applyBorder="1" applyAlignment="1">
      <alignment horizontal="left" vertical="center"/>
    </xf>
    <xf numFmtId="175" fontId="107" fillId="37" borderId="13" xfId="44" applyNumberFormat="1" applyFont="1" applyFill="1" applyBorder="1" applyAlignment="1">
      <alignment horizontal="center" vertical="center"/>
    </xf>
    <xf numFmtId="1" fontId="107" fillId="37" borderId="13" xfId="44" applyNumberFormat="1" applyFont="1" applyFill="1" applyBorder="1" applyAlignment="1">
      <alignment horizontal="center" vertical="center"/>
    </xf>
    <xf numFmtId="174" fontId="107" fillId="37" borderId="10" xfId="44" applyNumberFormat="1" applyFont="1" applyFill="1" applyBorder="1" applyAlignment="1">
      <alignment horizontal="center" vertical="center"/>
    </xf>
    <xf numFmtId="0" fontId="12" fillId="34" borderId="13" xfId="0" applyFont="1" applyFill="1" applyBorder="1" applyAlignment="1">
      <alignment horizontal="center" vertical="center"/>
    </xf>
    <xf numFmtId="0" fontId="107" fillId="34" borderId="13" xfId="0" applyFont="1" applyFill="1" applyBorder="1" applyAlignment="1">
      <alignment horizontal="left" vertical="center"/>
    </xf>
    <xf numFmtId="175" fontId="107" fillId="34" borderId="13" xfId="44" applyNumberFormat="1" applyFont="1" applyFill="1" applyBorder="1" applyAlignment="1">
      <alignment horizontal="center" vertical="center"/>
    </xf>
    <xf numFmtId="1" fontId="107" fillId="34" borderId="13" xfId="44" applyNumberFormat="1" applyFont="1" applyFill="1" applyBorder="1" applyAlignment="1">
      <alignment horizontal="center" vertical="center"/>
    </xf>
    <xf numFmtId="174" fontId="107" fillId="34" borderId="10" xfId="44" applyNumberFormat="1" applyFont="1" applyFill="1" applyBorder="1" applyAlignment="1">
      <alignment horizontal="center" vertical="center"/>
    </xf>
    <xf numFmtId="0" fontId="108" fillId="33" borderId="13" xfId="0" applyFont="1" applyFill="1" applyBorder="1" applyAlignment="1">
      <alignment horizontal="center" vertical="center"/>
    </xf>
    <xf numFmtId="0" fontId="108" fillId="33" borderId="13" xfId="0" applyFont="1" applyFill="1" applyBorder="1" applyAlignment="1">
      <alignment horizontal="left" vertical="center"/>
    </xf>
    <xf numFmtId="174" fontId="108" fillId="33" borderId="13" xfId="44" applyNumberFormat="1" applyFont="1" applyFill="1" applyBorder="1" applyAlignment="1">
      <alignment horizontal="center" vertical="center"/>
    </xf>
    <xf numFmtId="174" fontId="109" fillId="0" borderId="10" xfId="44" applyNumberFormat="1" applyFont="1" applyFill="1" applyBorder="1" applyAlignment="1">
      <alignment horizontal="center" vertical="center"/>
    </xf>
    <xf numFmtId="174" fontId="13" fillId="41" borderId="13" xfId="44" applyNumberFormat="1" applyFont="1" applyFill="1" applyBorder="1" applyAlignment="1">
      <alignment horizontal="center" vertical="center" wrapText="1"/>
    </xf>
    <xf numFmtId="0" fontId="0" fillId="0" borderId="0" xfId="0" applyAlignment="1">
      <alignment vertical="center" wrapText="1"/>
    </xf>
    <xf numFmtId="174" fontId="107" fillId="34" borderId="13" xfId="44" applyNumberFormat="1" applyFont="1" applyFill="1" applyBorder="1" applyAlignment="1">
      <alignment horizontal="center" vertical="center"/>
    </xf>
    <xf numFmtId="174" fontId="108" fillId="0" borderId="10" xfId="44" applyNumberFormat="1" applyFont="1" applyFill="1" applyBorder="1" applyAlignment="1">
      <alignment horizontal="center" vertical="center"/>
    </xf>
    <xf numFmtId="174" fontId="0" fillId="0" borderId="0" xfId="0" applyNumberFormat="1" applyAlignment="1">
      <alignment vertical="center"/>
    </xf>
    <xf numFmtId="0" fontId="13" fillId="38" borderId="13" xfId="0" applyFont="1" applyFill="1" applyBorder="1" applyAlignment="1">
      <alignment horizontal="center" vertical="center"/>
    </xf>
    <xf numFmtId="0" fontId="13" fillId="38" borderId="13" xfId="0" applyFont="1" applyFill="1" applyBorder="1" applyAlignment="1">
      <alignment horizontal="left" vertical="center"/>
    </xf>
    <xf numFmtId="174" fontId="13" fillId="38" borderId="13" xfId="44" applyNumberFormat="1" applyFont="1" applyFill="1" applyBorder="1" applyAlignment="1">
      <alignment horizontal="center" vertical="center"/>
    </xf>
    <xf numFmtId="174" fontId="110" fillId="38" borderId="10" xfId="44" applyNumberFormat="1" applyFont="1" applyFill="1" applyBorder="1" applyAlignment="1">
      <alignment horizontal="center" vertical="center"/>
    </xf>
    <xf numFmtId="0" fontId="107" fillId="42" borderId="13" xfId="0" applyFont="1" applyFill="1" applyBorder="1" applyAlignment="1">
      <alignment horizontal="center" vertical="center"/>
    </xf>
    <xf numFmtId="174" fontId="108" fillId="34" borderId="13" xfId="44" applyNumberFormat="1" applyFont="1" applyFill="1" applyBorder="1" applyAlignment="1">
      <alignment horizontal="center" vertical="center"/>
    </xf>
    <xf numFmtId="174" fontId="107" fillId="35" borderId="10" xfId="44" applyNumberFormat="1" applyFont="1" applyFill="1" applyBorder="1" applyAlignment="1">
      <alignment horizontal="center" vertical="center" wrapText="1"/>
    </xf>
    <xf numFmtId="0" fontId="108" fillId="0" borderId="13" xfId="0" applyFont="1" applyBorder="1" applyAlignment="1">
      <alignment horizontal="left" vertical="center" wrapText="1"/>
    </xf>
    <xf numFmtId="174" fontId="108" fillId="0" borderId="13" xfId="44" applyNumberFormat="1" applyFont="1" applyFill="1" applyBorder="1" applyAlignment="1">
      <alignment horizontal="center" vertical="center"/>
    </xf>
    <xf numFmtId="0" fontId="108" fillId="0" borderId="13" xfId="0" applyFont="1" applyBorder="1" applyAlignment="1">
      <alignment horizontal="left" vertical="center"/>
    </xf>
    <xf numFmtId="174" fontId="13" fillId="38" borderId="10" xfId="44" applyNumberFormat="1" applyFont="1" applyFill="1" applyBorder="1" applyAlignment="1">
      <alignment horizontal="center" vertical="center"/>
    </xf>
    <xf numFmtId="0" fontId="13" fillId="34" borderId="13" xfId="0" applyFont="1" applyFill="1" applyBorder="1" applyAlignment="1">
      <alignment horizontal="center" vertical="center"/>
    </xf>
    <xf numFmtId="0" fontId="13" fillId="34" borderId="13" xfId="0" applyFont="1" applyFill="1" applyBorder="1" applyAlignment="1">
      <alignment horizontal="left" vertical="center"/>
    </xf>
    <xf numFmtId="174" fontId="13" fillId="34" borderId="13" xfId="44" applyNumberFormat="1" applyFont="1" applyFill="1" applyBorder="1" applyAlignment="1">
      <alignment horizontal="center" vertical="center"/>
    </xf>
    <xf numFmtId="174" fontId="13" fillId="34" borderId="10" xfId="44" applyNumberFormat="1" applyFont="1" applyFill="1" applyBorder="1" applyAlignment="1">
      <alignment horizontal="center" vertical="center"/>
    </xf>
    <xf numFmtId="0" fontId="12" fillId="33" borderId="13" xfId="0" applyFont="1" applyFill="1" applyBorder="1" applyAlignment="1">
      <alignment horizontal="left" vertical="center"/>
    </xf>
    <xf numFmtId="174" fontId="12" fillId="33" borderId="13" xfId="44" applyNumberFormat="1" applyFont="1" applyFill="1" applyBorder="1" applyAlignment="1">
      <alignment horizontal="center" vertical="center"/>
    </xf>
    <xf numFmtId="0" fontId="107" fillId="34" borderId="13" xfId="0" applyFont="1" applyFill="1" applyBorder="1" applyAlignment="1">
      <alignment horizontal="center" vertical="center"/>
    </xf>
    <xf numFmtId="0" fontId="86" fillId="0" borderId="0" xfId="0" applyFont="1" applyAlignment="1">
      <alignment vertical="center"/>
    </xf>
    <xf numFmtId="0" fontId="108" fillId="33" borderId="13" xfId="0" applyFont="1" applyFill="1" applyBorder="1" applyAlignment="1">
      <alignment horizontal="left" vertical="center" wrapText="1"/>
    </xf>
    <xf numFmtId="0" fontId="13" fillId="34" borderId="20" xfId="0" applyFont="1" applyFill="1" applyBorder="1" applyAlignment="1">
      <alignment horizontal="center" vertical="center"/>
    </xf>
    <xf numFmtId="0" fontId="13" fillId="38" borderId="20" xfId="0" applyFont="1" applyFill="1" applyBorder="1" applyAlignment="1">
      <alignment horizontal="center" vertical="center"/>
    </xf>
    <xf numFmtId="0" fontId="108" fillId="0" borderId="20" xfId="0" applyFont="1" applyBorder="1" applyAlignment="1">
      <alignment horizontal="center" vertical="center"/>
    </xf>
    <xf numFmtId="0" fontId="13" fillId="0" borderId="13" xfId="0" applyFont="1" applyBorder="1" applyAlignment="1">
      <alignment horizontal="left" vertical="center"/>
    </xf>
    <xf numFmtId="0" fontId="108" fillId="38" borderId="20" xfId="0" applyFont="1" applyFill="1" applyBorder="1" applyAlignment="1">
      <alignment horizontal="center" vertical="center"/>
    </xf>
    <xf numFmtId="174" fontId="108" fillId="38" borderId="13" xfId="44" applyNumberFormat="1" applyFont="1" applyFill="1" applyBorder="1" applyAlignment="1">
      <alignment horizontal="center" vertical="center"/>
    </xf>
    <xf numFmtId="174" fontId="108" fillId="38" borderId="10" xfId="44" applyNumberFormat="1" applyFont="1" applyFill="1" applyBorder="1" applyAlignment="1">
      <alignment horizontal="center" vertical="center"/>
    </xf>
    <xf numFmtId="174" fontId="111" fillId="0" borderId="13" xfId="44" applyNumberFormat="1" applyFont="1" applyFill="1" applyBorder="1" applyAlignment="1">
      <alignment vertical="center"/>
    </xf>
    <xf numFmtId="0" fontId="107" fillId="12" borderId="20" xfId="0" applyFont="1" applyFill="1" applyBorder="1" applyAlignment="1">
      <alignment horizontal="center" vertical="center"/>
    </xf>
    <xf numFmtId="0" fontId="107" fillId="12" borderId="13" xfId="0" applyFont="1" applyFill="1" applyBorder="1" applyAlignment="1">
      <alignment horizontal="left" vertical="center"/>
    </xf>
    <xf numFmtId="174" fontId="107" fillId="6" borderId="13" xfId="44" applyNumberFormat="1" applyFont="1" applyFill="1" applyBorder="1" applyAlignment="1">
      <alignment horizontal="center" vertical="center"/>
    </xf>
    <xf numFmtId="174" fontId="107" fillId="6" borderId="10" xfId="44" applyNumberFormat="1" applyFont="1" applyFill="1" applyBorder="1" applyAlignment="1">
      <alignment horizontal="center" vertical="center"/>
    </xf>
    <xf numFmtId="0" fontId="13" fillId="0" borderId="20" xfId="0" applyFont="1" applyBorder="1" applyAlignment="1">
      <alignment horizontal="center" vertical="center" wrapText="1"/>
    </xf>
    <xf numFmtId="0" fontId="13" fillId="0" borderId="20" xfId="0" applyFont="1" applyBorder="1" applyAlignment="1">
      <alignment horizontal="center" vertical="center"/>
    </xf>
    <xf numFmtId="174" fontId="13" fillId="0" borderId="13" xfId="44" applyNumberFormat="1" applyFont="1" applyFill="1" applyBorder="1" applyAlignment="1">
      <alignment horizontal="center" vertical="center"/>
    </xf>
    <xf numFmtId="174" fontId="107" fillId="0" borderId="13" xfId="44" applyNumberFormat="1" applyFont="1" applyFill="1" applyBorder="1" applyAlignment="1">
      <alignment horizontal="center" vertical="center"/>
    </xf>
    <xf numFmtId="174" fontId="13" fillId="0" borderId="10" xfId="44" applyNumberFormat="1" applyFont="1" applyFill="1" applyBorder="1" applyAlignment="1">
      <alignment horizontal="center" vertical="center"/>
    </xf>
    <xf numFmtId="0" fontId="107" fillId="12" borderId="14" xfId="0" applyFont="1" applyFill="1" applyBorder="1" applyAlignment="1">
      <alignment horizontal="center" vertical="center"/>
    </xf>
    <xf numFmtId="174" fontId="13" fillId="12" borderId="16" xfId="44" applyNumberFormat="1" applyFont="1" applyFill="1" applyBorder="1" applyAlignment="1">
      <alignment horizontal="center" vertical="center"/>
    </xf>
    <xf numFmtId="174" fontId="13" fillId="12" borderId="12" xfId="44" applyNumberFormat="1" applyFont="1" applyFill="1" applyBorder="1" applyAlignment="1">
      <alignment horizontal="center" vertical="center"/>
    </xf>
    <xf numFmtId="174" fontId="0" fillId="0" borderId="0" xfId="44" applyNumberFormat="1" applyFont="1" applyAlignment="1">
      <alignment vertical="center"/>
    </xf>
    <xf numFmtId="0" fontId="112" fillId="0" borderId="0" xfId="0" applyFont="1" applyAlignment="1">
      <alignment/>
    </xf>
    <xf numFmtId="0" fontId="113" fillId="0" borderId="0" xfId="0" applyFont="1" applyAlignment="1">
      <alignment/>
    </xf>
    <xf numFmtId="0" fontId="114" fillId="0" borderId="33" xfId="0" applyFont="1" applyBorder="1" applyAlignment="1">
      <alignment horizontal="justify" vertical="top" wrapText="1"/>
    </xf>
    <xf numFmtId="0" fontId="114" fillId="0" borderId="34" xfId="0" applyFont="1" applyBorder="1" applyAlignment="1">
      <alignment horizontal="justify" vertical="center" wrapText="1"/>
    </xf>
    <xf numFmtId="0" fontId="114" fillId="0" borderId="33" xfId="0" applyFont="1" applyBorder="1" applyAlignment="1">
      <alignment horizontal="justify" vertical="center" wrapText="1"/>
    </xf>
    <xf numFmtId="0" fontId="114" fillId="35" borderId="33" xfId="0" applyFont="1" applyFill="1" applyBorder="1" applyAlignment="1">
      <alignment horizontal="center" vertical="center" wrapText="1"/>
    </xf>
    <xf numFmtId="0" fontId="114" fillId="37" borderId="33" xfId="0" applyFont="1" applyFill="1" applyBorder="1" applyAlignment="1">
      <alignment horizontal="left" vertical="center" wrapText="1"/>
    </xf>
    <xf numFmtId="175" fontId="114" fillId="37" borderId="35" xfId="44" applyNumberFormat="1" applyFont="1" applyFill="1" applyBorder="1" applyAlignment="1">
      <alignment horizontal="center" vertical="top" wrapText="1"/>
    </xf>
    <xf numFmtId="175" fontId="114" fillId="37" borderId="36" xfId="44" applyNumberFormat="1" applyFont="1" applyFill="1" applyBorder="1" applyAlignment="1">
      <alignment horizontal="center" vertical="top" wrapText="1"/>
    </xf>
    <xf numFmtId="175" fontId="114" fillId="37" borderId="37" xfId="44" applyNumberFormat="1" applyFont="1" applyFill="1" applyBorder="1" applyAlignment="1">
      <alignment horizontal="center" vertical="top" wrapText="1"/>
    </xf>
    <xf numFmtId="175" fontId="114" fillId="37" borderId="33" xfId="44" applyNumberFormat="1" applyFont="1" applyFill="1" applyBorder="1" applyAlignment="1">
      <alignment horizontal="center" vertical="top" wrapText="1"/>
    </xf>
    <xf numFmtId="0" fontId="14" fillId="34" borderId="38" xfId="0" applyFont="1" applyFill="1" applyBorder="1" applyAlignment="1">
      <alignment horizontal="center" wrapText="1"/>
    </xf>
    <xf numFmtId="0" fontId="114" fillId="34" borderId="29" xfId="0" applyFont="1" applyFill="1" applyBorder="1" applyAlignment="1">
      <alignment horizontal="left" vertical="center" wrapText="1"/>
    </xf>
    <xf numFmtId="175" fontId="114" fillId="34" borderId="39" xfId="44" applyNumberFormat="1" applyFont="1" applyFill="1" applyBorder="1" applyAlignment="1">
      <alignment horizontal="center" vertical="center" wrapText="1"/>
    </xf>
    <xf numFmtId="175" fontId="114" fillId="34" borderId="18" xfId="44" applyNumberFormat="1" applyFont="1" applyFill="1" applyBorder="1" applyAlignment="1">
      <alignment horizontal="center" vertical="center" wrapText="1"/>
    </xf>
    <xf numFmtId="175" fontId="114" fillId="34" borderId="40" xfId="44" applyNumberFormat="1" applyFont="1" applyFill="1" applyBorder="1" applyAlignment="1">
      <alignment horizontal="center" vertical="center" wrapText="1"/>
    </xf>
    <xf numFmtId="174" fontId="114" fillId="34" borderId="29" xfId="44" applyNumberFormat="1" applyFont="1" applyFill="1" applyBorder="1" applyAlignment="1">
      <alignment horizontal="center" vertical="center" wrapText="1"/>
    </xf>
    <xf numFmtId="0" fontId="14" fillId="0" borderId="29" xfId="0" applyFont="1" applyBorder="1" applyAlignment="1">
      <alignment horizontal="center" wrapText="1"/>
    </xf>
    <xf numFmtId="0" fontId="115" fillId="33" borderId="29" xfId="0" applyFont="1" applyFill="1" applyBorder="1" applyAlignment="1">
      <alignment horizontal="left" vertical="center" wrapText="1"/>
    </xf>
    <xf numFmtId="175" fontId="115" fillId="33" borderId="41" xfId="44" applyNumberFormat="1" applyFont="1" applyFill="1" applyBorder="1" applyAlignment="1">
      <alignment horizontal="center" vertical="center" wrapText="1"/>
    </xf>
    <xf numFmtId="175" fontId="115" fillId="33" borderId="18" xfId="44" applyNumberFormat="1" applyFont="1" applyFill="1" applyBorder="1" applyAlignment="1">
      <alignment horizontal="center" vertical="center" wrapText="1"/>
    </xf>
    <xf numFmtId="175" fontId="115" fillId="33" borderId="40" xfId="44" applyNumberFormat="1" applyFont="1" applyFill="1" applyBorder="1" applyAlignment="1">
      <alignment horizontal="center" vertical="center" wrapText="1"/>
    </xf>
    <xf numFmtId="175" fontId="115" fillId="33" borderId="30" xfId="44" applyNumberFormat="1" applyFont="1" applyFill="1" applyBorder="1" applyAlignment="1">
      <alignment horizontal="center" vertical="center" wrapText="1"/>
    </xf>
    <xf numFmtId="0" fontId="14" fillId="16" borderId="29" xfId="0" applyFont="1" applyFill="1" applyBorder="1" applyAlignment="1">
      <alignment horizontal="center" wrapText="1"/>
    </xf>
    <xf numFmtId="0" fontId="14" fillId="16" borderId="31" xfId="0" applyFont="1" applyFill="1" applyBorder="1" applyAlignment="1">
      <alignment horizontal="left" vertical="center" wrapText="1"/>
    </xf>
    <xf numFmtId="175" fontId="14" fillId="16" borderId="20" xfId="44" applyNumberFormat="1" applyFont="1" applyFill="1" applyBorder="1" applyAlignment="1">
      <alignment horizontal="center" vertical="center" wrapText="1"/>
    </xf>
    <xf numFmtId="175" fontId="14" fillId="16" borderId="18" xfId="44" applyNumberFormat="1" applyFont="1" applyFill="1" applyBorder="1" applyAlignment="1">
      <alignment horizontal="center" vertical="center" wrapText="1"/>
    </xf>
    <xf numFmtId="175" fontId="14" fillId="16" borderId="40" xfId="44" applyNumberFormat="1" applyFont="1" applyFill="1" applyBorder="1" applyAlignment="1">
      <alignment horizontal="center" vertical="center" wrapText="1"/>
    </xf>
    <xf numFmtId="175" fontId="115" fillId="35" borderId="30" xfId="44" applyNumberFormat="1" applyFont="1" applyFill="1" applyBorder="1" applyAlignment="1">
      <alignment horizontal="center" vertical="center" wrapText="1"/>
    </xf>
    <xf numFmtId="0" fontId="14" fillId="43" borderId="29" xfId="0" applyFont="1" applyFill="1" applyBorder="1" applyAlignment="1">
      <alignment horizontal="center" wrapText="1"/>
    </xf>
    <xf numFmtId="0" fontId="116" fillId="43" borderId="42" xfId="0" applyFont="1" applyFill="1" applyBorder="1" applyAlignment="1">
      <alignment vertical="center" wrapText="1"/>
    </xf>
    <xf numFmtId="175" fontId="117" fillId="43" borderId="39" xfId="44" applyNumberFormat="1" applyFont="1" applyFill="1" applyBorder="1" applyAlignment="1">
      <alignment horizontal="center" vertical="center" wrapText="1"/>
    </xf>
    <xf numFmtId="175" fontId="117" fillId="43" borderId="18" xfId="44" applyNumberFormat="1" applyFont="1" applyFill="1" applyBorder="1" applyAlignment="1">
      <alignment horizontal="center" vertical="center" wrapText="1"/>
    </xf>
    <xf numFmtId="175" fontId="117" fillId="43" borderId="40" xfId="44" applyNumberFormat="1" applyFont="1" applyFill="1" applyBorder="1" applyAlignment="1">
      <alignment horizontal="center" vertical="center" wrapText="1"/>
    </xf>
    <xf numFmtId="175" fontId="117" fillId="43" borderId="30" xfId="44" applyNumberFormat="1" applyFont="1" applyFill="1" applyBorder="1" applyAlignment="1">
      <alignment horizontal="center" vertical="center" wrapText="1"/>
    </xf>
    <xf numFmtId="0" fontId="14" fillId="34" borderId="30" xfId="0" applyFont="1" applyFill="1" applyBorder="1" applyAlignment="1">
      <alignment horizontal="center" wrapText="1"/>
    </xf>
    <xf numFmtId="0" fontId="114" fillId="34" borderId="30" xfId="0" applyFont="1" applyFill="1" applyBorder="1" applyAlignment="1">
      <alignment horizontal="left" vertical="center" wrapText="1"/>
    </xf>
    <xf numFmtId="175" fontId="114" fillId="34" borderId="20" xfId="44" applyNumberFormat="1" applyFont="1" applyFill="1" applyBorder="1" applyAlignment="1">
      <alignment horizontal="center" vertical="center" wrapText="1"/>
    </xf>
    <xf numFmtId="175" fontId="114" fillId="34" borderId="13" xfId="44" applyNumberFormat="1" applyFont="1" applyFill="1" applyBorder="1" applyAlignment="1">
      <alignment horizontal="center" vertical="center" wrapText="1"/>
    </xf>
    <xf numFmtId="175" fontId="114" fillId="34" borderId="17" xfId="44" applyNumberFormat="1" applyFont="1" applyFill="1" applyBorder="1" applyAlignment="1">
      <alignment horizontal="center" vertical="center" wrapText="1"/>
    </xf>
    <xf numFmtId="174" fontId="114" fillId="34" borderId="30" xfId="44" applyNumberFormat="1" applyFont="1" applyFill="1" applyBorder="1" applyAlignment="1">
      <alignment horizontal="center" vertical="center" wrapText="1"/>
    </xf>
    <xf numFmtId="0" fontId="14" fillId="16" borderId="30" xfId="0" applyFont="1" applyFill="1" applyBorder="1" applyAlignment="1">
      <alignment horizontal="center" wrapText="1"/>
    </xf>
    <xf numFmtId="0" fontId="115" fillId="16" borderId="30" xfId="0" applyFont="1" applyFill="1" applyBorder="1" applyAlignment="1">
      <alignment horizontal="left" vertical="center" wrapText="1"/>
    </xf>
    <xf numFmtId="175" fontId="115" fillId="16" borderId="20" xfId="44" applyNumberFormat="1" applyFont="1" applyFill="1" applyBorder="1" applyAlignment="1">
      <alignment horizontal="center" vertical="center" wrapText="1"/>
    </xf>
    <xf numFmtId="175" fontId="115" fillId="16" borderId="13" xfId="44" applyNumberFormat="1" applyFont="1" applyFill="1" applyBorder="1" applyAlignment="1">
      <alignment horizontal="center" vertical="center" wrapText="1"/>
    </xf>
    <xf numFmtId="175" fontId="115" fillId="16" borderId="17" xfId="44" applyNumberFormat="1" applyFont="1" applyFill="1" applyBorder="1" applyAlignment="1">
      <alignment horizontal="center" vertical="center" wrapText="1"/>
    </xf>
    <xf numFmtId="174" fontId="115" fillId="16" borderId="29" xfId="44" applyNumberFormat="1" applyFont="1" applyFill="1" applyBorder="1" applyAlignment="1">
      <alignment horizontal="center" vertical="center" wrapText="1"/>
    </xf>
    <xf numFmtId="0" fontId="14" fillId="43" borderId="30" xfId="0" applyFont="1" applyFill="1" applyBorder="1" applyAlignment="1">
      <alignment horizontal="center" wrapText="1"/>
    </xf>
    <xf numFmtId="0" fontId="117" fillId="43" borderId="29" xfId="0" applyFont="1" applyFill="1" applyBorder="1" applyAlignment="1">
      <alignment horizontal="left" vertical="center" wrapText="1"/>
    </xf>
    <xf numFmtId="175" fontId="117" fillId="43" borderId="20" xfId="44" applyNumberFormat="1" applyFont="1" applyFill="1" applyBorder="1" applyAlignment="1">
      <alignment horizontal="center" vertical="center" wrapText="1"/>
    </xf>
    <xf numFmtId="175" fontId="117" fillId="43" borderId="13" xfId="44" applyNumberFormat="1" applyFont="1" applyFill="1" applyBorder="1" applyAlignment="1">
      <alignment horizontal="center" vertical="center" wrapText="1"/>
    </xf>
    <xf numFmtId="175" fontId="117" fillId="43" borderId="17" xfId="44" applyNumberFormat="1" applyFont="1" applyFill="1" applyBorder="1" applyAlignment="1">
      <alignment horizontal="center" vertical="center" wrapText="1"/>
    </xf>
    <xf numFmtId="174" fontId="117" fillId="43" borderId="29" xfId="44" applyNumberFormat="1" applyFont="1" applyFill="1" applyBorder="1" applyAlignment="1">
      <alignment horizontal="center" vertical="center" wrapText="1"/>
    </xf>
    <xf numFmtId="175" fontId="114" fillId="34" borderId="43" xfId="44" applyNumberFormat="1" applyFont="1" applyFill="1" applyBorder="1" applyAlignment="1">
      <alignment horizontal="center" vertical="center" wrapText="1"/>
    </xf>
    <xf numFmtId="175" fontId="114" fillId="34" borderId="30" xfId="44" applyNumberFormat="1" applyFont="1" applyFill="1" applyBorder="1" applyAlignment="1">
      <alignment horizontal="center" vertical="center" wrapText="1"/>
    </xf>
    <xf numFmtId="0" fontId="115" fillId="0" borderId="30" xfId="0" applyFont="1" applyBorder="1" applyAlignment="1">
      <alignment horizontal="left" vertical="center" wrapText="1" indent="2"/>
    </xf>
    <xf numFmtId="0" fontId="115" fillId="0" borderId="29" xfId="0" applyFont="1" applyBorder="1" applyAlignment="1">
      <alignment horizontal="left" vertical="center" wrapText="1"/>
    </xf>
    <xf numFmtId="175" fontId="115" fillId="33" borderId="44" xfId="44" applyNumberFormat="1" applyFont="1" applyFill="1" applyBorder="1" applyAlignment="1">
      <alignment horizontal="center" vertical="center" wrapText="1"/>
    </xf>
    <xf numFmtId="175" fontId="115" fillId="33" borderId="45" xfId="44" applyNumberFormat="1" applyFont="1" applyFill="1" applyBorder="1" applyAlignment="1">
      <alignment horizontal="center" vertical="center" wrapText="1"/>
    </xf>
    <xf numFmtId="175" fontId="115" fillId="33" borderId="29" xfId="44" applyNumberFormat="1" applyFont="1" applyFill="1" applyBorder="1" applyAlignment="1">
      <alignment horizontal="left" vertical="center" wrapText="1"/>
    </xf>
    <xf numFmtId="175" fontId="115" fillId="33" borderId="20" xfId="44" applyNumberFormat="1" applyFont="1" applyFill="1" applyBorder="1" applyAlignment="1">
      <alignment horizontal="center" vertical="center" wrapText="1"/>
    </xf>
    <xf numFmtId="175" fontId="115" fillId="0" borderId="19" xfId="44" applyNumberFormat="1" applyFont="1" applyFill="1" applyBorder="1" applyAlignment="1">
      <alignment horizontal="center" vertical="center" wrapText="1"/>
    </xf>
    <xf numFmtId="175" fontId="115" fillId="33" borderId="17" xfId="44" applyNumberFormat="1" applyFont="1" applyFill="1" applyBorder="1" applyAlignment="1">
      <alignment horizontal="center" vertical="center" wrapText="1"/>
    </xf>
    <xf numFmtId="175" fontId="115" fillId="33" borderId="46" xfId="44" applyNumberFormat="1" applyFont="1" applyFill="1" applyBorder="1" applyAlignment="1">
      <alignment horizontal="center" vertical="center" wrapText="1"/>
    </xf>
    <xf numFmtId="175" fontId="115" fillId="0" borderId="17" xfId="44" applyNumberFormat="1" applyFont="1" applyFill="1" applyBorder="1" applyAlignment="1">
      <alignment horizontal="center" vertical="center" wrapText="1"/>
    </xf>
    <xf numFmtId="175" fontId="115" fillId="0" borderId="29" xfId="44" applyNumberFormat="1" applyFont="1" applyFill="1" applyBorder="1" applyAlignment="1">
      <alignment horizontal="left" vertical="center" wrapText="1"/>
    </xf>
    <xf numFmtId="175" fontId="115" fillId="0" borderId="41" xfId="44" applyNumberFormat="1" applyFont="1" applyFill="1" applyBorder="1" applyAlignment="1">
      <alignment horizontal="center" vertical="center" wrapText="1"/>
    </xf>
    <xf numFmtId="175" fontId="115" fillId="0" borderId="40" xfId="44" applyNumberFormat="1" applyFont="1" applyFill="1" applyBorder="1" applyAlignment="1">
      <alignment horizontal="center" vertical="center" wrapText="1"/>
    </xf>
    <xf numFmtId="0" fontId="115" fillId="33" borderId="30" xfId="0" applyFont="1" applyFill="1" applyBorder="1" applyAlignment="1">
      <alignment horizontal="left" vertical="center" wrapText="1" indent="2"/>
    </xf>
    <xf numFmtId="0" fontId="118" fillId="0" borderId="47" xfId="0" applyFont="1" applyBorder="1" applyAlignment="1">
      <alignment vertical="center" wrapText="1"/>
    </xf>
    <xf numFmtId="2" fontId="119" fillId="0" borderId="28" xfId="0" applyNumberFormat="1" applyFont="1" applyBorder="1" applyAlignment="1">
      <alignment vertical="center" wrapText="1"/>
    </xf>
    <xf numFmtId="0" fontId="115" fillId="43" borderId="30" xfId="0" applyFont="1" applyFill="1" applyBorder="1" applyAlignment="1">
      <alignment horizontal="left" vertical="center" wrapText="1" indent="2"/>
    </xf>
    <xf numFmtId="175" fontId="117" fillId="43" borderId="30" xfId="44" applyNumberFormat="1" applyFont="1" applyFill="1" applyBorder="1" applyAlignment="1">
      <alignment horizontal="left" vertical="center" wrapText="1"/>
    </xf>
    <xf numFmtId="175" fontId="117" fillId="43" borderId="19" xfId="44" applyNumberFormat="1" applyFont="1" applyFill="1" applyBorder="1" applyAlignment="1">
      <alignment horizontal="center" vertical="center" wrapText="1"/>
    </xf>
    <xf numFmtId="0" fontId="114" fillId="34" borderId="33" xfId="0" applyFont="1" applyFill="1" applyBorder="1" applyAlignment="1">
      <alignment horizontal="left" vertical="center" wrapText="1"/>
    </xf>
    <xf numFmtId="175" fontId="115" fillId="34" borderId="35" xfId="44" applyNumberFormat="1" applyFont="1" applyFill="1" applyBorder="1" applyAlignment="1">
      <alignment horizontal="center" vertical="top" wrapText="1"/>
    </xf>
    <xf numFmtId="175" fontId="115" fillId="34" borderId="36" xfId="44" applyNumberFormat="1" applyFont="1" applyFill="1" applyBorder="1" applyAlignment="1">
      <alignment horizontal="center" vertical="top" wrapText="1"/>
    </xf>
    <xf numFmtId="175" fontId="115" fillId="34" borderId="37" xfId="44" applyNumberFormat="1" applyFont="1" applyFill="1" applyBorder="1" applyAlignment="1">
      <alignment horizontal="center" vertical="top" wrapText="1"/>
    </xf>
    <xf numFmtId="175" fontId="114" fillId="34" borderId="32" xfId="44" applyNumberFormat="1" applyFont="1" applyFill="1" applyBorder="1" applyAlignment="1">
      <alignment horizontal="center" vertical="top" wrapText="1"/>
    </xf>
    <xf numFmtId="0" fontId="117" fillId="33" borderId="29" xfId="0" applyFont="1" applyFill="1" applyBorder="1" applyAlignment="1">
      <alignment horizontal="center"/>
    </xf>
    <xf numFmtId="0" fontId="14" fillId="33" borderId="29" xfId="0" applyFont="1" applyFill="1" applyBorder="1" applyAlignment="1">
      <alignment horizontal="left"/>
    </xf>
    <xf numFmtId="0" fontId="14" fillId="33" borderId="48" xfId="0" applyFont="1" applyFill="1" applyBorder="1" applyAlignment="1">
      <alignment horizontal="center"/>
    </xf>
    <xf numFmtId="0" fontId="14" fillId="33" borderId="40" xfId="0" applyFont="1" applyFill="1" applyBorder="1" applyAlignment="1">
      <alignment horizontal="center"/>
    </xf>
    <xf numFmtId="174" fontId="14" fillId="33" borderId="40" xfId="44" applyNumberFormat="1" applyFont="1" applyFill="1" applyBorder="1" applyAlignment="1">
      <alignment horizontal="right"/>
    </xf>
    <xf numFmtId="174" fontId="14" fillId="33" borderId="29" xfId="44" applyNumberFormat="1" applyFont="1" applyFill="1" applyBorder="1" applyAlignment="1">
      <alignment horizontal="right"/>
    </xf>
    <xf numFmtId="0" fontId="14" fillId="33" borderId="30" xfId="0" applyFont="1" applyFill="1" applyBorder="1" applyAlignment="1">
      <alignment horizontal="left"/>
    </xf>
    <xf numFmtId="175" fontId="15" fillId="34" borderId="30" xfId="44" applyNumberFormat="1" applyFont="1" applyFill="1" applyBorder="1" applyAlignment="1">
      <alignment horizontal="left" vertical="center" wrapText="1"/>
    </xf>
    <xf numFmtId="175" fontId="117" fillId="34" borderId="20" xfId="44" applyNumberFormat="1" applyFont="1" applyFill="1" applyBorder="1" applyAlignment="1">
      <alignment horizontal="center" vertical="center" wrapText="1"/>
    </xf>
    <xf numFmtId="175" fontId="117" fillId="34" borderId="13" xfId="44" applyNumberFormat="1" applyFont="1" applyFill="1" applyBorder="1" applyAlignment="1">
      <alignment horizontal="center" vertical="center" wrapText="1"/>
    </xf>
    <xf numFmtId="175" fontId="117" fillId="34" borderId="17" xfId="44" applyNumberFormat="1" applyFont="1" applyFill="1" applyBorder="1" applyAlignment="1">
      <alignment horizontal="center" vertical="center" wrapText="1"/>
    </xf>
    <xf numFmtId="175" fontId="15" fillId="34" borderId="30" xfId="44" applyNumberFormat="1" applyFont="1" applyFill="1" applyBorder="1" applyAlignment="1">
      <alignment horizontal="center" vertical="center" wrapText="1"/>
    </xf>
    <xf numFmtId="175" fontId="117" fillId="0" borderId="30" xfId="44" applyNumberFormat="1" applyFont="1" applyFill="1" applyBorder="1" applyAlignment="1">
      <alignment horizontal="center" vertical="center" wrapText="1"/>
    </xf>
    <xf numFmtId="175" fontId="14" fillId="0" borderId="30" xfId="44" applyNumberFormat="1" applyFont="1" applyFill="1" applyBorder="1" applyAlignment="1">
      <alignment horizontal="left" vertical="center" wrapText="1"/>
    </xf>
    <xf numFmtId="175" fontId="117" fillId="0" borderId="20" xfId="44" applyNumberFormat="1" applyFont="1" applyFill="1" applyBorder="1" applyAlignment="1">
      <alignment horizontal="center" vertical="center" wrapText="1"/>
    </xf>
    <xf numFmtId="175" fontId="117" fillId="0" borderId="13" xfId="44" applyNumberFormat="1" applyFont="1" applyFill="1" applyBorder="1" applyAlignment="1">
      <alignment horizontal="center" vertical="center" wrapText="1"/>
    </xf>
    <xf numFmtId="175" fontId="117" fillId="0" borderId="17" xfId="44" applyNumberFormat="1" applyFont="1" applyFill="1" applyBorder="1" applyAlignment="1">
      <alignment horizontal="center" vertical="center" wrapText="1"/>
    </xf>
    <xf numFmtId="175" fontId="14" fillId="0" borderId="30" xfId="44" applyNumberFormat="1" applyFont="1" applyFill="1" applyBorder="1" applyAlignment="1">
      <alignment horizontal="center" vertical="center" wrapText="1"/>
    </xf>
    <xf numFmtId="0" fontId="15" fillId="34" borderId="32" xfId="0" applyFont="1" applyFill="1" applyBorder="1" applyAlignment="1">
      <alignment horizontal="left" vertical="center" wrapText="1"/>
    </xf>
    <xf numFmtId="175" fontId="15" fillId="34" borderId="49" xfId="44" applyNumberFormat="1" applyFont="1" applyFill="1" applyBorder="1" applyAlignment="1">
      <alignment horizontal="center" vertical="top" wrapText="1"/>
    </xf>
    <xf numFmtId="175" fontId="15" fillId="34" borderId="23" xfId="44" applyNumberFormat="1" applyFont="1" applyFill="1" applyBorder="1" applyAlignment="1">
      <alignment horizontal="center" vertical="top" wrapText="1"/>
    </xf>
    <xf numFmtId="175" fontId="15" fillId="34" borderId="50" xfId="44" applyNumberFormat="1" applyFont="1" applyFill="1" applyBorder="1" applyAlignment="1">
      <alignment horizontal="center" vertical="top" wrapText="1"/>
    </xf>
    <xf numFmtId="175" fontId="15" fillId="34" borderId="32" xfId="44" applyNumberFormat="1" applyFont="1" applyFill="1" applyBorder="1" applyAlignment="1">
      <alignment horizontal="center" vertical="top" wrapText="1"/>
    </xf>
    <xf numFmtId="0" fontId="115" fillId="33" borderId="30" xfId="0" applyFont="1" applyFill="1" applyBorder="1" applyAlignment="1">
      <alignment horizontal="left" vertical="center" wrapText="1"/>
    </xf>
    <xf numFmtId="175" fontId="115" fillId="33" borderId="20" xfId="44" applyNumberFormat="1" applyFont="1" applyFill="1" applyBorder="1" applyAlignment="1">
      <alignment horizontal="center" vertical="top" wrapText="1"/>
    </xf>
    <xf numFmtId="175" fontId="115" fillId="0" borderId="13" xfId="44" applyNumberFormat="1" applyFont="1" applyFill="1" applyBorder="1" applyAlignment="1">
      <alignment horizontal="center" vertical="top" wrapText="1"/>
    </xf>
    <xf numFmtId="175" fontId="115" fillId="33" borderId="17" xfId="44" applyNumberFormat="1" applyFont="1" applyFill="1" applyBorder="1" applyAlignment="1">
      <alignment horizontal="center" vertical="top" wrapText="1"/>
    </xf>
    <xf numFmtId="175" fontId="115" fillId="33" borderId="30" xfId="44" applyNumberFormat="1" applyFont="1" applyFill="1" applyBorder="1" applyAlignment="1">
      <alignment horizontal="center" vertical="top" wrapText="1"/>
    </xf>
    <xf numFmtId="175" fontId="115" fillId="33" borderId="39" xfId="44" applyNumberFormat="1" applyFont="1" applyFill="1" applyBorder="1" applyAlignment="1">
      <alignment horizontal="center" vertical="top" wrapText="1"/>
    </xf>
    <xf numFmtId="175" fontId="115" fillId="0" borderId="18" xfId="44" applyNumberFormat="1" applyFont="1" applyFill="1" applyBorder="1" applyAlignment="1">
      <alignment horizontal="center" vertical="top" wrapText="1"/>
    </xf>
    <xf numFmtId="175" fontId="115" fillId="33" borderId="40" xfId="44" applyNumberFormat="1" applyFont="1" applyFill="1" applyBorder="1" applyAlignment="1">
      <alignment horizontal="center" vertical="top" wrapText="1"/>
    </xf>
    <xf numFmtId="174" fontId="14" fillId="33" borderId="30" xfId="44" applyNumberFormat="1" applyFont="1" applyFill="1" applyBorder="1" applyAlignment="1">
      <alignment horizontal="right"/>
    </xf>
    <xf numFmtId="0" fontId="115" fillId="43" borderId="29" xfId="0" applyFont="1" applyFill="1" applyBorder="1" applyAlignment="1">
      <alignment horizontal="left" vertical="center" wrapText="1"/>
    </xf>
    <xf numFmtId="0" fontId="116" fillId="43" borderId="29" xfId="0" applyFont="1" applyFill="1" applyBorder="1" applyAlignment="1">
      <alignment vertical="center" wrapText="1"/>
    </xf>
    <xf numFmtId="175" fontId="117" fillId="43" borderId="39" xfId="44" applyNumberFormat="1" applyFont="1" applyFill="1" applyBorder="1" applyAlignment="1">
      <alignment horizontal="center" vertical="top" wrapText="1"/>
    </xf>
    <xf numFmtId="175" fontId="117" fillId="43" borderId="18" xfId="44" applyNumberFormat="1" applyFont="1" applyFill="1" applyBorder="1" applyAlignment="1">
      <alignment horizontal="center" vertical="top" wrapText="1"/>
    </xf>
    <xf numFmtId="175" fontId="117" fillId="43" borderId="40" xfId="44" applyNumberFormat="1" applyFont="1" applyFill="1" applyBorder="1" applyAlignment="1">
      <alignment horizontal="center" vertical="top" wrapText="1"/>
    </xf>
    <xf numFmtId="175" fontId="117" fillId="43" borderId="29" xfId="44" applyNumberFormat="1" applyFont="1" applyFill="1" applyBorder="1" applyAlignment="1">
      <alignment horizontal="center" vertical="top" wrapText="1"/>
    </xf>
    <xf numFmtId="0" fontId="115" fillId="43" borderId="31" xfId="0" applyFont="1" applyFill="1" applyBorder="1" applyAlignment="1">
      <alignment horizontal="left" vertical="center" wrapText="1"/>
    </xf>
    <xf numFmtId="0" fontId="116" fillId="43" borderId="31" xfId="0" applyFont="1" applyFill="1" applyBorder="1" applyAlignment="1">
      <alignment vertical="center" wrapText="1"/>
    </xf>
    <xf numFmtId="175" fontId="117" fillId="43" borderId="51" xfId="44" applyNumberFormat="1" applyFont="1" applyFill="1" applyBorder="1" applyAlignment="1">
      <alignment horizontal="center" vertical="top" wrapText="1"/>
    </xf>
    <xf numFmtId="175" fontId="117" fillId="43" borderId="52" xfId="44" applyNumberFormat="1" applyFont="1" applyFill="1" applyBorder="1" applyAlignment="1">
      <alignment horizontal="center" vertical="top" wrapText="1"/>
    </xf>
    <xf numFmtId="175" fontId="117" fillId="43" borderId="53" xfId="44" applyNumberFormat="1" applyFont="1" applyFill="1" applyBorder="1" applyAlignment="1">
      <alignment horizontal="center" vertical="top" wrapText="1"/>
    </xf>
    <xf numFmtId="175" fontId="117" fillId="43" borderId="31" xfId="44" applyNumberFormat="1" applyFont="1" applyFill="1" applyBorder="1" applyAlignment="1">
      <alignment horizontal="center" vertical="top" wrapText="1"/>
    </xf>
    <xf numFmtId="0" fontId="15" fillId="34" borderId="33" xfId="0" applyFont="1" applyFill="1" applyBorder="1" applyAlignment="1">
      <alignment horizontal="left" vertical="center" wrapText="1"/>
    </xf>
    <xf numFmtId="175" fontId="15" fillId="34" borderId="35" xfId="44" applyNumberFormat="1" applyFont="1" applyFill="1" applyBorder="1" applyAlignment="1">
      <alignment horizontal="center" vertical="top" wrapText="1"/>
    </xf>
    <xf numFmtId="175" fontId="15" fillId="34" borderId="36" xfId="44" applyNumberFormat="1" applyFont="1" applyFill="1" applyBorder="1" applyAlignment="1">
      <alignment horizontal="center" vertical="top" wrapText="1"/>
    </xf>
    <xf numFmtId="175" fontId="15" fillId="34" borderId="37" xfId="44" applyNumberFormat="1" applyFont="1" applyFill="1" applyBorder="1" applyAlignment="1">
      <alignment horizontal="center" vertical="top" wrapText="1"/>
    </xf>
    <xf numFmtId="175" fontId="15" fillId="34" borderId="33" xfId="44" applyNumberFormat="1" applyFont="1" applyFill="1" applyBorder="1" applyAlignment="1">
      <alignment horizontal="center" vertical="top" wrapText="1"/>
    </xf>
    <xf numFmtId="175" fontId="0" fillId="0" borderId="0" xfId="0" applyNumberFormat="1" applyAlignment="1">
      <alignment/>
    </xf>
    <xf numFmtId="175" fontId="14" fillId="0" borderId="30" xfId="44" applyNumberFormat="1" applyFont="1" applyFill="1" applyBorder="1" applyAlignment="1">
      <alignment horizontal="center" vertical="top" wrapText="1"/>
    </xf>
    <xf numFmtId="0" fontId="115" fillId="43" borderId="29" xfId="0" applyFont="1" applyFill="1" applyBorder="1" applyAlignment="1">
      <alignment horizontal="left" vertical="top" wrapText="1"/>
    </xf>
    <xf numFmtId="0" fontId="116" fillId="43" borderId="29" xfId="0" applyFont="1" applyFill="1" applyBorder="1" applyAlignment="1">
      <alignment vertical="top" wrapText="1"/>
    </xf>
    <xf numFmtId="175" fontId="114" fillId="34" borderId="33" xfId="44" applyNumberFormat="1" applyFont="1" applyFill="1" applyBorder="1" applyAlignment="1">
      <alignment horizontal="center" vertical="top" wrapText="1"/>
    </xf>
    <xf numFmtId="0" fontId="115" fillId="33" borderId="38" xfId="0" applyFont="1" applyFill="1" applyBorder="1" applyAlignment="1">
      <alignment horizontal="left" vertical="center" wrapText="1"/>
    </xf>
    <xf numFmtId="0" fontId="115" fillId="43" borderId="30" xfId="0" applyFont="1" applyFill="1" applyBorder="1" applyAlignment="1">
      <alignment horizontal="left" vertical="center" wrapText="1"/>
    </xf>
    <xf numFmtId="0" fontId="117" fillId="43" borderId="30" xfId="0" applyFont="1" applyFill="1" applyBorder="1" applyAlignment="1">
      <alignment horizontal="left" vertical="top" wrapText="1"/>
    </xf>
    <xf numFmtId="175" fontId="117" fillId="43" borderId="20" xfId="44" applyNumberFormat="1" applyFont="1" applyFill="1" applyBorder="1" applyAlignment="1">
      <alignment horizontal="center" vertical="top" wrapText="1"/>
    </xf>
    <xf numFmtId="175" fontId="117" fillId="43" borderId="13" xfId="44" applyNumberFormat="1" applyFont="1" applyFill="1" applyBorder="1" applyAlignment="1">
      <alignment horizontal="center" vertical="top" wrapText="1"/>
    </xf>
    <xf numFmtId="175" fontId="117" fillId="43" borderId="17" xfId="44" applyNumberFormat="1" applyFont="1" applyFill="1" applyBorder="1" applyAlignment="1">
      <alignment horizontal="center" vertical="top" wrapText="1"/>
    </xf>
    <xf numFmtId="175" fontId="117" fillId="43" borderId="30" xfId="44" applyNumberFormat="1" applyFont="1" applyFill="1" applyBorder="1" applyAlignment="1">
      <alignment horizontal="center" vertical="top" wrapText="1"/>
    </xf>
    <xf numFmtId="0" fontId="117" fillId="43" borderId="30" xfId="0" applyFont="1" applyFill="1" applyBorder="1" applyAlignment="1">
      <alignment horizontal="left" vertical="center" wrapText="1"/>
    </xf>
    <xf numFmtId="0" fontId="15" fillId="0" borderId="31" xfId="0" applyFont="1" applyBorder="1" applyAlignment="1">
      <alignment horizontal="left" vertical="center" wrapText="1"/>
    </xf>
    <xf numFmtId="0" fontId="14" fillId="33" borderId="29" xfId="0" applyFont="1" applyFill="1" applyBorder="1" applyAlignment="1">
      <alignment horizontal="left" vertical="center" wrapText="1"/>
    </xf>
    <xf numFmtId="175" fontId="14" fillId="33" borderId="39" xfId="44" applyNumberFormat="1" applyFont="1" applyFill="1" applyBorder="1" applyAlignment="1">
      <alignment horizontal="center" vertical="top" wrapText="1"/>
    </xf>
    <xf numFmtId="175" fontId="14" fillId="33" borderId="18" xfId="44" applyNumberFormat="1" applyFont="1" applyFill="1" applyBorder="1" applyAlignment="1">
      <alignment horizontal="center" vertical="top" wrapText="1"/>
    </xf>
    <xf numFmtId="175" fontId="14" fillId="33" borderId="40" xfId="44" applyNumberFormat="1" applyFont="1" applyFill="1" applyBorder="1" applyAlignment="1">
      <alignment horizontal="center" vertical="top" wrapText="1"/>
    </xf>
    <xf numFmtId="175" fontId="14" fillId="33" borderId="29" xfId="44" applyNumberFormat="1" applyFont="1" applyFill="1" applyBorder="1" applyAlignment="1">
      <alignment horizontal="center" vertical="top" wrapText="1"/>
    </xf>
    <xf numFmtId="0" fontId="115" fillId="0" borderId="30" xfId="0" applyFont="1" applyBorder="1" applyAlignment="1">
      <alignment horizontal="left" vertical="center" wrapText="1"/>
    </xf>
    <xf numFmtId="175" fontId="115" fillId="33" borderId="13" xfId="44" applyNumberFormat="1" applyFont="1" applyFill="1" applyBorder="1" applyAlignment="1">
      <alignment horizontal="center" vertical="top" wrapText="1"/>
    </xf>
    <xf numFmtId="0" fontId="117" fillId="43" borderId="30" xfId="0" applyFont="1" applyFill="1" applyBorder="1" applyAlignment="1">
      <alignment horizontal="left" wrapText="1"/>
    </xf>
    <xf numFmtId="175" fontId="115" fillId="43" borderId="41" xfId="44" applyNumberFormat="1" applyFont="1" applyFill="1" applyBorder="1" applyAlignment="1">
      <alignment horizontal="center" vertical="top" wrapText="1"/>
    </xf>
    <xf numFmtId="0" fontId="115" fillId="0" borderId="38" xfId="0" applyFont="1" applyBorder="1" applyAlignment="1">
      <alignment horizontal="left" vertical="center" wrapText="1"/>
    </xf>
    <xf numFmtId="0" fontId="14" fillId="0" borderId="29" xfId="0" applyFont="1" applyBorder="1" applyAlignment="1">
      <alignment horizontal="left" vertical="center" wrapText="1"/>
    </xf>
    <xf numFmtId="175" fontId="115" fillId="0" borderId="39" xfId="44" applyNumberFormat="1" applyFont="1" applyFill="1" applyBorder="1" applyAlignment="1">
      <alignment horizontal="center" vertical="top" wrapText="1"/>
    </xf>
    <xf numFmtId="175" fontId="115" fillId="0" borderId="40" xfId="44" applyNumberFormat="1" applyFont="1" applyFill="1" applyBorder="1" applyAlignment="1">
      <alignment horizontal="center" vertical="top" wrapText="1"/>
    </xf>
    <xf numFmtId="175" fontId="115" fillId="0" borderId="30" xfId="44" applyNumberFormat="1" applyFont="1" applyFill="1" applyBorder="1" applyAlignment="1">
      <alignment horizontal="center" vertical="top" wrapText="1"/>
    </xf>
    <xf numFmtId="0" fontId="14" fillId="0" borderId="30" xfId="0" applyFont="1" applyBorder="1" applyAlignment="1">
      <alignment horizontal="left" vertical="center" wrapText="1"/>
    </xf>
    <xf numFmtId="175" fontId="115" fillId="0" borderId="20" xfId="44" applyNumberFormat="1" applyFont="1" applyFill="1" applyBorder="1" applyAlignment="1">
      <alignment horizontal="center" vertical="top" wrapText="1"/>
    </xf>
    <xf numFmtId="175" fontId="115" fillId="0" borderId="17" xfId="44" applyNumberFormat="1" applyFont="1" applyFill="1" applyBorder="1" applyAlignment="1">
      <alignment horizontal="center" vertical="top" wrapText="1"/>
    </xf>
    <xf numFmtId="0" fontId="115" fillId="0" borderId="54" xfId="0" applyFont="1" applyBorder="1" applyAlignment="1">
      <alignment horizontal="left" vertical="center" wrapText="1"/>
    </xf>
    <xf numFmtId="0" fontId="14" fillId="0" borderId="55" xfId="0" applyFont="1" applyBorder="1" applyAlignment="1">
      <alignment horizontal="left" vertical="center" wrapText="1"/>
    </xf>
    <xf numFmtId="175" fontId="115" fillId="0" borderId="43" xfId="44" applyNumberFormat="1" applyFont="1" applyFill="1" applyBorder="1" applyAlignment="1">
      <alignment horizontal="center" vertical="top" wrapText="1"/>
    </xf>
    <xf numFmtId="175" fontId="115" fillId="0" borderId="15" xfId="44" applyNumberFormat="1" applyFont="1" applyFill="1" applyBorder="1" applyAlignment="1">
      <alignment horizontal="center" vertical="top" wrapText="1"/>
    </xf>
    <xf numFmtId="175" fontId="115" fillId="0" borderId="56" xfId="44" applyNumberFormat="1" applyFont="1" applyFill="1" applyBorder="1" applyAlignment="1">
      <alignment horizontal="center" vertical="top" wrapText="1"/>
    </xf>
    <xf numFmtId="0" fontId="15" fillId="34" borderId="47" xfId="0" applyFont="1" applyFill="1" applyBorder="1" applyAlignment="1">
      <alignment horizontal="left" vertical="center" wrapText="1"/>
    </xf>
    <xf numFmtId="175" fontId="15" fillId="34" borderId="57" xfId="44" applyNumberFormat="1" applyFont="1" applyFill="1" applyBorder="1" applyAlignment="1">
      <alignment horizontal="center" vertical="center" wrapText="1"/>
    </xf>
    <xf numFmtId="175" fontId="15" fillId="34" borderId="58" xfId="44" applyNumberFormat="1" applyFont="1" applyFill="1" applyBorder="1" applyAlignment="1">
      <alignment horizontal="center" vertical="center" wrapText="1"/>
    </xf>
    <xf numFmtId="175" fontId="15" fillId="34" borderId="47" xfId="44" applyNumberFormat="1" applyFont="1" applyFill="1" applyBorder="1" applyAlignment="1">
      <alignment horizontal="center" vertical="center" wrapText="1"/>
    </xf>
    <xf numFmtId="0" fontId="115" fillId="0" borderId="31" xfId="0" applyFont="1" applyBorder="1" applyAlignment="1">
      <alignment horizontal="left" vertical="center" wrapText="1"/>
    </xf>
    <xf numFmtId="175" fontId="120" fillId="0" borderId="51" xfId="44" applyNumberFormat="1" applyFont="1" applyFill="1" applyBorder="1" applyAlignment="1">
      <alignment vertical="center" wrapText="1"/>
    </xf>
    <xf numFmtId="175" fontId="120" fillId="0" borderId="13" xfId="44" applyNumberFormat="1" applyFont="1" applyFill="1" applyBorder="1" applyAlignment="1">
      <alignment vertical="center" wrapText="1"/>
    </xf>
    <xf numFmtId="175" fontId="120" fillId="0" borderId="17" xfId="44" applyNumberFormat="1" applyFont="1" applyFill="1" applyBorder="1" applyAlignment="1">
      <alignment vertical="center" wrapText="1"/>
    </xf>
    <xf numFmtId="175" fontId="14" fillId="33" borderId="30" xfId="44" applyNumberFormat="1" applyFont="1" applyFill="1" applyBorder="1" applyAlignment="1">
      <alignment horizontal="center" vertical="center" wrapText="1"/>
    </xf>
    <xf numFmtId="175" fontId="14" fillId="33" borderId="54" xfId="44" applyNumberFormat="1" applyFont="1" applyFill="1" applyBorder="1" applyAlignment="1">
      <alignment horizontal="center" vertical="center" wrapText="1"/>
    </xf>
    <xf numFmtId="0" fontId="117" fillId="43" borderId="55" xfId="0" applyFont="1" applyFill="1" applyBorder="1" applyAlignment="1">
      <alignment horizontal="left" vertical="top" wrapText="1"/>
    </xf>
    <xf numFmtId="175" fontId="115" fillId="33" borderId="0" xfId="44" applyNumberFormat="1" applyFont="1" applyFill="1" applyBorder="1" applyAlignment="1">
      <alignment horizontal="center" vertical="center" wrapText="1"/>
    </xf>
    <xf numFmtId="0" fontId="15" fillId="34" borderId="28" xfId="0" applyFont="1" applyFill="1" applyBorder="1" applyAlignment="1">
      <alignment horizontal="left" vertical="center" wrapText="1"/>
    </xf>
    <xf numFmtId="175" fontId="15" fillId="34" borderId="59" xfId="44" applyNumberFormat="1" applyFont="1" applyFill="1" applyBorder="1" applyAlignment="1">
      <alignment horizontal="center" vertical="top" wrapText="1"/>
    </xf>
    <xf numFmtId="0" fontId="117" fillId="43" borderId="31" xfId="0" applyFont="1" applyFill="1" applyBorder="1" applyAlignment="1">
      <alignment horizontal="left" vertical="top" wrapText="1"/>
    </xf>
    <xf numFmtId="175" fontId="117" fillId="43" borderId="48" xfId="44" applyNumberFormat="1" applyFont="1" applyFill="1" applyBorder="1" applyAlignment="1">
      <alignment horizontal="center" vertical="top" wrapText="1"/>
    </xf>
    <xf numFmtId="175" fontId="117" fillId="43" borderId="38" xfId="44" applyNumberFormat="1" applyFont="1" applyFill="1" applyBorder="1" applyAlignment="1">
      <alignment horizontal="center" vertical="top" wrapText="1"/>
    </xf>
    <xf numFmtId="0" fontId="114" fillId="12" borderId="33" xfId="0" applyFont="1" applyFill="1" applyBorder="1" applyAlignment="1">
      <alignment horizontal="left" vertical="center" wrapText="1"/>
    </xf>
    <xf numFmtId="175" fontId="114" fillId="6" borderId="35" xfId="44" applyNumberFormat="1" applyFont="1" applyFill="1" applyBorder="1" applyAlignment="1">
      <alignment horizontal="center" vertical="top" wrapText="1"/>
    </xf>
    <xf numFmtId="175" fontId="114" fillId="6" borderId="36" xfId="44" applyNumberFormat="1" applyFont="1" applyFill="1" applyBorder="1" applyAlignment="1">
      <alignment horizontal="center" vertical="top" wrapText="1"/>
    </xf>
    <xf numFmtId="175" fontId="114" fillId="6" borderId="37" xfId="44" applyNumberFormat="1" applyFont="1" applyFill="1" applyBorder="1" applyAlignment="1">
      <alignment horizontal="center" vertical="top" wrapText="1"/>
    </xf>
    <xf numFmtId="175" fontId="114" fillId="6" borderId="33" xfId="44" applyNumberFormat="1" applyFont="1" applyFill="1" applyBorder="1" applyAlignment="1">
      <alignment horizontal="center" vertical="top" wrapText="1"/>
    </xf>
    <xf numFmtId="175" fontId="15" fillId="12" borderId="33" xfId="44" applyNumberFormat="1" applyFont="1" applyFill="1" applyBorder="1" applyAlignment="1">
      <alignment horizontal="center" vertical="top" wrapText="1"/>
    </xf>
    <xf numFmtId="0" fontId="15" fillId="0" borderId="33" xfId="0" applyFont="1" applyBorder="1" applyAlignment="1">
      <alignment horizontal="left" vertical="center" wrapText="1"/>
    </xf>
    <xf numFmtId="0" fontId="15" fillId="0" borderId="35" xfId="0" applyFont="1" applyBorder="1" applyAlignment="1">
      <alignment horizontal="center" vertical="top" wrapText="1"/>
    </xf>
    <xf numFmtId="0" fontId="15" fillId="0" borderId="36" xfId="0" applyFont="1" applyBorder="1" applyAlignment="1">
      <alignment horizontal="center" vertical="top" wrapText="1"/>
    </xf>
    <xf numFmtId="175" fontId="114" fillId="0" borderId="37" xfId="44" applyNumberFormat="1" applyFont="1" applyFill="1" applyBorder="1" applyAlignment="1">
      <alignment horizontal="center" vertical="top" wrapText="1"/>
    </xf>
    <xf numFmtId="175" fontId="15" fillId="0" borderId="33" xfId="44" applyNumberFormat="1" applyFont="1" applyFill="1" applyBorder="1" applyAlignment="1">
      <alignment horizontal="center" vertical="top" wrapText="1"/>
    </xf>
    <xf numFmtId="175" fontId="15" fillId="12" borderId="35" xfId="44" applyNumberFormat="1" applyFont="1" applyFill="1" applyBorder="1" applyAlignment="1">
      <alignment horizontal="center" vertical="top" wrapText="1"/>
    </xf>
    <xf numFmtId="175" fontId="15" fillId="12" borderId="36" xfId="44" applyNumberFormat="1" applyFont="1" applyFill="1" applyBorder="1" applyAlignment="1">
      <alignment horizontal="center" vertical="top" wrapText="1"/>
    </xf>
    <xf numFmtId="175" fontId="15" fillId="12" borderId="37" xfId="44" applyNumberFormat="1" applyFont="1" applyFill="1" applyBorder="1" applyAlignment="1">
      <alignment horizontal="center" vertical="top" wrapText="1"/>
    </xf>
    <xf numFmtId="175" fontId="114" fillId="37" borderId="60" xfId="44" applyNumberFormat="1" applyFont="1" applyFill="1" applyBorder="1" applyAlignment="1">
      <alignment horizontal="center" vertical="top" wrapText="1"/>
    </xf>
    <xf numFmtId="175" fontId="114" fillId="34" borderId="21" xfId="44" applyNumberFormat="1" applyFont="1" applyFill="1" applyBorder="1" applyAlignment="1">
      <alignment horizontal="center" vertical="center" wrapText="1"/>
    </xf>
    <xf numFmtId="175" fontId="115" fillId="33" borderId="21" xfId="44" applyNumberFormat="1" applyFont="1" applyFill="1" applyBorder="1" applyAlignment="1">
      <alignment horizontal="center" vertical="center" wrapText="1"/>
    </xf>
    <xf numFmtId="175" fontId="14" fillId="16" borderId="21" xfId="44" applyNumberFormat="1" applyFont="1" applyFill="1" applyBorder="1" applyAlignment="1">
      <alignment horizontal="center" vertical="center" wrapText="1"/>
    </xf>
    <xf numFmtId="175" fontId="117" fillId="43" borderId="21" xfId="44" applyNumberFormat="1" applyFont="1" applyFill="1" applyBorder="1" applyAlignment="1">
      <alignment horizontal="center" vertical="center" wrapText="1"/>
    </xf>
    <xf numFmtId="175" fontId="114" fillId="34" borderId="10" xfId="44" applyNumberFormat="1" applyFont="1" applyFill="1" applyBorder="1" applyAlignment="1">
      <alignment horizontal="center" vertical="center" wrapText="1"/>
    </xf>
    <xf numFmtId="175" fontId="115" fillId="16" borderId="10" xfId="44" applyNumberFormat="1" applyFont="1" applyFill="1" applyBorder="1" applyAlignment="1">
      <alignment horizontal="center" vertical="center" wrapText="1"/>
    </xf>
    <xf numFmtId="175" fontId="117" fillId="43" borderId="10" xfId="44" applyNumberFormat="1" applyFont="1" applyFill="1" applyBorder="1" applyAlignment="1">
      <alignment horizontal="center" vertical="center" wrapText="1"/>
    </xf>
    <xf numFmtId="175" fontId="115" fillId="33" borderId="10" xfId="44" applyNumberFormat="1" applyFont="1" applyFill="1" applyBorder="1" applyAlignment="1">
      <alignment horizontal="center" vertical="center" wrapText="1"/>
    </xf>
    <xf numFmtId="175" fontId="115" fillId="0" borderId="10" xfId="44" applyNumberFormat="1" applyFont="1" applyFill="1" applyBorder="1" applyAlignment="1">
      <alignment horizontal="center" vertical="center" wrapText="1"/>
    </xf>
    <xf numFmtId="175" fontId="115" fillId="0" borderId="21" xfId="44" applyNumberFormat="1" applyFont="1" applyFill="1" applyBorder="1" applyAlignment="1">
      <alignment horizontal="center" vertical="center" wrapText="1"/>
    </xf>
    <xf numFmtId="175" fontId="115" fillId="34" borderId="60" xfId="44" applyNumberFormat="1" applyFont="1" applyFill="1" applyBorder="1" applyAlignment="1">
      <alignment horizontal="center" vertical="top" wrapText="1"/>
    </xf>
    <xf numFmtId="174" fontId="14" fillId="33" borderId="21" xfId="44" applyNumberFormat="1" applyFont="1" applyFill="1" applyBorder="1" applyAlignment="1">
      <alignment horizontal="right"/>
    </xf>
    <xf numFmtId="175" fontId="117" fillId="34" borderId="10" xfId="44" applyNumberFormat="1" applyFont="1" applyFill="1" applyBorder="1" applyAlignment="1">
      <alignment horizontal="center" vertical="center" wrapText="1"/>
    </xf>
    <xf numFmtId="175" fontId="117" fillId="0" borderId="10" xfId="44" applyNumberFormat="1" applyFont="1" applyFill="1" applyBorder="1" applyAlignment="1">
      <alignment horizontal="center" vertical="center" wrapText="1"/>
    </xf>
    <xf numFmtId="175" fontId="15" fillId="34" borderId="61" xfId="44" applyNumberFormat="1" applyFont="1" applyFill="1" applyBorder="1" applyAlignment="1">
      <alignment horizontal="center" vertical="top" wrapText="1"/>
    </xf>
    <xf numFmtId="175" fontId="115" fillId="33" borderId="10" xfId="44" applyNumberFormat="1" applyFont="1" applyFill="1" applyBorder="1" applyAlignment="1">
      <alignment horizontal="center" vertical="top" wrapText="1"/>
    </xf>
    <xf numFmtId="175" fontId="115" fillId="33" borderId="21" xfId="44" applyNumberFormat="1" applyFont="1" applyFill="1" applyBorder="1" applyAlignment="1">
      <alignment horizontal="center" vertical="top" wrapText="1"/>
    </xf>
    <xf numFmtId="175" fontId="117" fillId="43" borderId="21" xfId="44" applyNumberFormat="1" applyFont="1" applyFill="1" applyBorder="1" applyAlignment="1">
      <alignment horizontal="center" vertical="top" wrapText="1"/>
    </xf>
    <xf numFmtId="175" fontId="117" fillId="43" borderId="62" xfId="44" applyNumberFormat="1" applyFont="1" applyFill="1" applyBorder="1" applyAlignment="1">
      <alignment horizontal="center" vertical="top" wrapText="1"/>
    </xf>
    <xf numFmtId="175" fontId="15" fillId="34" borderId="60" xfId="44" applyNumberFormat="1" applyFont="1" applyFill="1" applyBorder="1" applyAlignment="1">
      <alignment horizontal="center" vertical="top" wrapText="1"/>
    </xf>
    <xf numFmtId="175" fontId="117" fillId="43" borderId="10" xfId="44" applyNumberFormat="1" applyFont="1" applyFill="1" applyBorder="1" applyAlignment="1">
      <alignment horizontal="center" vertical="top" wrapText="1"/>
    </xf>
    <xf numFmtId="175" fontId="14" fillId="33" borderId="21" xfId="44" applyNumberFormat="1" applyFont="1" applyFill="1" applyBorder="1" applyAlignment="1">
      <alignment horizontal="center" vertical="top" wrapText="1"/>
    </xf>
    <xf numFmtId="175" fontId="115" fillId="0" borderId="21" xfId="44" applyNumberFormat="1" applyFont="1" applyFill="1" applyBorder="1" applyAlignment="1">
      <alignment horizontal="center" vertical="top" wrapText="1"/>
    </xf>
    <xf numFmtId="175" fontId="115" fillId="0" borderId="10" xfId="44" applyNumberFormat="1" applyFont="1" applyFill="1" applyBorder="1" applyAlignment="1">
      <alignment horizontal="center" vertical="top" wrapText="1"/>
    </xf>
    <xf numFmtId="175" fontId="115" fillId="0" borderId="63" xfId="44" applyNumberFormat="1" applyFont="1" applyFill="1" applyBorder="1" applyAlignment="1">
      <alignment horizontal="center" vertical="top" wrapText="1"/>
    </xf>
    <xf numFmtId="175" fontId="15" fillId="34" borderId="64" xfId="44" applyNumberFormat="1" applyFont="1" applyFill="1" applyBorder="1" applyAlignment="1">
      <alignment horizontal="center" vertical="center" wrapText="1"/>
    </xf>
    <xf numFmtId="175" fontId="120" fillId="0" borderId="10" xfId="44" applyNumberFormat="1" applyFont="1" applyFill="1" applyBorder="1" applyAlignment="1">
      <alignment vertical="center" wrapText="1"/>
    </xf>
    <xf numFmtId="0" fontId="15" fillId="34" borderId="14" xfId="0" applyFont="1" applyFill="1" applyBorder="1" applyAlignment="1">
      <alignment horizontal="left" vertical="center" wrapText="1"/>
    </xf>
    <xf numFmtId="175" fontId="114" fillId="6" borderId="60" xfId="44" applyNumberFormat="1" applyFont="1" applyFill="1" applyBorder="1" applyAlignment="1">
      <alignment horizontal="center" vertical="top" wrapText="1"/>
    </xf>
    <xf numFmtId="175" fontId="114" fillId="0" borderId="60" xfId="44" applyNumberFormat="1" applyFont="1" applyFill="1" applyBorder="1" applyAlignment="1">
      <alignment horizontal="center" vertical="top" wrapText="1"/>
    </xf>
    <xf numFmtId="175" fontId="15" fillId="12" borderId="60" xfId="44" applyNumberFormat="1" applyFont="1" applyFill="1" applyBorder="1" applyAlignment="1">
      <alignment horizontal="center" vertical="top" wrapText="1"/>
    </xf>
    <xf numFmtId="170" fontId="0" fillId="0" borderId="0" xfId="0" applyNumberFormat="1" applyAlignment="1">
      <alignment wrapText="1"/>
    </xf>
    <xf numFmtId="176" fontId="88" fillId="0" borderId="13" xfId="46" applyNumberFormat="1" applyFont="1" applyBorder="1" applyAlignment="1" applyProtection="1">
      <alignment horizontal="center" vertical="center" wrapText="1"/>
      <protection locked="0"/>
    </xf>
    <xf numFmtId="176" fontId="89" fillId="34" borderId="16" xfId="46" applyNumberFormat="1" applyFont="1" applyFill="1" applyBorder="1" applyAlignment="1" applyProtection="1">
      <alignment vertical="center" wrapText="1"/>
      <protection/>
    </xf>
    <xf numFmtId="176" fontId="89" fillId="34" borderId="23" xfId="46" applyNumberFormat="1" applyFont="1" applyFill="1" applyBorder="1" applyAlignment="1">
      <alignment wrapText="1"/>
    </xf>
    <xf numFmtId="176" fontId="88" fillId="34" borderId="23" xfId="46" applyNumberFormat="1" applyFont="1" applyFill="1" applyBorder="1" applyAlignment="1">
      <alignment wrapText="1"/>
    </xf>
    <xf numFmtId="176" fontId="89" fillId="34" borderId="13" xfId="46" applyNumberFormat="1" applyFont="1" applyFill="1" applyBorder="1" applyAlignment="1">
      <alignment vertical="center" wrapText="1"/>
    </xf>
    <xf numFmtId="176" fontId="89" fillId="34" borderId="16" xfId="46" applyNumberFormat="1" applyFont="1" applyFill="1" applyBorder="1" applyAlignment="1">
      <alignment vertical="center" wrapText="1"/>
    </xf>
    <xf numFmtId="176" fontId="88" fillId="34" borderId="18" xfId="0" applyNumberFormat="1" applyFont="1" applyFill="1" applyBorder="1" applyAlignment="1">
      <alignment wrapText="1"/>
    </xf>
    <xf numFmtId="176" fontId="88" fillId="34" borderId="13" xfId="46" applyNumberFormat="1" applyFont="1" applyFill="1" applyBorder="1" applyAlignment="1">
      <alignment wrapText="1"/>
    </xf>
    <xf numFmtId="176" fontId="88" fillId="34" borderId="16" xfId="0" applyNumberFormat="1" applyFont="1" applyFill="1" applyBorder="1" applyAlignment="1">
      <alignment wrapText="1"/>
    </xf>
    <xf numFmtId="176" fontId="89" fillId="34" borderId="23" xfId="0" applyNumberFormat="1" applyFont="1" applyFill="1" applyBorder="1" applyAlignment="1">
      <alignment wrapText="1"/>
    </xf>
    <xf numFmtId="176" fontId="88" fillId="34" borderId="13" xfId="0" applyNumberFormat="1" applyFont="1" applyFill="1" applyBorder="1" applyAlignment="1">
      <alignment wrapText="1"/>
    </xf>
    <xf numFmtId="176" fontId="89" fillId="34" borderId="13" xfId="46" applyNumberFormat="1" applyFont="1" applyFill="1" applyBorder="1" applyAlignment="1" applyProtection="1">
      <alignment vertical="center" wrapText="1"/>
      <protection/>
    </xf>
    <xf numFmtId="176" fontId="89" fillId="34" borderId="15" xfId="46" applyNumberFormat="1" applyFont="1" applyFill="1" applyBorder="1" applyAlignment="1" applyProtection="1">
      <alignment vertical="center" wrapText="1"/>
      <protection/>
    </xf>
    <xf numFmtId="176" fontId="88" fillId="34" borderId="13" xfId="0" applyNumberFormat="1" applyFont="1" applyFill="1" applyBorder="1" applyAlignment="1">
      <alignment vertical="center" wrapText="1"/>
    </xf>
    <xf numFmtId="176" fontId="89" fillId="34" borderId="61" xfId="0" applyNumberFormat="1" applyFont="1" applyFill="1" applyBorder="1" applyAlignment="1">
      <alignment wrapText="1"/>
    </xf>
    <xf numFmtId="176" fontId="89" fillId="34" borderId="21" xfId="0" applyNumberFormat="1" applyFont="1" applyFill="1" applyBorder="1" applyAlignment="1">
      <alignment wrapText="1"/>
    </xf>
    <xf numFmtId="176" fontId="88" fillId="34" borderId="21" xfId="0" applyNumberFormat="1" applyFont="1" applyFill="1" applyBorder="1" applyAlignment="1">
      <alignment wrapText="1"/>
    </xf>
    <xf numFmtId="176" fontId="88" fillId="34" borderId="14" xfId="0" applyNumberFormat="1" applyFont="1" applyFill="1" applyBorder="1" applyAlignment="1">
      <alignment vertical="center" wrapText="1"/>
    </xf>
    <xf numFmtId="176" fontId="88" fillId="34" borderId="10" xfId="0" applyNumberFormat="1" applyFont="1" applyFill="1" applyBorder="1" applyAlignment="1">
      <alignment vertical="center" wrapText="1"/>
    </xf>
    <xf numFmtId="176" fontId="88" fillId="0" borderId="0" xfId="0" applyNumberFormat="1" applyFont="1" applyAlignment="1" applyProtection="1">
      <alignment vertical="center" wrapText="1"/>
      <protection locked="0"/>
    </xf>
    <xf numFmtId="176" fontId="89" fillId="34" borderId="11" xfId="0" applyNumberFormat="1" applyFont="1" applyFill="1" applyBorder="1" applyAlignment="1">
      <alignment vertical="center" wrapText="1"/>
    </xf>
    <xf numFmtId="176" fontId="89" fillId="34" borderId="12" xfId="46" applyNumberFormat="1" applyFont="1" applyFill="1" applyBorder="1" applyAlignment="1" applyProtection="1">
      <alignment vertical="center" wrapText="1"/>
      <protection/>
    </xf>
    <xf numFmtId="176" fontId="0" fillId="0" borderId="0" xfId="0" applyNumberFormat="1" applyAlignment="1">
      <alignment wrapText="1"/>
    </xf>
    <xf numFmtId="176" fontId="89" fillId="33" borderId="0" xfId="0" applyNumberFormat="1" applyFont="1" applyFill="1" applyAlignment="1">
      <alignment vertical="center" wrapText="1"/>
    </xf>
    <xf numFmtId="176" fontId="89" fillId="34" borderId="14" xfId="0" applyNumberFormat="1" applyFont="1" applyFill="1" applyBorder="1" applyAlignment="1">
      <alignment horizontal="center" vertical="center" wrapText="1"/>
    </xf>
    <xf numFmtId="176" fontId="89" fillId="34" borderId="13" xfId="46" applyNumberFormat="1" applyFont="1" applyFill="1" applyBorder="1" applyAlignment="1" applyProtection="1">
      <alignment horizontal="center" vertical="center" wrapText="1"/>
      <protection/>
    </xf>
    <xf numFmtId="176" fontId="89" fillId="34" borderId="13" xfId="0" applyNumberFormat="1" applyFont="1" applyFill="1" applyBorder="1" applyAlignment="1">
      <alignment horizontal="center" vertical="center" wrapText="1"/>
    </xf>
    <xf numFmtId="176" fontId="89" fillId="34" borderId="14" xfId="0" applyNumberFormat="1" applyFont="1" applyFill="1" applyBorder="1" applyAlignment="1">
      <alignment vertical="center" wrapText="1"/>
    </xf>
    <xf numFmtId="176" fontId="89" fillId="34" borderId="17" xfId="46" applyNumberFormat="1" applyFont="1" applyFill="1" applyBorder="1" applyAlignment="1" applyProtection="1">
      <alignment vertical="center" wrapText="1"/>
      <protection/>
    </xf>
    <xf numFmtId="176" fontId="89" fillId="34" borderId="65" xfId="0" applyNumberFormat="1" applyFont="1" applyFill="1" applyBorder="1" applyAlignment="1">
      <alignment vertical="center" wrapText="1"/>
    </xf>
    <xf numFmtId="176" fontId="86" fillId="34" borderId="66" xfId="0" applyNumberFormat="1" applyFont="1" applyFill="1" applyBorder="1" applyAlignment="1">
      <alignment horizontal="left" vertical="center" wrapText="1"/>
    </xf>
    <xf numFmtId="176" fontId="89" fillId="34" borderId="67" xfId="0" applyNumberFormat="1" applyFont="1" applyFill="1" applyBorder="1" applyAlignment="1">
      <alignment vertical="center" wrapText="1"/>
    </xf>
    <xf numFmtId="176" fontId="86" fillId="34" borderId="14" xfId="0" applyNumberFormat="1" applyFont="1" applyFill="1" applyBorder="1" applyAlignment="1">
      <alignment horizontal="left" vertical="center" wrapText="1"/>
    </xf>
    <xf numFmtId="176" fontId="89" fillId="34" borderId="10" xfId="50" applyNumberFormat="1" applyFont="1" applyFill="1" applyBorder="1" applyAlignment="1" applyProtection="1">
      <alignment wrapText="1"/>
      <protection/>
    </xf>
    <xf numFmtId="0" fontId="121" fillId="6" borderId="0" xfId="0" applyFont="1" applyFill="1" applyAlignment="1">
      <alignment horizontal="left" vertical="center" wrapText="1"/>
    </xf>
    <xf numFmtId="0" fontId="89" fillId="34" borderId="20" xfId="0" applyFont="1" applyFill="1" applyBorder="1" applyAlignment="1">
      <alignment horizontal="center" vertical="center" wrapText="1"/>
    </xf>
    <xf numFmtId="170" fontId="89" fillId="6" borderId="13" xfId="46" applyFont="1" applyFill="1" applyBorder="1" applyAlignment="1" applyProtection="1">
      <alignment horizontal="center" vertical="center" wrapText="1"/>
      <protection/>
    </xf>
    <xf numFmtId="0" fontId="89" fillId="6" borderId="13" xfId="46" applyNumberFormat="1" applyFont="1" applyFill="1" applyBorder="1" applyAlignment="1" applyProtection="1">
      <alignment horizontal="center" vertical="center" wrapText="1"/>
      <protection/>
    </xf>
    <xf numFmtId="170" fontId="89" fillId="6" borderId="16" xfId="0" applyNumberFormat="1" applyFont="1" applyFill="1" applyBorder="1" applyAlignment="1">
      <alignment horizontal="center" wrapText="1"/>
    </xf>
    <xf numFmtId="170" fontId="89" fillId="6" borderId="16" xfId="0" applyNumberFormat="1" applyFont="1" applyFill="1" applyBorder="1" applyAlignment="1">
      <alignment wrapText="1"/>
    </xf>
    <xf numFmtId="170" fontId="89" fillId="6" borderId="17" xfId="0" applyNumberFormat="1" applyFont="1" applyFill="1" applyBorder="1" applyAlignment="1">
      <alignment wrapText="1"/>
    </xf>
    <xf numFmtId="170" fontId="89" fillId="6" borderId="13" xfId="46" applyFont="1" applyFill="1" applyBorder="1" applyAlignment="1">
      <alignment wrapText="1"/>
    </xf>
    <xf numFmtId="170" fontId="89" fillId="6" borderId="13" xfId="0" applyNumberFormat="1" applyFont="1" applyFill="1" applyBorder="1" applyAlignment="1">
      <alignment wrapText="1"/>
    </xf>
    <xf numFmtId="170" fontId="89" fillId="6" borderId="15" xfId="0" applyNumberFormat="1" applyFont="1" applyFill="1" applyBorder="1" applyAlignment="1">
      <alignment wrapText="1"/>
    </xf>
    <xf numFmtId="170" fontId="89" fillId="6" borderId="15" xfId="46" applyFont="1" applyFill="1" applyBorder="1" applyAlignment="1">
      <alignment wrapText="1"/>
    </xf>
    <xf numFmtId="170" fontId="89" fillId="6" borderId="13" xfId="0" applyNumberFormat="1" applyFont="1" applyFill="1" applyBorder="1" applyAlignment="1">
      <alignment horizontal="center" wrapText="1"/>
    </xf>
    <xf numFmtId="170" fontId="88" fillId="6" borderId="18" xfId="0" applyNumberFormat="1" applyFont="1" applyFill="1" applyBorder="1" applyAlignment="1">
      <alignment wrapText="1"/>
    </xf>
    <xf numFmtId="176" fontId="88" fillId="6" borderId="18" xfId="0" applyNumberFormat="1" applyFont="1" applyFill="1" applyBorder="1" applyAlignment="1">
      <alignment wrapText="1"/>
    </xf>
    <xf numFmtId="170" fontId="89" fillId="6" borderId="21" xfId="0" applyNumberFormat="1" applyFont="1" applyFill="1" applyBorder="1" applyAlignment="1">
      <alignment wrapText="1"/>
    </xf>
    <xf numFmtId="170" fontId="88" fillId="6" borderId="13" xfId="46" applyFont="1" applyFill="1" applyBorder="1" applyAlignment="1">
      <alignment wrapText="1"/>
    </xf>
    <xf numFmtId="176" fontId="88" fillId="6" borderId="13" xfId="46" applyNumberFormat="1" applyFont="1" applyFill="1" applyBorder="1" applyAlignment="1">
      <alignment wrapText="1"/>
    </xf>
    <xf numFmtId="170" fontId="88" fillId="6" borderId="16" xfId="0" applyNumberFormat="1" applyFont="1" applyFill="1" applyBorder="1" applyAlignment="1">
      <alignment wrapText="1"/>
    </xf>
    <xf numFmtId="176" fontId="88" fillId="6" borderId="16" xfId="0" applyNumberFormat="1" applyFont="1" applyFill="1" applyBorder="1" applyAlignment="1">
      <alignment wrapText="1"/>
    </xf>
    <xf numFmtId="170" fontId="89" fillId="6" borderId="23" xfId="0" applyNumberFormat="1" applyFont="1" applyFill="1" applyBorder="1" applyAlignment="1">
      <alignment wrapText="1"/>
    </xf>
    <xf numFmtId="176" fontId="89" fillId="6" borderId="23" xfId="0" applyNumberFormat="1" applyFont="1" applyFill="1" applyBorder="1" applyAlignment="1">
      <alignment wrapText="1"/>
    </xf>
    <xf numFmtId="170" fontId="89" fillId="34" borderId="18" xfId="46" applyFont="1" applyFill="1" applyBorder="1" applyAlignment="1" applyProtection="1">
      <alignment horizontal="center" vertical="center" wrapText="1"/>
      <protection/>
    </xf>
    <xf numFmtId="0" fontId="93" fillId="6" borderId="0" xfId="0" applyFont="1" applyFill="1" applyAlignment="1">
      <alignment horizontal="left" wrapText="1"/>
    </xf>
    <xf numFmtId="170" fontId="122" fillId="0" borderId="13" xfId="46" applyFont="1" applyBorder="1" applyAlignment="1" applyProtection="1">
      <alignment horizontal="center" vertical="center" wrapText="1"/>
      <protection locked="0"/>
    </xf>
    <xf numFmtId="170" fontId="122" fillId="0" borderId="13" xfId="0" applyNumberFormat="1" applyFont="1" applyBorder="1" applyAlignment="1" applyProtection="1">
      <alignment wrapText="1"/>
      <protection locked="0"/>
    </xf>
    <xf numFmtId="0" fontId="122" fillId="0" borderId="0" xfId="0" applyFont="1" applyAlignment="1">
      <alignment wrapText="1"/>
    </xf>
    <xf numFmtId="170" fontId="122" fillId="33" borderId="13" xfId="46" applyFont="1" applyFill="1" applyBorder="1" applyAlignment="1" applyProtection="1">
      <alignment horizontal="center" vertical="center" wrapText="1"/>
      <protection locked="0"/>
    </xf>
    <xf numFmtId="170" fontId="123" fillId="33" borderId="19" xfId="46" applyFont="1" applyFill="1" applyBorder="1" applyAlignment="1">
      <alignment wrapText="1"/>
    </xf>
    <xf numFmtId="0" fontId="122" fillId="33" borderId="19" xfId="0" applyFont="1" applyFill="1" applyBorder="1" applyAlignment="1">
      <alignment wrapText="1"/>
    </xf>
    <xf numFmtId="0" fontId="122" fillId="33" borderId="0" xfId="0" applyFont="1" applyFill="1" applyAlignment="1">
      <alignment wrapText="1"/>
    </xf>
    <xf numFmtId="170" fontId="123" fillId="0" borderId="0" xfId="0" applyNumberFormat="1" applyFont="1" applyAlignment="1">
      <alignment wrapText="1"/>
    </xf>
    <xf numFmtId="0" fontId="89" fillId="6" borderId="13" xfId="0" applyFont="1" applyFill="1" applyBorder="1" applyAlignment="1">
      <alignment horizontal="center" vertical="center" wrapText="1"/>
    </xf>
    <xf numFmtId="170" fontId="88" fillId="0" borderId="13" xfId="46" applyFont="1" applyFill="1" applyBorder="1" applyAlignment="1" applyProtection="1">
      <alignment horizontal="center" vertical="center" wrapText="1"/>
      <protection locked="0"/>
    </xf>
    <xf numFmtId="0" fontId="89" fillId="6" borderId="22" xfId="0" applyFont="1" applyFill="1" applyBorder="1" applyAlignment="1">
      <alignment horizontal="center" wrapText="1"/>
    </xf>
    <xf numFmtId="0" fontId="89" fillId="6" borderId="18" xfId="0" applyFont="1" applyFill="1" applyBorder="1" applyAlignment="1">
      <alignment horizontal="center" wrapText="1"/>
    </xf>
    <xf numFmtId="0" fontId="89" fillId="6" borderId="14" xfId="0" applyFont="1" applyFill="1" applyBorder="1" applyAlignment="1">
      <alignment vertical="center" wrapText="1"/>
    </xf>
    <xf numFmtId="176" fontId="89" fillId="6" borderId="21" xfId="0" applyNumberFormat="1" applyFont="1" applyFill="1" applyBorder="1" applyAlignment="1">
      <alignment wrapText="1"/>
    </xf>
    <xf numFmtId="0" fontId="89" fillId="6" borderId="14" xfId="0" applyFont="1" applyFill="1" applyBorder="1" applyAlignment="1" applyProtection="1">
      <alignment vertical="center" wrapText="1"/>
      <protection locked="0"/>
    </xf>
    <xf numFmtId="0" fontId="89" fillId="6" borderId="11" xfId="0" applyFont="1" applyFill="1" applyBorder="1" applyAlignment="1">
      <alignment vertical="center" wrapText="1"/>
    </xf>
    <xf numFmtId="170" fontId="89" fillId="6" borderId="26" xfId="46" applyFont="1" applyFill="1" applyBorder="1" applyAlignment="1" applyProtection="1">
      <alignment wrapText="1"/>
      <protection/>
    </xf>
    <xf numFmtId="176" fontId="89" fillId="6" borderId="23" xfId="46" applyNumberFormat="1" applyFont="1" applyFill="1" applyBorder="1" applyAlignment="1">
      <alignment wrapText="1"/>
    </xf>
    <xf numFmtId="170" fontId="88" fillId="6" borderId="26" xfId="46" applyFont="1" applyFill="1" applyBorder="1" applyAlignment="1" applyProtection="1">
      <alignment wrapText="1"/>
      <protection/>
    </xf>
    <xf numFmtId="176" fontId="88" fillId="6" borderId="23" xfId="46" applyNumberFormat="1" applyFont="1" applyFill="1" applyBorder="1" applyAlignment="1">
      <alignment wrapText="1"/>
    </xf>
    <xf numFmtId="176" fontId="88" fillId="6" borderId="21" xfId="0" applyNumberFormat="1" applyFont="1" applyFill="1" applyBorder="1" applyAlignment="1">
      <alignment wrapText="1"/>
    </xf>
    <xf numFmtId="0" fontId="89" fillId="6" borderId="14" xfId="0" applyFont="1" applyFill="1" applyBorder="1" applyAlignment="1">
      <alignment horizontal="center" vertical="center" wrapText="1"/>
    </xf>
    <xf numFmtId="0" fontId="89" fillId="6" borderId="17" xfId="0" applyFont="1" applyFill="1" applyBorder="1" applyAlignment="1">
      <alignment horizontal="center" vertical="center" wrapText="1"/>
    </xf>
    <xf numFmtId="0" fontId="89" fillId="6" borderId="10" xfId="0" applyFont="1" applyFill="1" applyBorder="1" applyAlignment="1">
      <alignment horizontal="center" vertical="center" wrapText="1"/>
    </xf>
    <xf numFmtId="0" fontId="89" fillId="6" borderId="14" xfId="0" applyFont="1" applyFill="1" applyBorder="1" applyAlignment="1">
      <alignment vertical="center" wrapText="1"/>
    </xf>
    <xf numFmtId="170" fontId="89" fillId="6" borderId="13" xfId="46" applyFont="1" applyFill="1" applyBorder="1" applyAlignment="1">
      <alignment vertical="center" wrapText="1"/>
    </xf>
    <xf numFmtId="9" fontId="89" fillId="6" borderId="10" xfId="50" applyFont="1" applyFill="1" applyBorder="1" applyAlignment="1">
      <alignment vertical="center" wrapText="1"/>
    </xf>
    <xf numFmtId="9" fontId="89" fillId="33" borderId="10" xfId="50" applyFont="1" applyFill="1" applyBorder="1" applyAlignment="1" applyProtection="1">
      <alignment vertical="center" wrapText="1"/>
      <protection locked="0"/>
    </xf>
    <xf numFmtId="9" fontId="89" fillId="33" borderId="63" xfId="50" applyFont="1" applyFill="1" applyBorder="1" applyAlignment="1" applyProtection="1">
      <alignment vertical="center" wrapText="1"/>
      <protection locked="0"/>
    </xf>
    <xf numFmtId="9" fontId="89" fillId="33" borderId="63" xfId="50" applyFont="1" applyFill="1" applyBorder="1" applyAlignment="1" applyProtection="1">
      <alignment horizontal="right" vertical="center" wrapText="1"/>
      <protection locked="0"/>
    </xf>
    <xf numFmtId="9" fontId="89" fillId="34" borderId="12" xfId="50" applyFont="1" applyFill="1" applyBorder="1" applyAlignment="1" applyProtection="1">
      <alignment vertical="center" wrapText="1"/>
      <protection/>
    </xf>
    <xf numFmtId="0" fontId="88" fillId="33" borderId="13" xfId="0" applyFont="1" applyFill="1" applyBorder="1" applyAlignment="1" applyProtection="1">
      <alignment horizontal="left" vertical="top" wrapText="1"/>
      <protection locked="0"/>
    </xf>
    <xf numFmtId="0" fontId="88" fillId="0" borderId="0" xfId="0" applyFont="1" applyAlignment="1">
      <alignment horizontal="justify" vertical="center"/>
    </xf>
    <xf numFmtId="9" fontId="122" fillId="0" borderId="13" xfId="50" applyFont="1" applyBorder="1" applyAlignment="1" applyProtection="1">
      <alignment horizontal="center" vertical="center" wrapText="1"/>
      <protection locked="0"/>
    </xf>
    <xf numFmtId="49" fontId="122" fillId="0" borderId="13" xfId="46" applyNumberFormat="1" applyFont="1" applyBorder="1" applyAlignment="1" applyProtection="1">
      <alignment horizontal="left" wrapText="1"/>
      <protection locked="0"/>
    </xf>
    <xf numFmtId="0" fontId="122" fillId="0" borderId="13" xfId="0" applyFont="1" applyBorder="1" applyAlignment="1">
      <alignment horizontal="justify" vertical="center"/>
    </xf>
    <xf numFmtId="0" fontId="122" fillId="0" borderId="13" xfId="0" applyFont="1" applyBorder="1" applyAlignment="1">
      <alignment wrapText="1"/>
    </xf>
    <xf numFmtId="9" fontId="122" fillId="33" borderId="13" xfId="50" applyFont="1" applyFill="1" applyBorder="1" applyAlignment="1" applyProtection="1">
      <alignment horizontal="center" vertical="center" wrapText="1"/>
      <protection locked="0"/>
    </xf>
    <xf numFmtId="49" fontId="122" fillId="33" borderId="13" xfId="46" applyNumberFormat="1" applyFont="1" applyFill="1" applyBorder="1" applyAlignment="1" applyProtection="1">
      <alignment horizontal="left" wrapText="1"/>
      <protection locked="0"/>
    </xf>
    <xf numFmtId="0" fontId="122" fillId="0" borderId="13" xfId="0" applyFont="1" applyBorder="1" applyAlignment="1">
      <alignment vertical="top" wrapText="1"/>
    </xf>
    <xf numFmtId="0" fontId="122" fillId="0" borderId="13" xfId="0" applyFont="1" applyBorder="1" applyAlignment="1" applyProtection="1">
      <alignment horizontal="left" vertical="top" wrapText="1"/>
      <protection locked="0"/>
    </xf>
    <xf numFmtId="170" fontId="123" fillId="34" borderId="13" xfId="46" applyFont="1" applyFill="1" applyBorder="1" applyAlignment="1" applyProtection="1">
      <alignment horizontal="center" vertical="center" wrapText="1"/>
      <protection/>
    </xf>
    <xf numFmtId="170" fontId="65" fillId="6" borderId="18" xfId="0" applyNumberFormat="1" applyFont="1" applyFill="1" applyBorder="1" applyAlignment="1">
      <alignment wrapText="1"/>
    </xf>
    <xf numFmtId="176" fontId="65" fillId="6" borderId="18" xfId="0" applyNumberFormat="1" applyFont="1" applyFill="1" applyBorder="1" applyAlignment="1">
      <alignment wrapText="1"/>
    </xf>
    <xf numFmtId="170" fontId="65" fillId="6" borderId="13" xfId="0" applyNumberFormat="1" applyFont="1" applyFill="1" applyBorder="1" applyAlignment="1">
      <alignment wrapText="1"/>
    </xf>
    <xf numFmtId="176" fontId="65" fillId="6" borderId="13" xfId="0" applyNumberFormat="1" applyFont="1" applyFill="1" applyBorder="1" applyAlignment="1">
      <alignment wrapText="1"/>
    </xf>
    <xf numFmtId="170" fontId="65" fillId="33" borderId="13" xfId="46" applyFont="1" applyFill="1" applyBorder="1" applyAlignment="1" applyProtection="1">
      <alignment horizontal="center" vertical="center" wrapText="1"/>
      <protection locked="0"/>
    </xf>
    <xf numFmtId="170" fontId="65" fillId="0" borderId="13" xfId="0" applyNumberFormat="1" applyFont="1" applyBorder="1" applyAlignment="1" applyProtection="1">
      <alignment wrapText="1"/>
      <protection locked="0"/>
    </xf>
    <xf numFmtId="170" fontId="122" fillId="0" borderId="13" xfId="46" applyFont="1" applyBorder="1" applyAlignment="1" applyProtection="1">
      <alignment vertical="center" wrapText="1"/>
      <protection locked="0"/>
    </xf>
    <xf numFmtId="170" fontId="122" fillId="33" borderId="18" xfId="46" applyFont="1" applyFill="1" applyBorder="1" applyAlignment="1" applyProtection="1">
      <alignment horizontal="center" vertical="center" wrapText="1"/>
      <protection locked="0"/>
    </xf>
    <xf numFmtId="0" fontId="123" fillId="34" borderId="13" xfId="0" applyFont="1" applyFill="1" applyBorder="1" applyAlignment="1">
      <alignment vertical="center" wrapText="1"/>
    </xf>
    <xf numFmtId="170" fontId="124" fillId="0" borderId="13" xfId="46" applyFont="1" applyFill="1" applyBorder="1" applyAlignment="1" applyProtection="1">
      <alignment vertical="center" wrapText="1"/>
      <protection locked="0"/>
    </xf>
    <xf numFmtId="170" fontId="123" fillId="6" borderId="13" xfId="46" applyFont="1" applyFill="1" applyBorder="1" applyAlignment="1">
      <alignment wrapText="1"/>
    </xf>
    <xf numFmtId="170" fontId="123" fillId="6" borderId="13" xfId="0" applyNumberFormat="1" applyFont="1" applyFill="1" applyBorder="1" applyAlignment="1">
      <alignment wrapText="1"/>
    </xf>
    <xf numFmtId="170" fontId="123" fillId="6" borderId="16" xfId="0" applyNumberFormat="1" applyFont="1" applyFill="1" applyBorder="1" applyAlignment="1">
      <alignment wrapText="1"/>
    </xf>
    <xf numFmtId="170" fontId="122" fillId="0" borderId="18" xfId="0" applyNumberFormat="1" applyFont="1" applyBorder="1" applyAlignment="1" applyProtection="1">
      <alignment wrapText="1"/>
      <protection locked="0"/>
    </xf>
    <xf numFmtId="170" fontId="117" fillId="44" borderId="13" xfId="46" applyFont="1" applyFill="1" applyBorder="1" applyAlignment="1" applyProtection="1">
      <alignment horizontal="center" vertical="center" wrapText="1"/>
      <protection locked="0"/>
    </xf>
    <xf numFmtId="170" fontId="125" fillId="0" borderId="13" xfId="46" applyFont="1" applyFill="1" applyBorder="1" applyAlignment="1" applyProtection="1">
      <alignment horizontal="center" vertical="center" wrapText="1"/>
      <protection locked="0"/>
    </xf>
    <xf numFmtId="170" fontId="117" fillId="0" borderId="13" xfId="46" applyFont="1" applyFill="1" applyBorder="1" applyAlignment="1" applyProtection="1">
      <alignment horizontal="center" vertical="center" wrapText="1"/>
      <protection locked="0"/>
    </xf>
    <xf numFmtId="41" fontId="89" fillId="33" borderId="0" xfId="45" applyFont="1" applyFill="1" applyBorder="1" applyAlignment="1">
      <alignment wrapText="1"/>
    </xf>
    <xf numFmtId="0" fontId="89" fillId="6" borderId="65" xfId="0" applyFont="1" applyFill="1" applyBorder="1" applyAlignment="1">
      <alignment vertical="center" wrapText="1"/>
    </xf>
    <xf numFmtId="170" fontId="89" fillId="6" borderId="15" xfId="46" applyFont="1" applyFill="1" applyBorder="1" applyAlignment="1">
      <alignment vertical="center" wrapText="1"/>
    </xf>
    <xf numFmtId="9" fontId="89" fillId="6" borderId="63" xfId="50" applyFont="1" applyFill="1" applyBorder="1" applyAlignment="1">
      <alignment vertical="center" wrapText="1"/>
    </xf>
    <xf numFmtId="0" fontId="89" fillId="6" borderId="13" xfId="0" applyFont="1" applyFill="1" applyBorder="1" applyAlignment="1">
      <alignment vertical="center" wrapText="1"/>
    </xf>
    <xf numFmtId="9" fontId="89" fillId="6" borderId="13" xfId="50" applyFont="1" applyFill="1" applyBorder="1" applyAlignment="1">
      <alignment vertical="center" wrapText="1"/>
    </xf>
    <xf numFmtId="176" fontId="89" fillId="6" borderId="13" xfId="46" applyNumberFormat="1" applyFont="1" applyFill="1" applyBorder="1" applyAlignment="1">
      <alignment vertical="center" wrapText="1"/>
    </xf>
    <xf numFmtId="176" fontId="89" fillId="6" borderId="15" xfId="46" applyNumberFormat="1" applyFont="1" applyFill="1" applyBorder="1" applyAlignment="1">
      <alignment vertical="center" wrapText="1"/>
    </xf>
    <xf numFmtId="176" fontId="88" fillId="0" borderId="0" xfId="0" applyNumberFormat="1" applyFont="1" applyAlignment="1">
      <alignment/>
    </xf>
    <xf numFmtId="178" fontId="88" fillId="0" borderId="0" xfId="0" applyNumberFormat="1" applyFont="1" applyAlignment="1">
      <alignment wrapText="1"/>
    </xf>
    <xf numFmtId="170" fontId="89" fillId="6" borderId="13" xfId="0" applyNumberFormat="1" applyFont="1" applyFill="1" applyBorder="1" applyAlignment="1">
      <alignment horizontal="center" vertical="top" wrapText="1"/>
    </xf>
    <xf numFmtId="170" fontId="89" fillId="34" borderId="13" xfId="0" applyNumberFormat="1" applyFont="1" applyFill="1" applyBorder="1" applyAlignment="1">
      <alignment horizontal="center" vertical="top" wrapText="1"/>
    </xf>
    <xf numFmtId="170" fontId="122" fillId="19" borderId="13" xfId="0" applyNumberFormat="1" applyFont="1" applyFill="1" applyBorder="1" applyAlignment="1" applyProtection="1">
      <alignment wrapText="1"/>
      <protection locked="0"/>
    </xf>
    <xf numFmtId="9" fontId="89" fillId="19" borderId="10" xfId="50" applyFont="1" applyFill="1" applyBorder="1" applyAlignment="1" applyProtection="1">
      <alignment wrapText="1"/>
      <protection/>
    </xf>
    <xf numFmtId="170" fontId="65" fillId="0" borderId="13" xfId="46" applyFont="1" applyBorder="1" applyAlignment="1" applyProtection="1">
      <alignment vertical="center" wrapText="1"/>
      <protection locked="0"/>
    </xf>
    <xf numFmtId="0" fontId="126" fillId="0" borderId="0" xfId="0" applyFont="1" applyAlignment="1">
      <alignment/>
    </xf>
    <xf numFmtId="49" fontId="89" fillId="33" borderId="13" xfId="0" applyNumberFormat="1" applyFont="1" applyFill="1" applyBorder="1" applyAlignment="1" applyProtection="1">
      <alignment vertical="top"/>
      <protection locked="0"/>
    </xf>
    <xf numFmtId="0" fontId="89" fillId="34" borderId="13" xfId="0" applyFont="1" applyFill="1" applyBorder="1" applyAlignment="1">
      <alignment horizontal="center" vertical="center"/>
    </xf>
    <xf numFmtId="170" fontId="88" fillId="0" borderId="13" xfId="46" applyNumberFormat="1" applyFont="1" applyBorder="1" applyAlignment="1" applyProtection="1">
      <alignment horizontal="center" vertical="center" wrapText="1"/>
      <protection locked="0"/>
    </xf>
    <xf numFmtId="171" fontId="65" fillId="0" borderId="13" xfId="44" applyFont="1" applyBorder="1" applyAlignment="1" applyProtection="1">
      <alignment vertical="center" wrapText="1"/>
      <protection locked="0"/>
    </xf>
    <xf numFmtId="4" fontId="39" fillId="0" borderId="13" xfId="0" applyNumberFormat="1" applyFont="1" applyBorder="1" applyAlignment="1">
      <alignment/>
    </xf>
    <xf numFmtId="170" fontId="65" fillId="0" borderId="13" xfId="46" applyNumberFormat="1" applyFont="1" applyBorder="1" applyAlignment="1" applyProtection="1">
      <alignment horizontal="center" vertical="center" wrapText="1"/>
      <protection locked="0"/>
    </xf>
    <xf numFmtId="9" fontId="88" fillId="0" borderId="13" xfId="50" applyFont="1" applyFill="1" applyBorder="1" applyAlignment="1" applyProtection="1">
      <alignment horizontal="center" vertical="center" wrapText="1"/>
      <protection locked="0"/>
    </xf>
    <xf numFmtId="170" fontId="88" fillId="0" borderId="13" xfId="46" applyNumberFormat="1" applyFont="1" applyFill="1" applyBorder="1" applyAlignment="1" applyProtection="1">
      <alignment horizontal="center" vertical="center" wrapText="1"/>
      <protection locked="0"/>
    </xf>
    <xf numFmtId="170" fontId="65" fillId="0" borderId="13" xfId="46" applyNumberFormat="1" applyFont="1" applyFill="1" applyBorder="1" applyAlignment="1" applyProtection="1">
      <alignment horizontal="center" vertical="center" wrapText="1"/>
      <protection locked="0"/>
    </xf>
    <xf numFmtId="170" fontId="122" fillId="0" borderId="13" xfId="46" applyNumberFormat="1" applyFont="1" applyBorder="1" applyAlignment="1" applyProtection="1">
      <alignment horizontal="center" vertical="center" wrapText="1"/>
      <protection locked="0"/>
    </xf>
    <xf numFmtId="170" fontId="122" fillId="0" borderId="13" xfId="46" applyNumberFormat="1" applyFont="1" applyFill="1" applyBorder="1" applyAlignment="1" applyProtection="1">
      <alignment horizontal="center" vertical="center" wrapText="1"/>
      <protection locked="0"/>
    </xf>
    <xf numFmtId="179" fontId="89" fillId="34" borderId="13" xfId="46" applyNumberFormat="1" applyFont="1" applyFill="1" applyBorder="1" applyAlignment="1" applyProtection="1">
      <alignment horizontal="center" vertical="center" wrapText="1"/>
      <protection/>
    </xf>
    <xf numFmtId="170" fontId="122" fillId="0" borderId="13" xfId="46" applyFont="1" applyFill="1" applyBorder="1" applyAlignment="1" applyProtection="1">
      <alignment horizontal="center" vertical="center" wrapText="1"/>
      <protection locked="0"/>
    </xf>
    <xf numFmtId="9" fontId="127" fillId="0" borderId="0" xfId="50" applyFont="1" applyAlignment="1">
      <alignment wrapText="1"/>
    </xf>
    <xf numFmtId="176" fontId="128" fillId="33" borderId="0" xfId="0" applyNumberFormat="1" applyFont="1" applyFill="1" applyAlignment="1">
      <alignment vertical="center" wrapText="1"/>
    </xf>
    <xf numFmtId="170" fontId="129" fillId="33" borderId="0" xfId="46" applyFont="1" applyFill="1" applyBorder="1" applyAlignment="1" applyProtection="1">
      <alignment vertical="center" wrapText="1"/>
      <protection locked="0"/>
    </xf>
    <xf numFmtId="9" fontId="129" fillId="33" borderId="0" xfId="50" applyFont="1" applyFill="1" applyBorder="1" applyAlignment="1" applyProtection="1">
      <alignment vertical="center" wrapText="1"/>
      <protection locked="0"/>
    </xf>
    <xf numFmtId="170" fontId="122" fillId="0" borderId="13" xfId="46" applyFont="1" applyFill="1" applyBorder="1" applyAlignment="1" applyProtection="1">
      <alignment vertical="center" wrapText="1"/>
      <protection locked="0"/>
    </xf>
    <xf numFmtId="0" fontId="89" fillId="7" borderId="13" xfId="0" applyFont="1" applyFill="1" applyBorder="1" applyAlignment="1">
      <alignment horizontal="center" vertical="center" wrapText="1"/>
    </xf>
    <xf numFmtId="0" fontId="89" fillId="7" borderId="18" xfId="0" applyFont="1" applyFill="1" applyBorder="1" applyAlignment="1" applyProtection="1">
      <alignment horizontal="center" vertical="center" wrapText="1"/>
      <protection locked="0"/>
    </xf>
    <xf numFmtId="0" fontId="88" fillId="7" borderId="13" xfId="0" applyFont="1" applyFill="1" applyBorder="1" applyAlignment="1">
      <alignment horizontal="center" vertical="center" wrapText="1"/>
    </xf>
    <xf numFmtId="170" fontId="88" fillId="7" borderId="13" xfId="46" applyFont="1" applyFill="1" applyBorder="1" applyAlignment="1" applyProtection="1">
      <alignment horizontal="center" vertical="center" wrapText="1"/>
      <protection/>
    </xf>
    <xf numFmtId="170" fontId="89" fillId="7" borderId="13" xfId="46" applyFont="1" applyFill="1" applyBorder="1" applyAlignment="1" applyProtection="1">
      <alignment horizontal="center" vertical="center" wrapText="1"/>
      <protection/>
    </xf>
    <xf numFmtId="170" fontId="89" fillId="7" borderId="15" xfId="46" applyFont="1" applyFill="1" applyBorder="1" applyAlignment="1" applyProtection="1">
      <alignment horizontal="center" vertical="center" wrapText="1"/>
      <protection/>
    </xf>
    <xf numFmtId="170" fontId="122" fillId="7" borderId="13" xfId="46" applyFont="1" applyFill="1" applyBorder="1" applyAlignment="1" applyProtection="1">
      <alignment horizontal="center" vertical="center" wrapText="1"/>
      <protection/>
    </xf>
    <xf numFmtId="170" fontId="88" fillId="7" borderId="13" xfId="46" applyFont="1" applyFill="1" applyBorder="1" applyAlignment="1" applyProtection="1">
      <alignment horizontal="center" vertical="center" wrapText="1"/>
      <protection locked="0"/>
    </xf>
    <xf numFmtId="170" fontId="123" fillId="7" borderId="15" xfId="46" applyFont="1" applyFill="1" applyBorder="1" applyAlignment="1" applyProtection="1">
      <alignment horizontal="center" vertical="center" wrapText="1"/>
      <protection/>
    </xf>
    <xf numFmtId="170" fontId="88" fillId="7" borderId="13" xfId="46" applyFont="1" applyFill="1" applyBorder="1" applyAlignment="1" applyProtection="1">
      <alignment vertical="center" wrapText="1"/>
      <protection/>
    </xf>
    <xf numFmtId="170" fontId="89" fillId="7" borderId="13" xfId="46" applyFont="1" applyFill="1" applyBorder="1" applyAlignment="1" applyProtection="1">
      <alignment vertical="center" wrapText="1"/>
      <protection/>
    </xf>
    <xf numFmtId="0" fontId="89" fillId="7" borderId="68" xfId="0" applyFont="1" applyFill="1" applyBorder="1" applyAlignment="1">
      <alignment vertical="center" wrapText="1"/>
    </xf>
    <xf numFmtId="0" fontId="89" fillId="7" borderId="69" xfId="0" applyFont="1" applyFill="1" applyBorder="1" applyAlignment="1">
      <alignment vertical="center" wrapText="1"/>
    </xf>
    <xf numFmtId="0" fontId="89" fillId="7" borderId="70" xfId="0" applyFont="1" applyFill="1" applyBorder="1" applyAlignment="1">
      <alignment vertical="center" wrapText="1"/>
    </xf>
    <xf numFmtId="170" fontId="89" fillId="7" borderId="14" xfId="46" applyFont="1" applyFill="1" applyBorder="1" applyAlignment="1" applyProtection="1">
      <alignment horizontal="center" vertical="center" wrapText="1"/>
      <protection/>
    </xf>
    <xf numFmtId="0" fontId="89" fillId="7" borderId="14" xfId="46" applyNumberFormat="1" applyFont="1" applyFill="1" applyBorder="1" applyAlignment="1" applyProtection="1">
      <alignment horizontal="center" vertical="center" wrapText="1"/>
      <protection/>
    </xf>
    <xf numFmtId="0" fontId="89" fillId="7" borderId="13" xfId="46" applyNumberFormat="1" applyFont="1" applyFill="1" applyBorder="1" applyAlignment="1" applyProtection="1">
      <alignment horizontal="center" vertical="center" wrapText="1"/>
      <protection/>
    </xf>
    <xf numFmtId="0" fontId="89" fillId="7" borderId="40" xfId="46" applyNumberFormat="1" applyFont="1" applyFill="1" applyBorder="1" applyAlignment="1" applyProtection="1">
      <alignment horizontal="center" vertical="center" wrapText="1"/>
      <protection/>
    </xf>
    <xf numFmtId="176" fontId="129" fillId="7" borderId="14" xfId="0" applyNumberFormat="1" applyFont="1" applyFill="1" applyBorder="1" applyAlignment="1">
      <alignment vertical="center" wrapText="1"/>
    </xf>
    <xf numFmtId="176" fontId="129" fillId="7" borderId="13" xfId="0" applyNumberFormat="1" applyFont="1" applyFill="1" applyBorder="1" applyAlignment="1">
      <alignment vertical="center" wrapText="1"/>
    </xf>
    <xf numFmtId="176" fontId="129" fillId="7" borderId="10" xfId="0" applyNumberFormat="1" applyFont="1" applyFill="1" applyBorder="1" applyAlignment="1">
      <alignment vertical="center" wrapText="1"/>
    </xf>
    <xf numFmtId="176" fontId="128" fillId="7" borderId="11" xfId="46" applyNumberFormat="1" applyFont="1" applyFill="1" applyBorder="1" applyAlignment="1" applyProtection="1">
      <alignment vertical="center" wrapText="1"/>
      <protection/>
    </xf>
    <xf numFmtId="176" fontId="128" fillId="7" borderId="16" xfId="46" applyNumberFormat="1" applyFont="1" applyFill="1" applyBorder="1" applyAlignment="1" applyProtection="1">
      <alignment vertical="center" wrapText="1"/>
      <protection/>
    </xf>
    <xf numFmtId="176" fontId="128" fillId="7" borderId="12" xfId="46" applyNumberFormat="1" applyFont="1" applyFill="1" applyBorder="1" applyAlignment="1" applyProtection="1">
      <alignment vertical="center" wrapText="1"/>
      <protection/>
    </xf>
    <xf numFmtId="4" fontId="0" fillId="0" borderId="13" xfId="0" applyNumberFormat="1" applyBorder="1" applyAlignment="1">
      <alignment/>
    </xf>
    <xf numFmtId="9" fontId="88" fillId="0" borderId="15" xfId="50" applyFont="1" applyBorder="1" applyAlignment="1" applyProtection="1">
      <alignment horizontal="center" vertical="center" wrapText="1"/>
      <protection locked="0"/>
    </xf>
    <xf numFmtId="4" fontId="0" fillId="0" borderId="0" xfId="0" applyNumberFormat="1" applyFill="1" applyAlignment="1">
      <alignment/>
    </xf>
    <xf numFmtId="176" fontId="65" fillId="0" borderId="13" xfId="46" applyNumberFormat="1" applyFont="1" applyBorder="1" applyAlignment="1" applyProtection="1">
      <alignment horizontal="center" vertical="center" wrapText="1"/>
      <protection locked="0"/>
    </xf>
    <xf numFmtId="170" fontId="65" fillId="0" borderId="13" xfId="46" applyFont="1" applyBorder="1" applyAlignment="1" applyProtection="1">
      <alignment horizontal="center" vertical="center" wrapText="1"/>
      <protection locked="0"/>
    </xf>
    <xf numFmtId="170" fontId="65" fillId="0" borderId="13" xfId="46" applyFont="1" applyFill="1" applyBorder="1" applyAlignment="1" applyProtection="1">
      <alignment horizontal="center" vertical="center" wrapText="1"/>
      <protection locked="0"/>
    </xf>
    <xf numFmtId="170" fontId="88" fillId="41" borderId="13" xfId="46" applyFont="1" applyFill="1" applyBorder="1" applyAlignment="1" applyProtection="1">
      <alignment horizontal="center" vertical="center" wrapText="1"/>
      <protection locked="0"/>
    </xf>
    <xf numFmtId="176" fontId="88" fillId="0" borderId="13" xfId="46" applyNumberFormat="1" applyFont="1" applyFill="1" applyBorder="1" applyAlignment="1" applyProtection="1">
      <alignment horizontal="center" vertical="center" wrapText="1"/>
      <protection locked="0"/>
    </xf>
    <xf numFmtId="176" fontId="65" fillId="0" borderId="13" xfId="46" applyNumberFormat="1" applyFont="1" applyFill="1" applyBorder="1" applyAlignment="1" applyProtection="1">
      <alignment horizontal="center" vertical="center" wrapText="1"/>
      <protection locked="0"/>
    </xf>
    <xf numFmtId="4" fontId="88" fillId="0" borderId="13" xfId="0" applyNumberFormat="1" applyFont="1" applyBorder="1" applyAlignment="1">
      <alignment/>
    </xf>
    <xf numFmtId="4" fontId="88" fillId="0" borderId="0" xfId="0" applyNumberFormat="1" applyFont="1" applyAlignment="1">
      <alignment/>
    </xf>
    <xf numFmtId="0" fontId="97" fillId="0" borderId="13" xfId="0" applyFont="1" applyBorder="1" applyAlignment="1">
      <alignment horizontal="center" vertical="center" wrapText="1"/>
    </xf>
    <xf numFmtId="0" fontId="0" fillId="41" borderId="13" xfId="0" applyFill="1" applyBorder="1" applyAlignment="1">
      <alignment horizontal="center" wrapText="1"/>
    </xf>
    <xf numFmtId="0" fontId="86" fillId="0" borderId="13" xfId="0" applyFont="1" applyBorder="1" applyAlignment="1">
      <alignment horizontal="center" vertical="center"/>
    </xf>
    <xf numFmtId="0" fontId="0" fillId="0" borderId="13" xfId="0" applyBorder="1" applyAlignment="1">
      <alignment horizontal="center" vertical="top"/>
    </xf>
    <xf numFmtId="0" fontId="103" fillId="0" borderId="15" xfId="0" applyFont="1" applyBorder="1" applyAlignment="1">
      <alignment horizontal="left" vertical="top" wrapText="1"/>
    </xf>
    <xf numFmtId="0" fontId="103" fillId="0" borderId="18" xfId="0" applyFont="1" applyBorder="1" applyAlignment="1">
      <alignment horizontal="left" vertical="top" wrapText="1"/>
    </xf>
    <xf numFmtId="0" fontId="98" fillId="0" borderId="13" xfId="0" applyFont="1" applyBorder="1" applyAlignment="1">
      <alignment horizontal="center" vertical="center" wrapText="1"/>
    </xf>
    <xf numFmtId="0" fontId="97" fillId="33" borderId="13" xfId="0" applyFont="1" applyFill="1" applyBorder="1" applyAlignment="1">
      <alignment horizontal="center" vertical="center" wrapText="1"/>
    </xf>
    <xf numFmtId="0" fontId="98" fillId="33" borderId="13" xfId="0" applyFont="1" applyFill="1" applyBorder="1" applyAlignment="1">
      <alignment horizontal="center" vertical="center" wrapText="1"/>
    </xf>
    <xf numFmtId="3" fontId="0" fillId="0" borderId="13" xfId="0" applyNumberFormat="1" applyBorder="1" applyAlignment="1">
      <alignment horizontal="center" vertical="top"/>
    </xf>
    <xf numFmtId="0" fontId="97" fillId="0" borderId="43" xfId="0" applyFont="1" applyBorder="1" applyAlignment="1">
      <alignment horizontal="center" vertical="center" wrapText="1"/>
    </xf>
    <xf numFmtId="0" fontId="97" fillId="0" borderId="51" xfId="0" applyFont="1" applyBorder="1" applyAlignment="1">
      <alignment horizontal="center" vertical="center" wrapText="1"/>
    </xf>
    <xf numFmtId="0" fontId="0" fillId="0" borderId="51" xfId="0" applyBorder="1" applyAlignment="1">
      <alignment horizontal="center" vertical="center"/>
    </xf>
    <xf numFmtId="0" fontId="0" fillId="0" borderId="39" xfId="0" applyBorder="1" applyAlignment="1">
      <alignment horizontal="center" vertical="center"/>
    </xf>
    <xf numFmtId="0" fontId="97" fillId="0" borderId="15" xfId="0" applyFont="1" applyBorder="1" applyAlignment="1">
      <alignment horizontal="center" vertical="center" wrapText="1"/>
    </xf>
    <xf numFmtId="0" fontId="97" fillId="0" borderId="52" xfId="0" applyFont="1" applyBorder="1" applyAlignment="1">
      <alignment horizontal="center" vertical="center" wrapText="1"/>
    </xf>
    <xf numFmtId="0" fontId="0" fillId="0" borderId="52" xfId="0" applyBorder="1" applyAlignment="1">
      <alignment horizontal="center" vertical="center" wrapText="1"/>
    </xf>
    <xf numFmtId="0" fontId="0" fillId="0" borderId="18" xfId="0" applyBorder="1" applyAlignment="1">
      <alignment horizontal="center" vertical="center" wrapText="1"/>
    </xf>
    <xf numFmtId="0" fontId="13" fillId="18" borderId="71" xfId="0" applyFont="1" applyFill="1" applyBorder="1" applyAlignment="1">
      <alignment horizontal="left" vertical="center"/>
    </xf>
    <xf numFmtId="0" fontId="13" fillId="18" borderId="16" xfId="0" applyFont="1" applyFill="1" applyBorder="1" applyAlignment="1">
      <alignment horizontal="left" vertical="center"/>
    </xf>
    <xf numFmtId="0" fontId="113" fillId="0" borderId="0" xfId="0" applyFont="1" applyAlignment="1">
      <alignment horizontal="left" vertical="center"/>
    </xf>
    <xf numFmtId="0" fontId="97" fillId="0" borderId="18" xfId="0" applyFont="1" applyBorder="1" applyAlignment="1">
      <alignment horizontal="center" vertical="center" wrapText="1"/>
    </xf>
    <xf numFmtId="0" fontId="108" fillId="33" borderId="65" xfId="0" applyFont="1" applyFill="1" applyBorder="1" applyAlignment="1">
      <alignment horizontal="center" vertical="center"/>
    </xf>
    <xf numFmtId="0" fontId="108" fillId="33" borderId="72" xfId="0" applyFont="1" applyFill="1" applyBorder="1" applyAlignment="1">
      <alignment horizontal="center" vertical="center"/>
    </xf>
    <xf numFmtId="0" fontId="15" fillId="18" borderId="73" xfId="0" applyFont="1" applyFill="1" applyBorder="1" applyAlignment="1">
      <alignment horizontal="left" vertical="center" wrapText="1"/>
    </xf>
    <xf numFmtId="0" fontId="15" fillId="18" borderId="60" xfId="0" applyFont="1" applyFill="1" applyBorder="1" applyAlignment="1">
      <alignment horizontal="left" vertical="center" wrapText="1"/>
    </xf>
    <xf numFmtId="0" fontId="89" fillId="34" borderId="15"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0" borderId="0" xfId="0" applyFont="1" applyAlignment="1">
      <alignment horizontal="center" vertical="center" wrapText="1"/>
    </xf>
    <xf numFmtId="0" fontId="0" fillId="17" borderId="11" xfId="0" applyFill="1" applyBorder="1" applyAlignment="1">
      <alignment horizontal="center" vertical="center" wrapText="1"/>
    </xf>
    <xf numFmtId="0" fontId="0" fillId="17" borderId="12" xfId="0" applyFill="1" applyBorder="1" applyAlignment="1">
      <alignment horizontal="center" vertical="center" wrapText="1"/>
    </xf>
    <xf numFmtId="0" fontId="88" fillId="34" borderId="65" xfId="0" applyFont="1" applyFill="1" applyBorder="1" applyAlignment="1">
      <alignment horizontal="center" vertical="center" wrapText="1"/>
    </xf>
    <xf numFmtId="0" fontId="88" fillId="34" borderId="24" xfId="0" applyFont="1" applyFill="1" applyBorder="1" applyAlignment="1">
      <alignment horizontal="center" vertical="center" wrapText="1"/>
    </xf>
    <xf numFmtId="170" fontId="89" fillId="34" borderId="63" xfId="46" applyFont="1" applyFill="1" applyBorder="1" applyAlignment="1" applyProtection="1">
      <alignment horizontal="center" vertical="center" wrapText="1"/>
      <protection/>
    </xf>
    <xf numFmtId="170" fontId="89" fillId="34" borderId="21" xfId="46" applyFont="1" applyFill="1" applyBorder="1" applyAlignment="1" applyProtection="1">
      <alignment horizontal="center" vertical="center" wrapText="1"/>
      <protection/>
    </xf>
    <xf numFmtId="176" fontId="89" fillId="34" borderId="15" xfId="0" applyNumberFormat="1" applyFont="1" applyFill="1" applyBorder="1" applyAlignment="1">
      <alignment horizontal="center" vertical="center" wrapText="1"/>
    </xf>
    <xf numFmtId="176" fontId="89" fillId="34" borderId="18" xfId="0" applyNumberFormat="1" applyFont="1" applyFill="1" applyBorder="1" applyAlignment="1">
      <alignment horizontal="center" vertical="center" wrapText="1"/>
    </xf>
    <xf numFmtId="176" fontId="86" fillId="34" borderId="45" xfId="0" applyNumberFormat="1" applyFont="1" applyFill="1" applyBorder="1" applyAlignment="1">
      <alignment horizontal="center" vertical="center" wrapText="1"/>
    </xf>
    <xf numFmtId="176" fontId="86" fillId="34" borderId="41" xfId="0" applyNumberFormat="1" applyFont="1" applyFill="1" applyBorder="1" applyAlignment="1">
      <alignment horizontal="center" vertical="center" wrapText="1"/>
    </xf>
    <xf numFmtId="176" fontId="89" fillId="34" borderId="68" xfId="0" applyNumberFormat="1" applyFont="1" applyFill="1" applyBorder="1" applyAlignment="1">
      <alignment horizontal="center" vertical="center" wrapText="1"/>
    </xf>
    <xf numFmtId="176" fontId="89" fillId="34" borderId="69" xfId="0" applyNumberFormat="1" applyFont="1" applyFill="1" applyBorder="1" applyAlignment="1">
      <alignment horizontal="center" vertical="center" wrapText="1"/>
    </xf>
    <xf numFmtId="0" fontId="88" fillId="33" borderId="13" xfId="0" applyFont="1" applyFill="1" applyBorder="1" applyAlignment="1" applyProtection="1">
      <alignment horizontal="left" vertical="top" wrapText="1"/>
      <protection locked="0"/>
    </xf>
    <xf numFmtId="0" fontId="89" fillId="33" borderId="13" xfId="0" applyFont="1" applyFill="1" applyBorder="1" applyAlignment="1" applyProtection="1">
      <alignment horizontal="left" vertical="top" wrapText="1"/>
      <protection locked="0"/>
    </xf>
    <xf numFmtId="0" fontId="121" fillId="6" borderId="74" xfId="0" applyFont="1" applyFill="1" applyBorder="1" applyAlignment="1">
      <alignment horizontal="left" wrapText="1"/>
    </xf>
    <xf numFmtId="0" fontId="121" fillId="6" borderId="75" xfId="0" applyFont="1" applyFill="1" applyBorder="1" applyAlignment="1">
      <alignment horizontal="left" wrapText="1"/>
    </xf>
    <xf numFmtId="0" fontId="121" fillId="6" borderId="76" xfId="0" applyFont="1" applyFill="1" applyBorder="1" applyAlignment="1">
      <alignment horizontal="left" wrapText="1"/>
    </xf>
    <xf numFmtId="0" fontId="95" fillId="0" borderId="0" xfId="0" applyFont="1" applyAlignment="1">
      <alignment horizontal="left" vertical="top" wrapText="1"/>
    </xf>
    <xf numFmtId="0" fontId="96" fillId="6" borderId="34" xfId="0" applyFont="1" applyFill="1" applyBorder="1" applyAlignment="1">
      <alignment horizontal="left" wrapText="1"/>
    </xf>
    <xf numFmtId="0" fontId="96" fillId="6" borderId="77" xfId="0" applyFont="1" applyFill="1" applyBorder="1" applyAlignment="1">
      <alignment horizontal="left" wrapText="1"/>
    </xf>
    <xf numFmtId="0" fontId="96" fillId="6" borderId="78" xfId="0" applyFont="1" applyFill="1" applyBorder="1" applyAlignment="1">
      <alignment horizontal="left" wrapText="1"/>
    </xf>
    <xf numFmtId="49" fontId="89" fillId="33" borderId="13" xfId="0" applyNumberFormat="1" applyFont="1" applyFill="1" applyBorder="1" applyAlignment="1" applyProtection="1">
      <alignment horizontal="left" vertical="top" wrapText="1"/>
      <protection locked="0"/>
    </xf>
    <xf numFmtId="176" fontId="89" fillId="34" borderId="63" xfId="0" applyNumberFormat="1" applyFont="1" applyFill="1" applyBorder="1" applyAlignment="1">
      <alignment horizontal="center" vertical="center" wrapText="1"/>
    </xf>
    <xf numFmtId="176" fontId="89" fillId="34" borderId="21" xfId="0" applyNumberFormat="1" applyFont="1" applyFill="1" applyBorder="1" applyAlignment="1">
      <alignment horizontal="center" vertical="center" wrapText="1"/>
    </xf>
    <xf numFmtId="0" fontId="89" fillId="35" borderId="68" xfId="0" applyFont="1" applyFill="1" applyBorder="1" applyAlignment="1">
      <alignment horizontal="center" vertical="center" wrapText="1"/>
    </xf>
    <xf numFmtId="0" fontId="89" fillId="35" borderId="69" xfId="0" applyFont="1" applyFill="1" applyBorder="1" applyAlignment="1">
      <alignment horizontal="center" vertical="center" wrapText="1"/>
    </xf>
    <xf numFmtId="0" fontId="89" fillId="35" borderId="70" xfId="0" applyFont="1" applyFill="1" applyBorder="1" applyAlignment="1">
      <alignment horizontal="center" vertical="center" wrapText="1"/>
    </xf>
    <xf numFmtId="170" fontId="89" fillId="7" borderId="63" xfId="46" applyFont="1" applyFill="1" applyBorder="1" applyAlignment="1" applyProtection="1">
      <alignment horizontal="center" vertical="center" wrapText="1"/>
      <protection/>
    </xf>
    <xf numFmtId="170" fontId="89" fillId="7" borderId="21" xfId="46" applyFont="1" applyFill="1" applyBorder="1" applyAlignment="1" applyProtection="1">
      <alignment horizontal="center" vertical="center" wrapText="1"/>
      <protection/>
    </xf>
    <xf numFmtId="0" fontId="123" fillId="33" borderId="13" xfId="0" applyFont="1" applyFill="1" applyBorder="1" applyAlignment="1" applyProtection="1">
      <alignment horizontal="left" vertical="top" wrapText="1"/>
      <protection locked="0"/>
    </xf>
    <xf numFmtId="0" fontId="89" fillId="6" borderId="19" xfId="0" applyFont="1" applyFill="1" applyBorder="1" applyAlignment="1">
      <alignment horizontal="left" wrapText="1"/>
    </xf>
    <xf numFmtId="0" fontId="89" fillId="6" borderId="20" xfId="0" applyFont="1" applyFill="1" applyBorder="1" applyAlignment="1">
      <alignment horizontal="left" wrapText="1"/>
    </xf>
    <xf numFmtId="0" fontId="89" fillId="6" borderId="62" xfId="0" applyFont="1" applyFill="1" applyBorder="1" applyAlignment="1">
      <alignment horizontal="center" vertical="center" wrapText="1"/>
    </xf>
    <xf numFmtId="0" fontId="89" fillId="6" borderId="21" xfId="0" applyFont="1" applyFill="1" applyBorder="1" applyAlignment="1">
      <alignment horizontal="center" vertical="center" wrapText="1"/>
    </xf>
    <xf numFmtId="0" fontId="89" fillId="6" borderId="77" xfId="0" applyFont="1" applyFill="1" applyBorder="1" applyAlignment="1">
      <alignment horizontal="center" wrapText="1"/>
    </xf>
    <xf numFmtId="0" fontId="89" fillId="6" borderId="78" xfId="0" applyFont="1" applyFill="1" applyBorder="1" applyAlignment="1">
      <alignment horizontal="center" wrapText="1"/>
    </xf>
    <xf numFmtId="0" fontId="96" fillId="34" borderId="17" xfId="46" applyNumberFormat="1" applyFont="1" applyFill="1" applyBorder="1" applyAlignment="1" applyProtection="1">
      <alignment horizontal="center" vertical="center" wrapText="1"/>
      <protection/>
    </xf>
    <xf numFmtId="0" fontId="96" fillId="34" borderId="19" xfId="46" applyNumberFormat="1" applyFont="1" applyFill="1" applyBorder="1" applyAlignment="1" applyProtection="1">
      <alignment horizontal="center" vertical="center" wrapText="1"/>
      <protection/>
    </xf>
    <xf numFmtId="0" fontId="96" fillId="34" borderId="20" xfId="46" applyNumberFormat="1" applyFont="1" applyFill="1" applyBorder="1" applyAlignment="1" applyProtection="1">
      <alignment horizontal="center" vertical="center" wrapText="1"/>
      <protection/>
    </xf>
    <xf numFmtId="0" fontId="96" fillId="6" borderId="13" xfId="0" applyFont="1" applyFill="1" applyBorder="1" applyAlignment="1">
      <alignment horizontal="center" wrapText="1"/>
    </xf>
    <xf numFmtId="0" fontId="89" fillId="34" borderId="62" xfId="0" applyFont="1" applyFill="1" applyBorder="1" applyAlignment="1">
      <alignment horizontal="center" vertical="center" wrapText="1"/>
    </xf>
    <xf numFmtId="0" fontId="89" fillId="34" borderId="21" xfId="0" applyFont="1" applyFill="1" applyBorder="1" applyAlignment="1">
      <alignment horizontal="center" vertical="center" wrapText="1"/>
    </xf>
    <xf numFmtId="0" fontId="89" fillId="34" borderId="17" xfId="0" applyFont="1" applyFill="1" applyBorder="1" applyAlignment="1">
      <alignment horizontal="left" wrapText="1"/>
    </xf>
    <xf numFmtId="0" fontId="89" fillId="34" borderId="19" xfId="0" applyFont="1" applyFill="1" applyBorder="1" applyAlignment="1">
      <alignment horizontal="left" wrapText="1"/>
    </xf>
    <xf numFmtId="0" fontId="89" fillId="34" borderId="20" xfId="0" applyFont="1" applyFill="1" applyBorder="1" applyAlignment="1">
      <alignment horizontal="left" wrapText="1"/>
    </xf>
    <xf numFmtId="0" fontId="89" fillId="34" borderId="34" xfId="0" applyFont="1" applyFill="1" applyBorder="1" applyAlignment="1">
      <alignment horizontal="center" wrapText="1"/>
    </xf>
    <xf numFmtId="0" fontId="89" fillId="34" borderId="77" xfId="0" applyFont="1" applyFill="1" applyBorder="1" applyAlignment="1">
      <alignment horizontal="center" wrapText="1"/>
    </xf>
    <xf numFmtId="0" fontId="89" fillId="34" borderId="78" xfId="0" applyFont="1" applyFill="1" applyBorder="1" applyAlignment="1">
      <alignment horizontal="center" wrapText="1"/>
    </xf>
    <xf numFmtId="0" fontId="88" fillId="0" borderId="53" xfId="0" applyFont="1" applyBorder="1" applyAlignment="1">
      <alignment horizontal="center" wrapText="1"/>
    </xf>
    <xf numFmtId="0" fontId="89" fillId="34" borderId="52" xfId="0" applyFont="1" applyFill="1" applyBorder="1" applyAlignment="1">
      <alignment horizontal="center" vertical="center" wrapText="1"/>
    </xf>
    <xf numFmtId="0" fontId="93" fillId="6" borderId="25" xfId="0" applyFont="1" applyFill="1" applyBorder="1" applyAlignment="1">
      <alignment horizontal="left" wrapText="1"/>
    </xf>
    <xf numFmtId="0" fontId="93" fillId="6" borderId="27" xfId="0" applyFont="1" applyFill="1" applyBorder="1" applyAlignment="1">
      <alignment horizontal="left" wrapText="1"/>
    </xf>
    <xf numFmtId="0" fontId="93" fillId="6" borderId="79" xfId="0" applyFont="1" applyFill="1" applyBorder="1" applyAlignment="1">
      <alignment horizontal="left" wrapText="1"/>
    </xf>
    <xf numFmtId="0" fontId="89" fillId="34" borderId="40" xfId="0" applyFont="1" applyFill="1" applyBorder="1" applyAlignment="1">
      <alignment horizontal="left" wrapText="1"/>
    </xf>
    <xf numFmtId="0" fontId="89" fillId="34" borderId="48" xfId="0" applyFont="1" applyFill="1" applyBorder="1" applyAlignment="1">
      <alignment horizontal="left" wrapText="1"/>
    </xf>
    <xf numFmtId="0" fontId="89" fillId="34" borderId="39" xfId="0" applyFont="1" applyFill="1" applyBorder="1" applyAlignment="1">
      <alignment horizontal="left" wrapText="1"/>
    </xf>
    <xf numFmtId="0" fontId="89" fillId="6" borderId="13" xfId="0" applyFont="1" applyFill="1" applyBorder="1" applyAlignment="1">
      <alignment horizontal="center" vertical="center" wrapText="1"/>
    </xf>
    <xf numFmtId="0" fontId="89" fillId="6" borderId="13" xfId="0" applyFont="1" applyFill="1" applyBorder="1" applyAlignment="1">
      <alignment horizontal="left" wrapText="1"/>
    </xf>
    <xf numFmtId="0" fontId="89" fillId="6" borderId="48" xfId="0" applyFont="1" applyFill="1" applyBorder="1" applyAlignment="1">
      <alignment horizontal="left" wrapText="1"/>
    </xf>
    <xf numFmtId="0" fontId="89" fillId="6" borderId="39" xfId="0" applyFont="1" applyFill="1" applyBorder="1" applyAlignment="1">
      <alignment horizontal="left" wrapText="1"/>
    </xf>
    <xf numFmtId="0" fontId="121" fillId="6" borderId="22" xfId="0" applyFont="1" applyFill="1" applyBorder="1" applyAlignment="1">
      <alignment horizontal="left" vertical="center" wrapText="1"/>
    </xf>
    <xf numFmtId="0" fontId="121" fillId="6" borderId="0" xfId="0" applyFont="1" applyFill="1" applyAlignment="1">
      <alignment horizontal="left" vertical="center" wrapText="1"/>
    </xf>
    <xf numFmtId="0" fontId="121" fillId="6" borderId="80" xfId="0" applyFont="1" applyFill="1" applyBorder="1" applyAlignment="1">
      <alignment horizontal="left" vertical="center" wrapText="1"/>
    </xf>
    <xf numFmtId="0" fontId="121" fillId="6" borderId="74" xfId="0" applyFont="1" applyFill="1" applyBorder="1" applyAlignment="1">
      <alignment horizontal="left" vertical="center" wrapText="1"/>
    </xf>
    <xf numFmtId="0" fontId="121" fillId="6" borderId="75" xfId="0" applyFont="1" applyFill="1" applyBorder="1" applyAlignment="1">
      <alignment horizontal="left" vertical="center" wrapText="1"/>
    </xf>
    <xf numFmtId="0" fontId="121" fillId="6" borderId="81" xfId="0" applyFont="1" applyFill="1" applyBorder="1" applyAlignment="1">
      <alignment horizontal="left" vertical="center" wrapText="1"/>
    </xf>
    <xf numFmtId="170" fontId="86" fillId="34" borderId="17" xfId="0" applyNumberFormat="1" applyFont="1" applyFill="1" applyBorder="1" applyAlignment="1">
      <alignment horizontal="center"/>
    </xf>
    <xf numFmtId="170" fontId="86" fillId="34" borderId="41" xfId="0" applyNumberFormat="1" applyFont="1" applyFill="1" applyBorder="1" applyAlignment="1">
      <alignment horizontal="center"/>
    </xf>
    <xf numFmtId="170" fontId="86" fillId="34" borderId="40" xfId="0" applyNumberFormat="1" applyFont="1" applyFill="1" applyBorder="1" applyAlignment="1">
      <alignment horizontal="center"/>
    </xf>
    <xf numFmtId="170" fontId="86" fillId="34" borderId="46" xfId="0" applyNumberFormat="1" applyFont="1" applyFill="1" applyBorder="1" applyAlignment="1">
      <alignment horizontal="center"/>
    </xf>
    <xf numFmtId="0" fontId="86" fillId="34" borderId="68" xfId="0" applyFont="1" applyFill="1" applyBorder="1" applyAlignment="1">
      <alignment horizontal="left"/>
    </xf>
    <xf numFmtId="0" fontId="86" fillId="34" borderId="69" xfId="0" applyFont="1" applyFill="1" applyBorder="1" applyAlignment="1">
      <alignment horizontal="left"/>
    </xf>
    <xf numFmtId="0" fontId="86" fillId="34" borderId="70" xfId="0" applyFont="1" applyFill="1" applyBorder="1" applyAlignment="1">
      <alignment horizontal="left"/>
    </xf>
    <xf numFmtId="49" fontId="0" fillId="34" borderId="82" xfId="0" applyNumberFormat="1" applyFill="1" applyBorder="1" applyAlignment="1">
      <alignment horizontal="center" wrapText="1"/>
    </xf>
    <xf numFmtId="49" fontId="0" fillId="34" borderId="83" xfId="0" applyNumberFormat="1" applyFill="1" applyBorder="1" applyAlignment="1">
      <alignment horizontal="center" wrapText="1"/>
    </xf>
    <xf numFmtId="49" fontId="0" fillId="34" borderId="84" xfId="0" applyNumberFormat="1" applyFill="1" applyBorder="1" applyAlignment="1">
      <alignment horizontal="center" wrapText="1"/>
    </xf>
    <xf numFmtId="0" fontId="0" fillId="34" borderId="82" xfId="0" applyFill="1" applyBorder="1" applyAlignment="1">
      <alignment horizontal="center" wrapText="1"/>
    </xf>
    <xf numFmtId="0" fontId="0" fillId="34" borderId="83" xfId="0" applyFill="1" applyBorder="1" applyAlignment="1">
      <alignment horizontal="center" wrapText="1"/>
    </xf>
    <xf numFmtId="0" fontId="0" fillId="34" borderId="84" xfId="0" applyFill="1" applyBorder="1" applyAlignment="1">
      <alignment horizontal="center" wrapText="1"/>
    </xf>
    <xf numFmtId="0" fontId="86" fillId="6" borderId="25" xfId="0" applyFont="1" applyFill="1" applyBorder="1" applyAlignment="1">
      <alignment horizontal="center" vertical="center"/>
    </xf>
    <xf numFmtId="0" fontId="86" fillId="6" borderId="27" xfId="0" applyFont="1" applyFill="1" applyBorder="1" applyAlignment="1">
      <alignment horizontal="center" vertical="center"/>
    </xf>
    <xf numFmtId="0" fontId="86" fillId="6" borderId="28" xfId="0" applyFont="1" applyFill="1" applyBorder="1" applyAlignment="1">
      <alignment horizontal="center" vertical="center"/>
    </xf>
    <xf numFmtId="0" fontId="86" fillId="6" borderId="74" xfId="0" applyFont="1" applyFill="1" applyBorder="1" applyAlignment="1">
      <alignment horizontal="center" vertical="center"/>
    </xf>
    <xf numFmtId="0" fontId="86" fillId="6" borderId="75" xfId="0" applyFont="1" applyFill="1" applyBorder="1" applyAlignment="1">
      <alignment horizontal="center" vertical="center"/>
    </xf>
    <xf numFmtId="0" fontId="86" fillId="6" borderId="76" xfId="0" applyFont="1" applyFill="1" applyBorder="1" applyAlignment="1">
      <alignment horizontal="center" vertical="center"/>
    </xf>
    <xf numFmtId="0" fontId="89" fillId="34" borderId="66" xfId="0" applyFont="1" applyFill="1" applyBorder="1" applyAlignment="1">
      <alignment horizontal="center" vertical="center" wrapText="1"/>
    </xf>
    <xf numFmtId="0" fontId="89" fillId="34" borderId="85" xfId="0" applyFont="1" applyFill="1" applyBorder="1" applyAlignment="1">
      <alignment horizontal="center" vertical="center" wrapText="1"/>
    </xf>
    <xf numFmtId="0" fontId="89" fillId="34" borderId="86" xfId="0" applyFont="1" applyFill="1" applyBorder="1" applyAlignment="1">
      <alignment horizontal="center" vertical="center" wrapText="1"/>
    </xf>
    <xf numFmtId="0" fontId="89" fillId="34" borderId="67" xfId="0" applyFont="1" applyFill="1" applyBorder="1" applyAlignment="1">
      <alignment horizontal="center" vertical="center" wrapText="1"/>
    </xf>
    <xf numFmtId="0" fontId="130" fillId="34" borderId="34" xfId="0" applyFont="1" applyFill="1" applyBorder="1" applyAlignment="1">
      <alignment horizontal="center" wrapText="1"/>
    </xf>
    <xf numFmtId="0" fontId="130" fillId="34" borderId="77" xfId="0" applyFont="1" applyFill="1" applyBorder="1" applyAlignment="1">
      <alignment horizontal="center" wrapText="1"/>
    </xf>
    <xf numFmtId="0" fontId="130" fillId="34" borderId="78" xfId="0" applyFont="1" applyFill="1" applyBorder="1" applyAlignment="1">
      <alignment horizontal="center" wrapText="1"/>
    </xf>
    <xf numFmtId="0" fontId="89" fillId="6" borderId="25" xfId="0" applyFont="1" applyFill="1" applyBorder="1" applyAlignment="1">
      <alignment horizontal="center" vertical="center"/>
    </xf>
    <xf numFmtId="0" fontId="89" fillId="6" borderId="27" xfId="0" applyFont="1" applyFill="1" applyBorder="1" applyAlignment="1">
      <alignment horizontal="center" vertical="center"/>
    </xf>
    <xf numFmtId="0" fontId="89" fillId="6" borderId="28" xfId="0" applyFont="1" applyFill="1" applyBorder="1" applyAlignment="1">
      <alignment horizontal="center" vertical="center"/>
    </xf>
    <xf numFmtId="0" fontId="89" fillId="6" borderId="74" xfId="0" applyFont="1" applyFill="1" applyBorder="1" applyAlignment="1">
      <alignment horizontal="center" vertical="center"/>
    </xf>
    <xf numFmtId="0" fontId="89" fillId="6" borderId="75" xfId="0" applyFont="1" applyFill="1" applyBorder="1" applyAlignment="1">
      <alignment horizontal="center" vertical="center"/>
    </xf>
    <xf numFmtId="0" fontId="89" fillId="6" borderId="76" xfId="0" applyFont="1" applyFill="1" applyBorder="1" applyAlignment="1">
      <alignment horizontal="center" vertical="center"/>
    </xf>
    <xf numFmtId="0" fontId="89" fillId="34" borderId="25" xfId="0" applyFont="1" applyFill="1" applyBorder="1" applyAlignment="1">
      <alignment horizontal="center" vertical="center"/>
    </xf>
    <xf numFmtId="0" fontId="89" fillId="34" borderId="27" xfId="0" applyFont="1" applyFill="1" applyBorder="1" applyAlignment="1">
      <alignment horizontal="center" vertical="center"/>
    </xf>
    <xf numFmtId="0" fontId="89" fillId="34" borderId="28" xfId="0" applyFont="1" applyFill="1" applyBorder="1" applyAlignment="1">
      <alignment horizontal="center" vertical="center"/>
    </xf>
    <xf numFmtId="0" fontId="89" fillId="34" borderId="74" xfId="0" applyFont="1" applyFill="1" applyBorder="1" applyAlignment="1">
      <alignment horizontal="center" vertical="center"/>
    </xf>
    <xf numFmtId="0" fontId="89" fillId="34" borderId="75" xfId="0" applyFont="1" applyFill="1" applyBorder="1" applyAlignment="1">
      <alignment horizontal="center" vertical="center"/>
    </xf>
    <xf numFmtId="0" fontId="89" fillId="34" borderId="76" xfId="0" applyFont="1" applyFill="1" applyBorder="1" applyAlignment="1">
      <alignment horizontal="center" vertical="center"/>
    </xf>
    <xf numFmtId="0" fontId="130" fillId="6" borderId="34" xfId="0" applyFont="1" applyFill="1" applyBorder="1" applyAlignment="1">
      <alignment horizontal="center" wrapText="1"/>
    </xf>
    <xf numFmtId="0" fontId="130" fillId="6" borderId="77" xfId="0" applyFont="1" applyFill="1" applyBorder="1" applyAlignment="1">
      <alignment horizontal="center" wrapText="1"/>
    </xf>
    <xf numFmtId="0" fontId="130" fillId="6" borderId="78" xfId="0" applyFont="1" applyFill="1" applyBorder="1" applyAlignment="1">
      <alignment horizontal="center" wrapText="1"/>
    </xf>
    <xf numFmtId="0" fontId="89" fillId="6" borderId="66" xfId="0" applyFont="1" applyFill="1" applyBorder="1" applyAlignment="1">
      <alignment horizontal="center" vertical="center" wrapText="1"/>
    </xf>
    <xf numFmtId="0" fontId="89" fillId="6" borderId="85" xfId="0" applyFont="1" applyFill="1" applyBorder="1" applyAlignment="1">
      <alignment horizontal="center" vertical="center" wrapText="1"/>
    </xf>
    <xf numFmtId="0" fontId="89" fillId="6" borderId="86" xfId="0" applyFont="1" applyFill="1" applyBorder="1" applyAlignment="1">
      <alignment horizontal="center" vertical="center" wrapText="1"/>
    </xf>
    <xf numFmtId="0" fontId="89" fillId="6" borderId="67"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M82"/>
  <sheetViews>
    <sheetView zoomScalePageLayoutView="0" workbookViewId="0" topLeftCell="A3">
      <selection activeCell="D62" sqref="D62"/>
    </sheetView>
  </sheetViews>
  <sheetFormatPr defaultColWidth="11.421875" defaultRowHeight="15"/>
  <cols>
    <col min="1" max="1" width="22.140625" style="0" customWidth="1"/>
    <col min="2" max="2" width="11.140625" style="0" customWidth="1"/>
    <col min="3" max="3" width="11.421875" style="0" customWidth="1"/>
    <col min="4" max="4" width="34.421875" style="0" customWidth="1"/>
    <col min="5" max="5" width="9.421875" style="0" customWidth="1"/>
    <col min="6" max="6" width="10.140625" style="171" bestFit="1" customWidth="1"/>
    <col min="7" max="7" width="8.8515625" style="171" bestFit="1" customWidth="1"/>
    <col min="8" max="8" width="14.8515625" style="171" bestFit="1" customWidth="1"/>
    <col min="9" max="9" width="15.421875" style="171" bestFit="1" customWidth="1"/>
    <col min="10" max="10" width="79.140625" style="0" customWidth="1"/>
    <col min="11" max="12" width="11.421875" style="0" customWidth="1"/>
  </cols>
  <sheetData>
    <row r="1" spans="1:10" ht="14.25">
      <c r="A1" s="735" t="s">
        <v>662</v>
      </c>
      <c r="B1" s="735"/>
      <c r="C1" s="735"/>
      <c r="D1" s="735"/>
      <c r="E1" s="735"/>
      <c r="F1" s="735"/>
      <c r="G1" s="735"/>
      <c r="H1" s="735"/>
      <c r="I1" s="735"/>
      <c r="J1" s="735"/>
    </row>
    <row r="2" spans="1:10" ht="14.25">
      <c r="A2" s="735"/>
      <c r="B2" s="735"/>
      <c r="C2" s="735"/>
      <c r="D2" s="735"/>
      <c r="E2" s="735"/>
      <c r="F2" s="735"/>
      <c r="G2" s="735"/>
      <c r="H2" s="735"/>
      <c r="I2" s="735"/>
      <c r="J2" s="735"/>
    </row>
    <row r="3" spans="1:10" s="154" customFormat="1" ht="39">
      <c r="A3" s="151" t="s">
        <v>663</v>
      </c>
      <c r="B3" s="151" t="s">
        <v>664</v>
      </c>
      <c r="C3" s="151" t="s">
        <v>665</v>
      </c>
      <c r="D3" s="151" t="s">
        <v>666</v>
      </c>
      <c r="E3" s="151" t="s">
        <v>667</v>
      </c>
      <c r="F3" s="152" t="s">
        <v>668</v>
      </c>
      <c r="G3" s="152" t="s">
        <v>669</v>
      </c>
      <c r="H3" s="152" t="s">
        <v>670</v>
      </c>
      <c r="I3" s="152" t="s">
        <v>671</v>
      </c>
      <c r="J3" s="153" t="s">
        <v>672</v>
      </c>
    </row>
    <row r="4" spans="1:10" s="154" customFormat="1" ht="14.25">
      <c r="A4" s="734" t="s">
        <v>673</v>
      </c>
      <c r="B4" s="155"/>
      <c r="C4" s="155">
        <v>5011</v>
      </c>
      <c r="D4" s="156" t="s">
        <v>674</v>
      </c>
      <c r="E4" s="156"/>
      <c r="F4" s="157"/>
      <c r="G4" s="157"/>
      <c r="H4" s="157"/>
      <c r="I4" s="157"/>
      <c r="J4" s="736"/>
    </row>
    <row r="5" spans="1:10" s="154" customFormat="1" ht="14.25">
      <c r="A5" s="734"/>
      <c r="B5" s="158"/>
      <c r="C5" s="159">
        <v>5101</v>
      </c>
      <c r="D5" s="160" t="s">
        <v>675</v>
      </c>
      <c r="E5" s="160">
        <v>1</v>
      </c>
      <c r="F5" s="161" t="s">
        <v>676</v>
      </c>
      <c r="G5" s="161">
        <v>1</v>
      </c>
      <c r="H5" s="162">
        <v>14000</v>
      </c>
      <c r="I5" s="162">
        <f>+E5*G5*H5</f>
        <v>14000</v>
      </c>
      <c r="J5" s="736"/>
    </row>
    <row r="6" spans="1:10" ht="25.5">
      <c r="A6" s="734"/>
      <c r="B6" s="155"/>
      <c r="C6" s="155">
        <v>5013</v>
      </c>
      <c r="D6" s="156" t="s">
        <v>677</v>
      </c>
      <c r="E6" s="156"/>
      <c r="F6" s="163"/>
      <c r="G6" s="163"/>
      <c r="H6" s="163"/>
      <c r="I6" s="164"/>
      <c r="J6" s="736"/>
    </row>
    <row r="7" spans="1:13" ht="14.25">
      <c r="A7" s="734"/>
      <c r="B7" s="165"/>
      <c r="C7" s="166">
        <v>5551</v>
      </c>
      <c r="D7" s="167" t="s">
        <v>678</v>
      </c>
      <c r="E7" s="168">
        <v>6</v>
      </c>
      <c r="F7" s="168" t="s">
        <v>668</v>
      </c>
      <c r="G7" s="168">
        <v>1</v>
      </c>
      <c r="H7" s="169">
        <v>2800</v>
      </c>
      <c r="I7" s="170">
        <f aca="true" t="shared" si="0" ref="I7:I14">+E7*G7*H7</f>
        <v>16800</v>
      </c>
      <c r="J7" s="736"/>
      <c r="M7" s="171"/>
    </row>
    <row r="8" spans="1:13" ht="14.25">
      <c r="A8" s="734"/>
      <c r="B8" s="165"/>
      <c r="C8" s="166">
        <v>5551</v>
      </c>
      <c r="D8" s="167" t="s">
        <v>679</v>
      </c>
      <c r="E8" s="168">
        <v>1</v>
      </c>
      <c r="F8" s="168" t="s">
        <v>668</v>
      </c>
      <c r="G8" s="168">
        <v>1</v>
      </c>
      <c r="H8" s="169">
        <v>2800</v>
      </c>
      <c r="I8" s="170">
        <f t="shared" si="0"/>
        <v>2800</v>
      </c>
      <c r="J8" s="153"/>
      <c r="M8" s="171"/>
    </row>
    <row r="9" spans="1:13" ht="14.25">
      <c r="A9" s="734"/>
      <c r="B9" s="165"/>
      <c r="C9" s="166">
        <v>5551</v>
      </c>
      <c r="D9" s="167" t="s">
        <v>680</v>
      </c>
      <c r="E9" s="168">
        <v>1</v>
      </c>
      <c r="F9" s="168" t="s">
        <v>668</v>
      </c>
      <c r="G9" s="168">
        <v>1</v>
      </c>
      <c r="H9" s="169">
        <v>2800</v>
      </c>
      <c r="I9" s="170">
        <f t="shared" si="0"/>
        <v>2800</v>
      </c>
      <c r="J9" s="153"/>
      <c r="M9" s="171"/>
    </row>
    <row r="10" spans="1:13" ht="14.25">
      <c r="A10" s="734"/>
      <c r="B10" s="165"/>
      <c r="C10" s="166">
        <v>5551</v>
      </c>
      <c r="D10" s="167" t="s">
        <v>681</v>
      </c>
      <c r="E10" s="168">
        <v>1</v>
      </c>
      <c r="F10" s="168" t="s">
        <v>668</v>
      </c>
      <c r="G10" s="168">
        <v>1</v>
      </c>
      <c r="H10" s="169">
        <v>2800</v>
      </c>
      <c r="I10" s="170">
        <f t="shared" si="0"/>
        <v>2800</v>
      </c>
      <c r="J10" s="153"/>
      <c r="M10" s="171"/>
    </row>
    <row r="11" spans="1:13" ht="14.25">
      <c r="A11" s="734"/>
      <c r="B11" s="158"/>
      <c r="C11" s="159">
        <v>5551</v>
      </c>
      <c r="D11" s="160" t="s">
        <v>682</v>
      </c>
      <c r="E11" s="161">
        <v>1</v>
      </c>
      <c r="F11" s="161" t="s">
        <v>668</v>
      </c>
      <c r="G11" s="161">
        <v>1</v>
      </c>
      <c r="H11" s="172">
        <f>1400/1.062</f>
        <v>1318.2674199623352</v>
      </c>
      <c r="I11" s="162">
        <f t="shared" si="0"/>
        <v>1318.2674199623352</v>
      </c>
      <c r="J11" s="153"/>
      <c r="M11" s="171"/>
    </row>
    <row r="12" spans="1:13" ht="14.25">
      <c r="A12" s="734"/>
      <c r="B12" s="158"/>
      <c r="C12" s="159">
        <v>5551</v>
      </c>
      <c r="D12" s="160" t="s">
        <v>683</v>
      </c>
      <c r="E12" s="161">
        <v>1</v>
      </c>
      <c r="F12" s="161" t="s">
        <v>668</v>
      </c>
      <c r="G12" s="161">
        <v>1</v>
      </c>
      <c r="H12" s="172">
        <v>1000</v>
      </c>
      <c r="I12" s="162">
        <f t="shared" si="0"/>
        <v>1000</v>
      </c>
      <c r="J12" s="153"/>
      <c r="M12" s="171"/>
    </row>
    <row r="13" spans="1:13" ht="14.25">
      <c r="A13" s="734"/>
      <c r="B13" s="158"/>
      <c r="C13" s="159">
        <v>5551</v>
      </c>
      <c r="D13" s="160" t="s">
        <v>684</v>
      </c>
      <c r="E13" s="161">
        <v>1</v>
      </c>
      <c r="F13" s="161" t="s">
        <v>668</v>
      </c>
      <c r="G13" s="161">
        <v>1</v>
      </c>
      <c r="H13" s="172">
        <v>1500</v>
      </c>
      <c r="I13" s="162">
        <f t="shared" si="0"/>
        <v>1500</v>
      </c>
      <c r="J13" s="153"/>
      <c r="M13" s="171"/>
    </row>
    <row r="14" spans="1:13" ht="14.25">
      <c r="A14" s="734"/>
      <c r="B14" s="165"/>
      <c r="C14" s="166">
        <v>5551</v>
      </c>
      <c r="D14" s="167" t="s">
        <v>685</v>
      </c>
      <c r="E14" s="168">
        <v>3</v>
      </c>
      <c r="F14" s="168" t="s">
        <v>668</v>
      </c>
      <c r="G14" s="168">
        <v>1</v>
      </c>
      <c r="H14" s="169">
        <v>675</v>
      </c>
      <c r="I14" s="170">
        <f t="shared" si="0"/>
        <v>2025</v>
      </c>
      <c r="J14" s="153"/>
      <c r="M14" s="171"/>
    </row>
    <row r="15" spans="1:13" ht="24.75">
      <c r="A15" s="734"/>
      <c r="B15" s="173">
        <v>5300</v>
      </c>
      <c r="C15" s="174">
        <v>5156</v>
      </c>
      <c r="D15" s="175" t="s">
        <v>686</v>
      </c>
      <c r="E15" s="176"/>
      <c r="F15" s="177"/>
      <c r="G15" s="177">
        <f>(E5*G5)</f>
        <v>1</v>
      </c>
      <c r="H15" s="178">
        <v>267</v>
      </c>
      <c r="I15" s="179">
        <f>G15*H15</f>
        <v>267</v>
      </c>
      <c r="J15" s="180" t="s">
        <v>687</v>
      </c>
      <c r="M15" s="171"/>
    </row>
    <row r="16" spans="1:10" s="74" customFormat="1" ht="22.5">
      <c r="A16" s="734"/>
      <c r="B16" s="173">
        <v>5570</v>
      </c>
      <c r="C16" s="174">
        <v>5556</v>
      </c>
      <c r="D16" s="181" t="s">
        <v>688</v>
      </c>
      <c r="E16" s="181"/>
      <c r="F16" s="182"/>
      <c r="G16" s="183"/>
      <c r="H16" s="183">
        <v>187</v>
      </c>
      <c r="I16" s="179">
        <f>G16*H16</f>
        <v>0</v>
      </c>
      <c r="J16" s="184" t="s">
        <v>689</v>
      </c>
    </row>
    <row r="17" spans="1:10" ht="24.75">
      <c r="A17" s="734"/>
      <c r="B17" s="173">
        <v>5570</v>
      </c>
      <c r="C17" s="174">
        <v>5556</v>
      </c>
      <c r="D17" s="175" t="s">
        <v>690</v>
      </c>
      <c r="E17" s="176"/>
      <c r="F17" s="185"/>
      <c r="G17" s="186">
        <f>(E7*G7)+(E8*G8)+(E9*G9)+(E10*G10)+(E11*G11)+(E12*G12)+(E13*G13)+(E14*G14)</f>
        <v>15</v>
      </c>
      <c r="H17" s="186">
        <v>27</v>
      </c>
      <c r="I17" s="179">
        <f>G17*H17</f>
        <v>405</v>
      </c>
      <c r="J17" s="184" t="s">
        <v>689</v>
      </c>
    </row>
    <row r="18" spans="1:10" ht="14.25">
      <c r="A18" s="187"/>
      <c r="B18" s="187"/>
      <c r="C18" s="187"/>
      <c r="D18" s="188" t="s">
        <v>691</v>
      </c>
      <c r="E18" s="188"/>
      <c r="F18" s="189"/>
      <c r="G18" s="189"/>
      <c r="H18" s="189"/>
      <c r="I18" s="190">
        <f>SUM(I4:I17)</f>
        <v>45715.267419962336</v>
      </c>
      <c r="J18" s="191"/>
    </row>
    <row r="19" spans="1:10" ht="14.25">
      <c r="A19" s="734" t="s">
        <v>1</v>
      </c>
      <c r="B19" s="155"/>
      <c r="C19" s="192">
        <v>5024</v>
      </c>
      <c r="D19" s="156" t="s">
        <v>692</v>
      </c>
      <c r="E19" s="156"/>
      <c r="F19" s="193"/>
      <c r="G19" s="193"/>
      <c r="H19" s="193"/>
      <c r="I19" s="193"/>
      <c r="J19" s="737"/>
    </row>
    <row r="20" spans="1:10" ht="14.25">
      <c r="A20" s="734"/>
      <c r="B20" s="165"/>
      <c r="C20" s="166">
        <v>5940</v>
      </c>
      <c r="D20" s="167" t="s">
        <v>693</v>
      </c>
      <c r="E20" s="167"/>
      <c r="F20" s="194" t="s">
        <v>694</v>
      </c>
      <c r="G20" s="195">
        <v>2000</v>
      </c>
      <c r="H20" s="196">
        <v>1.8181818181818181</v>
      </c>
      <c r="I20" s="197">
        <f>+G20*H20</f>
        <v>3636.363636363636</v>
      </c>
      <c r="J20" s="737"/>
    </row>
    <row r="21" spans="1:10" ht="24.75">
      <c r="A21" s="734"/>
      <c r="B21" s="165"/>
      <c r="C21" s="166">
        <v>5921</v>
      </c>
      <c r="D21" s="167" t="s">
        <v>695</v>
      </c>
      <c r="E21" s="167"/>
      <c r="F21" s="194" t="s">
        <v>696</v>
      </c>
      <c r="G21" s="195">
        <v>150</v>
      </c>
      <c r="H21" s="197">
        <v>10</v>
      </c>
      <c r="I21" s="197">
        <f aca="true" t="shared" si="1" ref="I21:I27">+G21*H21</f>
        <v>1500</v>
      </c>
      <c r="J21" s="737"/>
    </row>
    <row r="22" spans="1:10" ht="14.25">
      <c r="A22" s="734"/>
      <c r="B22" s="165"/>
      <c r="C22" s="166">
        <v>5934</v>
      </c>
      <c r="D22" s="167" t="s">
        <v>697</v>
      </c>
      <c r="E22" s="167"/>
      <c r="F22" s="194" t="s">
        <v>698</v>
      </c>
      <c r="G22" s="195">
        <v>45</v>
      </c>
      <c r="H22" s="197">
        <v>300</v>
      </c>
      <c r="I22" s="197">
        <f t="shared" si="1"/>
        <v>13500</v>
      </c>
      <c r="J22" s="737"/>
    </row>
    <row r="23" spans="1:10" ht="14.25">
      <c r="A23" s="734"/>
      <c r="B23" s="165"/>
      <c r="C23" s="166">
        <v>5924</v>
      </c>
      <c r="D23" s="167" t="s">
        <v>699</v>
      </c>
      <c r="E23" s="167"/>
      <c r="F23" s="194" t="s">
        <v>668</v>
      </c>
      <c r="G23" s="195">
        <v>100</v>
      </c>
      <c r="H23" s="197">
        <v>10</v>
      </c>
      <c r="I23" s="197">
        <f t="shared" si="1"/>
        <v>1000</v>
      </c>
      <c r="J23" s="737"/>
    </row>
    <row r="24" spans="1:10" ht="14.25">
      <c r="A24" s="734"/>
      <c r="B24" s="165"/>
      <c r="C24" s="166">
        <v>5938</v>
      </c>
      <c r="D24" s="167" t="s">
        <v>700</v>
      </c>
      <c r="E24" s="167"/>
      <c r="F24" s="194" t="s">
        <v>701</v>
      </c>
      <c r="G24" s="195">
        <v>6000</v>
      </c>
      <c r="H24" s="196">
        <v>0.10909090909090909</v>
      </c>
      <c r="I24" s="197">
        <f>+G24*H24</f>
        <v>654.5454545454545</v>
      </c>
      <c r="J24" s="737"/>
    </row>
    <row r="25" spans="1:10" ht="14.25">
      <c r="A25" s="734"/>
      <c r="B25" s="165"/>
      <c r="C25" s="166">
        <v>5924</v>
      </c>
      <c r="D25" s="167" t="s">
        <v>702</v>
      </c>
      <c r="E25" s="167"/>
      <c r="F25" s="194" t="s">
        <v>668</v>
      </c>
      <c r="G25" s="195">
        <v>100</v>
      </c>
      <c r="H25" s="197">
        <f>50000/590</f>
        <v>84.7457627118644</v>
      </c>
      <c r="I25" s="197">
        <f t="shared" si="1"/>
        <v>8474.57627118644</v>
      </c>
      <c r="J25" s="737"/>
    </row>
    <row r="26" spans="1:10" ht="24.75">
      <c r="A26" s="734"/>
      <c r="B26" s="173">
        <v>6000</v>
      </c>
      <c r="C26" s="174">
        <v>5956</v>
      </c>
      <c r="D26" s="175" t="s">
        <v>703</v>
      </c>
      <c r="E26" s="175"/>
      <c r="F26" s="198"/>
      <c r="G26" s="198"/>
      <c r="H26" s="198">
        <v>860</v>
      </c>
      <c r="I26" s="186">
        <f t="shared" si="1"/>
        <v>0</v>
      </c>
      <c r="J26" s="199"/>
    </row>
    <row r="27" spans="1:10" ht="24.75">
      <c r="A27" s="734"/>
      <c r="B27" s="173">
        <v>6000</v>
      </c>
      <c r="C27" s="174">
        <v>5956</v>
      </c>
      <c r="D27" s="175" t="s">
        <v>704</v>
      </c>
      <c r="E27" s="176"/>
      <c r="F27" s="186"/>
      <c r="G27" s="179">
        <v>6</v>
      </c>
      <c r="H27" s="186">
        <v>44</v>
      </c>
      <c r="I27" s="186">
        <f t="shared" si="1"/>
        <v>264</v>
      </c>
      <c r="J27" s="199"/>
    </row>
    <row r="28" spans="1:10" ht="14.25">
      <c r="A28" s="734"/>
      <c r="B28" s="192"/>
      <c r="C28" s="155">
        <v>5030</v>
      </c>
      <c r="D28" s="156" t="s">
        <v>705</v>
      </c>
      <c r="E28" s="156"/>
      <c r="F28" s="157"/>
      <c r="G28" s="200"/>
      <c r="H28" s="157"/>
      <c r="I28" s="200"/>
      <c r="J28" s="199"/>
    </row>
    <row r="29" spans="1:10" ht="14.25">
      <c r="A29" s="734"/>
      <c r="B29" s="165"/>
      <c r="C29" s="166">
        <v>5730</v>
      </c>
      <c r="D29" s="167" t="s">
        <v>706</v>
      </c>
      <c r="E29" s="167"/>
      <c r="F29" s="194"/>
      <c r="G29" s="195"/>
      <c r="H29" s="197"/>
      <c r="I29" s="197"/>
      <c r="J29" s="199"/>
    </row>
    <row r="30" spans="1:10" ht="14.25">
      <c r="A30" s="734"/>
      <c r="B30" s="165"/>
      <c r="C30" s="166">
        <v>5731</v>
      </c>
      <c r="D30" s="167" t="s">
        <v>707</v>
      </c>
      <c r="E30" s="167"/>
      <c r="F30" s="194"/>
      <c r="G30" s="195"/>
      <c r="H30" s="197"/>
      <c r="I30" s="201"/>
      <c r="J30" s="199"/>
    </row>
    <row r="31" spans="1:10" ht="14.25">
      <c r="A31" s="734"/>
      <c r="B31" s="165"/>
      <c r="C31" s="166">
        <v>5732</v>
      </c>
      <c r="D31" s="167" t="s">
        <v>708</v>
      </c>
      <c r="E31" s="167"/>
      <c r="F31" s="194"/>
      <c r="G31" s="195"/>
      <c r="H31" s="197"/>
      <c r="I31" s="197"/>
      <c r="J31" s="199"/>
    </row>
    <row r="32" spans="1:10" ht="14.25" customHeight="1">
      <c r="A32" s="734"/>
      <c r="B32" s="173">
        <v>5800</v>
      </c>
      <c r="C32" s="174">
        <v>5739</v>
      </c>
      <c r="D32" s="175" t="s">
        <v>709</v>
      </c>
      <c r="E32" s="175"/>
      <c r="F32" s="194"/>
      <c r="G32" s="194"/>
      <c r="H32" s="198"/>
      <c r="I32" s="197"/>
      <c r="J32" s="202" t="s">
        <v>710</v>
      </c>
    </row>
    <row r="33" spans="1:10" ht="14.25">
      <c r="A33" s="187"/>
      <c r="B33" s="187"/>
      <c r="C33" s="187"/>
      <c r="D33" s="188" t="s">
        <v>691</v>
      </c>
      <c r="E33" s="188"/>
      <c r="F33" s="203"/>
      <c r="G33" s="203"/>
      <c r="H33" s="203"/>
      <c r="I33" s="203">
        <f>SUM(I20:I32)</f>
        <v>29029.485362095533</v>
      </c>
      <c r="J33" s="191"/>
    </row>
    <row r="34" spans="1:10" ht="14.25">
      <c r="A34" s="734" t="s">
        <v>711</v>
      </c>
      <c r="B34" s="192"/>
      <c r="C34" s="192">
        <v>5025</v>
      </c>
      <c r="D34" s="156" t="s">
        <v>712</v>
      </c>
      <c r="E34" s="156"/>
      <c r="F34" s="204"/>
      <c r="G34" s="204"/>
      <c r="H34" s="204"/>
      <c r="I34" s="204"/>
      <c r="J34" s="205"/>
    </row>
    <row r="35" spans="1:12" ht="24.75">
      <c r="A35" s="734"/>
      <c r="B35" s="165"/>
      <c r="C35" s="206">
        <v>6004</v>
      </c>
      <c r="D35" s="167" t="s">
        <v>713</v>
      </c>
      <c r="E35" s="167"/>
      <c r="F35" s="194" t="s">
        <v>668</v>
      </c>
      <c r="G35" s="194">
        <v>2</v>
      </c>
      <c r="H35" s="194">
        <v>1000</v>
      </c>
      <c r="I35" s="194">
        <f>+G35*H35</f>
        <v>2000</v>
      </c>
      <c r="J35" s="199"/>
      <c r="K35" s="207"/>
      <c r="L35" s="208"/>
    </row>
    <row r="36" spans="1:12" ht="24.75">
      <c r="A36" s="734"/>
      <c r="B36" s="173">
        <v>6100</v>
      </c>
      <c r="C36" s="209">
        <v>6056</v>
      </c>
      <c r="D36" s="175" t="s">
        <v>714</v>
      </c>
      <c r="E36" s="175"/>
      <c r="F36" s="198"/>
      <c r="G36" s="198"/>
      <c r="H36" s="198">
        <v>860</v>
      </c>
      <c r="I36" s="198">
        <f>+G36*H36</f>
        <v>0</v>
      </c>
      <c r="J36" s="738" t="s">
        <v>715</v>
      </c>
      <c r="K36" s="207"/>
      <c r="L36" s="208"/>
    </row>
    <row r="37" spans="1:10" ht="24.75">
      <c r="A37" s="734"/>
      <c r="B37" s="173">
        <v>6100</v>
      </c>
      <c r="C37" s="209">
        <v>6056</v>
      </c>
      <c r="D37" s="175" t="s">
        <v>716</v>
      </c>
      <c r="E37" s="176"/>
      <c r="F37" s="210"/>
      <c r="G37" s="179">
        <v>1</v>
      </c>
      <c r="H37" s="186">
        <v>44</v>
      </c>
      <c r="I37" s="198">
        <f>+G37*H37</f>
        <v>44</v>
      </c>
      <c r="J37" s="739"/>
    </row>
    <row r="38" spans="1:10" ht="14.25">
      <c r="A38" s="187"/>
      <c r="B38" s="187"/>
      <c r="C38" s="187"/>
      <c r="D38" s="188" t="s">
        <v>691</v>
      </c>
      <c r="E38" s="188"/>
      <c r="F38" s="203"/>
      <c r="G38" s="203"/>
      <c r="H38" s="203"/>
      <c r="I38" s="203">
        <f>SUM(I35:I37)</f>
        <v>2044</v>
      </c>
      <c r="J38" s="211"/>
    </row>
    <row r="39" spans="1:10" ht="14.25">
      <c r="A39" s="734" t="s">
        <v>717</v>
      </c>
      <c r="B39" s="192"/>
      <c r="C39" s="192">
        <v>5014</v>
      </c>
      <c r="D39" s="156" t="s">
        <v>718</v>
      </c>
      <c r="E39" s="156"/>
      <c r="F39" s="204"/>
      <c r="G39" s="204"/>
      <c r="H39" s="204"/>
      <c r="I39" s="204"/>
      <c r="J39" s="184" t="s">
        <v>719</v>
      </c>
    </row>
    <row r="40" spans="1:12" ht="14.25">
      <c r="A40" s="734"/>
      <c r="B40" s="165"/>
      <c r="C40" s="206">
        <v>5571</v>
      </c>
      <c r="D40" s="212" t="s">
        <v>720</v>
      </c>
      <c r="E40" s="212"/>
      <c r="F40" s="194" t="s">
        <v>668</v>
      </c>
      <c r="G40" s="213">
        <v>60</v>
      </c>
      <c r="H40" s="213">
        <v>200</v>
      </c>
      <c r="I40" s="213">
        <f aca="true" t="shared" si="2" ref="I40:I45">+G40*H40</f>
        <v>12000</v>
      </c>
      <c r="J40" s="214"/>
      <c r="L40" s="215"/>
    </row>
    <row r="41" spans="1:12" ht="14.25">
      <c r="A41" s="734"/>
      <c r="B41" s="165"/>
      <c r="C41" s="206">
        <v>5571</v>
      </c>
      <c r="D41" s="212" t="s">
        <v>721</v>
      </c>
      <c r="E41" s="212"/>
      <c r="F41" s="194" t="s">
        <v>668</v>
      </c>
      <c r="G41" s="213">
        <v>7</v>
      </c>
      <c r="H41" s="213">
        <f>5000000/550</f>
        <v>9090.90909090909</v>
      </c>
      <c r="I41" s="213">
        <f t="shared" si="2"/>
        <v>63636.36363636363</v>
      </c>
      <c r="J41" s="214"/>
      <c r="L41" s="215"/>
    </row>
    <row r="42" spans="1:12" ht="14.25">
      <c r="A42" s="734"/>
      <c r="B42" s="165"/>
      <c r="C42" s="206">
        <v>5571</v>
      </c>
      <c r="D42" s="212" t="s">
        <v>722</v>
      </c>
      <c r="E42" s="212"/>
      <c r="F42" s="194" t="s">
        <v>668</v>
      </c>
      <c r="G42" s="213">
        <v>5</v>
      </c>
      <c r="H42" s="213">
        <f>5000000/550</f>
        <v>9090.90909090909</v>
      </c>
      <c r="I42" s="213">
        <f t="shared" si="2"/>
        <v>45454.54545454545</v>
      </c>
      <c r="J42" s="214"/>
      <c r="L42" s="215"/>
    </row>
    <row r="43" spans="1:12" ht="24.75">
      <c r="A43" s="734"/>
      <c r="B43" s="165"/>
      <c r="C43" s="206">
        <v>5571</v>
      </c>
      <c r="D43" s="212" t="s">
        <v>723</v>
      </c>
      <c r="E43" s="212"/>
      <c r="F43" s="194" t="s">
        <v>724</v>
      </c>
      <c r="G43" s="213">
        <v>500</v>
      </c>
      <c r="H43" s="213">
        <f>70000/550</f>
        <v>127.27272727272727</v>
      </c>
      <c r="I43" s="213">
        <f t="shared" si="2"/>
        <v>63636.36363636363</v>
      </c>
      <c r="J43" s="214"/>
      <c r="L43" s="215"/>
    </row>
    <row r="44" spans="1:12" ht="14.25">
      <c r="A44" s="734"/>
      <c r="B44" s="165"/>
      <c r="C44" s="206">
        <v>5571</v>
      </c>
      <c r="D44" s="212" t="s">
        <v>725</v>
      </c>
      <c r="E44" s="212"/>
      <c r="F44" s="194" t="s">
        <v>668</v>
      </c>
      <c r="G44" s="213">
        <v>1</v>
      </c>
      <c r="H44" s="213">
        <f>3000000/550</f>
        <v>5454.545454545455</v>
      </c>
      <c r="I44" s="213">
        <f t="shared" si="2"/>
        <v>5454.545454545455</v>
      </c>
      <c r="J44" s="214"/>
      <c r="L44" s="215"/>
    </row>
    <row r="45" spans="1:10" ht="25.5">
      <c r="A45" s="734"/>
      <c r="B45" s="173">
        <v>5650</v>
      </c>
      <c r="C45" s="209">
        <v>5588</v>
      </c>
      <c r="D45" s="176" t="s">
        <v>726</v>
      </c>
      <c r="E45" s="176"/>
      <c r="F45" s="210"/>
      <c r="G45" s="186">
        <v>5</v>
      </c>
      <c r="H45" s="186">
        <v>44</v>
      </c>
      <c r="I45" s="186">
        <f t="shared" si="2"/>
        <v>220</v>
      </c>
      <c r="J45" s="202" t="s">
        <v>715</v>
      </c>
    </row>
    <row r="46" spans="1:10" ht="14.25">
      <c r="A46" s="188"/>
      <c r="B46" s="188"/>
      <c r="C46" s="188"/>
      <c r="D46" s="188" t="s">
        <v>691</v>
      </c>
      <c r="E46" s="188"/>
      <c r="F46" s="203"/>
      <c r="G46" s="203"/>
      <c r="H46" s="203"/>
      <c r="I46" s="203">
        <f>SUM(I40:I45)</f>
        <v>190401.81818181815</v>
      </c>
      <c r="J46" s="216"/>
    </row>
    <row r="47" spans="1:13" ht="14.25">
      <c r="A47" s="734" t="s">
        <v>6</v>
      </c>
      <c r="B47" s="192"/>
      <c r="C47" s="192">
        <v>5021</v>
      </c>
      <c r="D47" s="156" t="s">
        <v>727</v>
      </c>
      <c r="E47" s="156"/>
      <c r="F47" s="217"/>
      <c r="G47" s="217"/>
      <c r="H47" s="217"/>
      <c r="I47" s="217"/>
      <c r="J47" s="205"/>
      <c r="M47" s="171"/>
    </row>
    <row r="48" spans="1:13" ht="14.25">
      <c r="A48" s="734"/>
      <c r="B48" s="165"/>
      <c r="C48" s="218">
        <v>5696</v>
      </c>
      <c r="D48" s="167" t="s">
        <v>728</v>
      </c>
      <c r="E48" s="167"/>
      <c r="F48" s="219">
        <v>1</v>
      </c>
      <c r="G48" s="219" t="s">
        <v>729</v>
      </c>
      <c r="H48" s="219">
        <v>10000</v>
      </c>
      <c r="I48" s="219">
        <f>+F48*H48</f>
        <v>10000</v>
      </c>
      <c r="J48" s="737"/>
      <c r="M48" s="171"/>
    </row>
    <row r="49" spans="1:13" ht="18">
      <c r="A49" s="740"/>
      <c r="B49" s="166"/>
      <c r="C49" s="166">
        <v>5664</v>
      </c>
      <c r="D49" s="167" t="s">
        <v>730</v>
      </c>
      <c r="E49" s="167"/>
      <c r="F49" s="219">
        <v>1</v>
      </c>
      <c r="G49" s="219" t="s">
        <v>729</v>
      </c>
      <c r="H49" s="219">
        <v>5000</v>
      </c>
      <c r="I49" s="219">
        <f>+F49*H49</f>
        <v>5000</v>
      </c>
      <c r="J49" s="737"/>
      <c r="K49" s="220"/>
      <c r="L49" s="221"/>
      <c r="M49" s="222"/>
    </row>
    <row r="50" spans="1:10" ht="14.25">
      <c r="A50" s="187"/>
      <c r="B50" s="187"/>
      <c r="C50" s="187"/>
      <c r="D50" s="188" t="s">
        <v>691</v>
      </c>
      <c r="E50" s="188"/>
      <c r="F50" s="203"/>
      <c r="G50" s="203"/>
      <c r="H50" s="203"/>
      <c r="I50" s="203">
        <f>SUM(I48:I49)</f>
        <v>15000</v>
      </c>
      <c r="J50" s="191"/>
    </row>
    <row r="51" spans="1:10" ht="14.25">
      <c r="A51" s="734" t="s">
        <v>4</v>
      </c>
      <c r="B51" s="192"/>
      <c r="C51" s="155">
        <v>5014</v>
      </c>
      <c r="D51" s="156" t="s">
        <v>718</v>
      </c>
      <c r="E51" s="156"/>
      <c r="F51" s="223"/>
      <c r="G51" s="223"/>
      <c r="H51" s="223"/>
      <c r="I51" s="223"/>
      <c r="J51" s="205"/>
    </row>
    <row r="52" spans="1:10" ht="62.25">
      <c r="A52" s="734"/>
      <c r="B52" s="165"/>
      <c r="C52" s="224">
        <v>5579</v>
      </c>
      <c r="D52" s="225" t="s">
        <v>731</v>
      </c>
      <c r="E52" s="225"/>
      <c r="F52" s="197">
        <v>1</v>
      </c>
      <c r="G52" s="195" t="s">
        <v>668</v>
      </c>
      <c r="H52" s="195">
        <f>15000000/590</f>
        <v>25423.728813559323</v>
      </c>
      <c r="I52" s="226">
        <f>+F52*H52</f>
        <v>25423.728813559323</v>
      </c>
      <c r="J52" s="227" t="s">
        <v>732</v>
      </c>
    </row>
    <row r="53" spans="1:10" ht="14.25">
      <c r="A53" s="734"/>
      <c r="B53" s="165"/>
      <c r="C53" s="224">
        <v>5577</v>
      </c>
      <c r="D53" s="225" t="s">
        <v>733</v>
      </c>
      <c r="E53" s="225"/>
      <c r="F53" s="197">
        <v>1</v>
      </c>
      <c r="G53" s="195" t="s">
        <v>668</v>
      </c>
      <c r="H53" s="195">
        <f>20000000/590</f>
        <v>33898.30508474576</v>
      </c>
      <c r="I53" s="226">
        <f>+F53*H53</f>
        <v>33898.30508474576</v>
      </c>
      <c r="J53" s="228"/>
    </row>
    <row r="54" spans="1:10" ht="24.75">
      <c r="A54" s="734"/>
      <c r="B54" s="173">
        <v>5650</v>
      </c>
      <c r="C54" s="174">
        <v>5586</v>
      </c>
      <c r="D54" s="175" t="s">
        <v>734</v>
      </c>
      <c r="E54" s="176"/>
      <c r="F54" s="186"/>
      <c r="G54" s="179"/>
      <c r="H54" s="179">
        <v>1948</v>
      </c>
      <c r="I54" s="229">
        <f>+F54*H54</f>
        <v>0</v>
      </c>
      <c r="J54" s="738" t="s">
        <v>735</v>
      </c>
    </row>
    <row r="55" spans="1:10" ht="14.25">
      <c r="A55" s="734"/>
      <c r="B55" s="173">
        <v>5650</v>
      </c>
      <c r="C55" s="174">
        <v>5586</v>
      </c>
      <c r="D55" s="175" t="s">
        <v>736</v>
      </c>
      <c r="E55" s="176"/>
      <c r="F55" s="186">
        <v>2</v>
      </c>
      <c r="G55" s="179"/>
      <c r="H55" s="179">
        <v>100</v>
      </c>
      <c r="I55" s="229">
        <f>+F55*H55</f>
        <v>200</v>
      </c>
      <c r="J55" s="739"/>
    </row>
    <row r="56" spans="1:10" ht="14.25">
      <c r="A56" s="188"/>
      <c r="B56" s="188"/>
      <c r="C56" s="188"/>
      <c r="D56" s="188" t="s">
        <v>691</v>
      </c>
      <c r="E56" s="188"/>
      <c r="F56" s="203"/>
      <c r="G56" s="203"/>
      <c r="H56" s="203"/>
      <c r="I56" s="203">
        <f>SUM(I52:I55)</f>
        <v>59522.03389830509</v>
      </c>
      <c r="J56" s="216"/>
    </row>
    <row r="57" spans="1:10" ht="14.25">
      <c r="A57" s="741" t="s">
        <v>737</v>
      </c>
      <c r="B57" s="192"/>
      <c r="C57" s="192">
        <v>5023</v>
      </c>
      <c r="D57" s="156" t="s">
        <v>738</v>
      </c>
      <c r="E57" s="156"/>
      <c r="F57" s="204"/>
      <c r="G57" s="204"/>
      <c r="H57" s="204"/>
      <c r="I57" s="204"/>
      <c r="J57" s="205"/>
    </row>
    <row r="58" spans="1:10" ht="37.5">
      <c r="A58" s="742"/>
      <c r="B58" s="206"/>
      <c r="C58" s="206">
        <v>5905</v>
      </c>
      <c r="D58" s="230" t="s">
        <v>739</v>
      </c>
      <c r="E58" s="230"/>
      <c r="F58" s="219">
        <v>1</v>
      </c>
      <c r="G58" s="219" t="s">
        <v>729</v>
      </c>
      <c r="H58" s="194">
        <v>30000</v>
      </c>
      <c r="I58" s="194">
        <f>+F58*H58</f>
        <v>30000</v>
      </c>
      <c r="J58" s="199"/>
    </row>
    <row r="59" spans="1:10" ht="14.25">
      <c r="A59" s="742"/>
      <c r="B59" s="188"/>
      <c r="C59" s="188"/>
      <c r="D59" s="188" t="s">
        <v>740</v>
      </c>
      <c r="E59" s="188"/>
      <c r="F59" s="203"/>
      <c r="G59" s="203"/>
      <c r="H59" s="203"/>
      <c r="I59" s="203">
        <f>SUM(I58:I58)</f>
        <v>30000</v>
      </c>
      <c r="J59" s="191"/>
    </row>
    <row r="60" spans="1:10" ht="14.25">
      <c r="A60" s="742"/>
      <c r="B60" s="192"/>
      <c r="C60" s="192">
        <v>5027</v>
      </c>
      <c r="D60" s="231" t="s">
        <v>741</v>
      </c>
      <c r="E60" s="231"/>
      <c r="F60" s="232"/>
      <c r="G60" s="232"/>
      <c r="H60" s="232"/>
      <c r="I60" s="232"/>
      <c r="J60" s="205"/>
    </row>
    <row r="61" spans="1:10" ht="51.75">
      <c r="A61" s="742"/>
      <c r="B61" s="206"/>
      <c r="C61" s="233">
        <v>6120</v>
      </c>
      <c r="D61" s="234" t="s">
        <v>742</v>
      </c>
      <c r="E61" s="234"/>
      <c r="F61" s="213">
        <v>1</v>
      </c>
      <c r="G61" s="213" t="s">
        <v>729</v>
      </c>
      <c r="H61" s="213">
        <v>3072</v>
      </c>
      <c r="I61" s="213">
        <f>+F61*H61</f>
        <v>3072</v>
      </c>
      <c r="J61" s="202" t="s">
        <v>743</v>
      </c>
    </row>
    <row r="62" spans="1:10" ht="14.25">
      <c r="A62" s="742"/>
      <c r="B62" s="206"/>
      <c r="C62" s="233">
        <v>6120</v>
      </c>
      <c r="D62" s="234" t="s">
        <v>744</v>
      </c>
      <c r="E62" s="234"/>
      <c r="F62" s="213">
        <v>1</v>
      </c>
      <c r="G62" s="213" t="s">
        <v>729</v>
      </c>
      <c r="H62" s="213">
        <v>3333.3333333333335</v>
      </c>
      <c r="I62" s="213">
        <f>+F62*H62</f>
        <v>3333.3333333333335</v>
      </c>
      <c r="J62" s="202"/>
    </row>
    <row r="63" spans="1:10" ht="78">
      <c r="A63" s="742"/>
      <c r="B63" s="206"/>
      <c r="C63" s="233">
        <v>6116</v>
      </c>
      <c r="D63" s="234" t="s">
        <v>745</v>
      </c>
      <c r="E63" s="234"/>
      <c r="F63" s="213">
        <v>1</v>
      </c>
      <c r="G63" s="213" t="s">
        <v>729</v>
      </c>
      <c r="H63" s="186">
        <f>12500</f>
        <v>12500</v>
      </c>
      <c r="I63" s="213">
        <f>+F63*H63</f>
        <v>12500</v>
      </c>
      <c r="J63" s="202" t="s">
        <v>746</v>
      </c>
    </row>
    <row r="64" spans="1:10" ht="14.25">
      <c r="A64" s="742"/>
      <c r="B64" s="206"/>
      <c r="C64" s="233">
        <v>6111</v>
      </c>
      <c r="D64" s="234" t="s">
        <v>747</v>
      </c>
      <c r="E64" s="234"/>
      <c r="F64" s="213">
        <v>0</v>
      </c>
      <c r="G64" s="213" t="s">
        <v>668</v>
      </c>
      <c r="H64" s="213">
        <v>0</v>
      </c>
      <c r="I64" s="213">
        <f>+F64*H64</f>
        <v>0</v>
      </c>
      <c r="J64" s="184" t="s">
        <v>748</v>
      </c>
    </row>
    <row r="65" spans="1:10" ht="14.25">
      <c r="A65" s="742"/>
      <c r="B65" s="188"/>
      <c r="C65" s="235"/>
      <c r="D65" s="236" t="s">
        <v>740</v>
      </c>
      <c r="E65" s="236"/>
      <c r="F65" s="237"/>
      <c r="G65" s="237"/>
      <c r="H65" s="237"/>
      <c r="I65" s="238">
        <f>+I61+I62+I63+I64</f>
        <v>18905.333333333336</v>
      </c>
      <c r="J65" s="239"/>
    </row>
    <row r="66" spans="1:10" ht="14.25">
      <c r="A66" s="742"/>
      <c r="B66" s="192"/>
      <c r="C66" s="192">
        <v>5028</v>
      </c>
      <c r="D66" s="240" t="s">
        <v>749</v>
      </c>
      <c r="E66" s="240"/>
      <c r="F66" s="223"/>
      <c r="G66" s="223"/>
      <c r="H66" s="223"/>
      <c r="I66" s="223"/>
      <c r="J66" s="205"/>
    </row>
    <row r="67" spans="1:10" ht="14.25">
      <c r="A67" s="742"/>
      <c r="B67" s="206"/>
      <c r="C67" s="166">
        <v>6152</v>
      </c>
      <c r="D67" s="234" t="s">
        <v>750</v>
      </c>
      <c r="E67" s="234"/>
      <c r="F67" s="195">
        <v>1</v>
      </c>
      <c r="G67" s="195" t="s">
        <v>729</v>
      </c>
      <c r="H67" s="195">
        <v>1000</v>
      </c>
      <c r="I67" s="195">
        <f aca="true" t="shared" si="3" ref="I67:I74">+F67*H67</f>
        <v>1000</v>
      </c>
      <c r="J67" s="743"/>
    </row>
    <row r="68" spans="1:11" ht="14.25">
      <c r="A68" s="742"/>
      <c r="B68" s="206"/>
      <c r="C68" s="166">
        <v>6175</v>
      </c>
      <c r="D68" s="167" t="s">
        <v>751</v>
      </c>
      <c r="E68" s="167"/>
      <c r="F68" s="195">
        <v>1</v>
      </c>
      <c r="G68" s="195" t="s">
        <v>729</v>
      </c>
      <c r="H68" s="195">
        <v>7000</v>
      </c>
      <c r="I68" s="195">
        <f t="shared" si="3"/>
        <v>7000</v>
      </c>
      <c r="J68" s="743"/>
      <c r="K68" s="241"/>
    </row>
    <row r="69" spans="1:11" ht="14.25">
      <c r="A69" s="742"/>
      <c r="B69" s="206"/>
      <c r="C69" s="166">
        <v>6176</v>
      </c>
      <c r="D69" s="167" t="s">
        <v>752</v>
      </c>
      <c r="E69" s="167"/>
      <c r="F69" s="195">
        <v>1</v>
      </c>
      <c r="G69" s="195" t="s">
        <v>729</v>
      </c>
      <c r="H69" s="195">
        <v>5000</v>
      </c>
      <c r="I69" s="195">
        <f t="shared" si="3"/>
        <v>5000</v>
      </c>
      <c r="J69" s="743"/>
      <c r="K69" s="241"/>
    </row>
    <row r="70" spans="1:11" ht="14.25">
      <c r="A70" s="742"/>
      <c r="B70" s="206"/>
      <c r="C70" s="166">
        <v>6177</v>
      </c>
      <c r="D70" s="167" t="s">
        <v>753</v>
      </c>
      <c r="E70" s="167"/>
      <c r="F70" s="195">
        <v>1</v>
      </c>
      <c r="G70" s="195" t="s">
        <v>729</v>
      </c>
      <c r="H70" s="195">
        <v>2500</v>
      </c>
      <c r="I70" s="195">
        <f t="shared" si="3"/>
        <v>2500</v>
      </c>
      <c r="J70" s="743"/>
      <c r="K70" s="241"/>
    </row>
    <row r="71" spans="1:10" ht="24.75">
      <c r="A71" s="742"/>
      <c r="B71" s="206"/>
      <c r="C71" s="166">
        <v>6190</v>
      </c>
      <c r="D71" s="167" t="s">
        <v>754</v>
      </c>
      <c r="E71" s="167"/>
      <c r="F71" s="195">
        <v>1</v>
      </c>
      <c r="G71" s="195" t="s">
        <v>729</v>
      </c>
      <c r="H71" s="195">
        <v>5000</v>
      </c>
      <c r="I71" s="195">
        <f t="shared" si="3"/>
        <v>5000</v>
      </c>
      <c r="J71" s="743"/>
    </row>
    <row r="72" spans="1:10" ht="14.25">
      <c r="A72" s="742"/>
      <c r="B72" s="206"/>
      <c r="C72" s="166">
        <v>6309</v>
      </c>
      <c r="D72" s="167" t="s">
        <v>755</v>
      </c>
      <c r="E72" s="167"/>
      <c r="F72" s="195">
        <v>1</v>
      </c>
      <c r="G72" s="195" t="s">
        <v>729</v>
      </c>
      <c r="H72" s="195">
        <v>1791</v>
      </c>
      <c r="I72" s="195">
        <f t="shared" si="3"/>
        <v>1791</v>
      </c>
      <c r="J72" s="743"/>
    </row>
    <row r="73" spans="1:10" ht="25.5">
      <c r="A73" s="742"/>
      <c r="B73" s="242">
        <v>6300</v>
      </c>
      <c r="C73" s="174">
        <v>6280</v>
      </c>
      <c r="D73" s="175" t="s">
        <v>756</v>
      </c>
      <c r="E73" s="175"/>
      <c r="F73" s="186">
        <v>12</v>
      </c>
      <c r="G73" s="186" t="s">
        <v>757</v>
      </c>
      <c r="H73" s="179">
        <v>44</v>
      </c>
      <c r="I73" s="179">
        <f t="shared" si="3"/>
        <v>528</v>
      </c>
      <c r="J73" s="202" t="s">
        <v>715</v>
      </c>
    </row>
    <row r="74" spans="1:10" ht="14.25">
      <c r="A74" s="742"/>
      <c r="B74" s="242">
        <v>6300</v>
      </c>
      <c r="C74" s="174">
        <v>6216</v>
      </c>
      <c r="D74" s="175" t="s">
        <v>758</v>
      </c>
      <c r="E74" s="175"/>
      <c r="F74" s="186">
        <f>G15+G17</f>
        <v>16</v>
      </c>
      <c r="G74" s="186"/>
      <c r="H74" s="179">
        <v>135</v>
      </c>
      <c r="I74" s="179">
        <f t="shared" si="3"/>
        <v>2160</v>
      </c>
      <c r="J74" s="202" t="s">
        <v>759</v>
      </c>
    </row>
    <row r="75" spans="1:10" ht="14.25">
      <c r="A75" s="742"/>
      <c r="B75" s="188"/>
      <c r="C75" s="188"/>
      <c r="D75" s="188" t="s">
        <v>740</v>
      </c>
      <c r="E75" s="188"/>
      <c r="F75" s="243"/>
      <c r="G75" s="243"/>
      <c r="H75" s="243"/>
      <c r="I75" s="238">
        <f>SUM(I67:I74)</f>
        <v>24979</v>
      </c>
      <c r="J75" s="211"/>
    </row>
    <row r="76" spans="1:10" ht="25.5">
      <c r="A76" s="742"/>
      <c r="B76" s="192"/>
      <c r="C76" s="192">
        <v>5050</v>
      </c>
      <c r="D76" s="231" t="s">
        <v>760</v>
      </c>
      <c r="E76" s="231"/>
      <c r="F76" s="223"/>
      <c r="G76" s="223"/>
      <c r="H76" s="223"/>
      <c r="I76" s="223"/>
      <c r="J76" s="184"/>
    </row>
    <row r="77" spans="1:10" ht="14.25">
      <c r="A77" s="742"/>
      <c r="B77" s="242">
        <v>6500</v>
      </c>
      <c r="C77" s="174">
        <v>6420</v>
      </c>
      <c r="D77" s="176" t="s">
        <v>761</v>
      </c>
      <c r="E77" s="176"/>
      <c r="F77" s="186">
        <f>F74</f>
        <v>16</v>
      </c>
      <c r="G77" s="179"/>
      <c r="H77" s="179">
        <v>137</v>
      </c>
      <c r="I77" s="179">
        <f>F77+H77</f>
        <v>153</v>
      </c>
      <c r="J77" s="184" t="s">
        <v>689</v>
      </c>
    </row>
    <row r="78" spans="1:10" ht="14.25">
      <c r="A78" s="742"/>
      <c r="B78" s="242">
        <v>6500</v>
      </c>
      <c r="C78" s="174">
        <v>6421</v>
      </c>
      <c r="D78" s="176" t="s">
        <v>762</v>
      </c>
      <c r="E78" s="176"/>
      <c r="F78" s="186" t="s">
        <v>763</v>
      </c>
      <c r="G78" s="186"/>
      <c r="H78" s="186"/>
      <c r="I78" s="186">
        <v>4811</v>
      </c>
      <c r="J78" s="184" t="s">
        <v>764</v>
      </c>
    </row>
    <row r="79" spans="1:10" ht="14.25">
      <c r="A79" s="742"/>
      <c r="B79" s="188"/>
      <c r="C79" s="244"/>
      <c r="D79" s="188" t="s">
        <v>740</v>
      </c>
      <c r="E79" s="188"/>
      <c r="F79" s="243"/>
      <c r="G79" s="243"/>
      <c r="H79" s="243"/>
      <c r="I79" s="238">
        <f>SUM(I77:I78)</f>
        <v>4964</v>
      </c>
      <c r="J79" s="216"/>
    </row>
    <row r="80" spans="1:10" ht="14.25">
      <c r="A80" s="245"/>
      <c r="B80" s="245"/>
      <c r="C80" s="246" t="s">
        <v>765</v>
      </c>
      <c r="D80" s="246"/>
      <c r="E80" s="246"/>
      <c r="F80" s="247"/>
      <c r="G80" s="247"/>
      <c r="H80" s="247"/>
      <c r="I80" s="247">
        <f>SUM(I79,I75,I65,I59,I56,I50,I46,I38,I33,I18)</f>
        <v>420560.93819551443</v>
      </c>
      <c r="J80" s="248"/>
    </row>
    <row r="81" spans="1:10" ht="14.25">
      <c r="A81" s="249" t="s">
        <v>766</v>
      </c>
      <c r="B81" s="250"/>
      <c r="C81" s="250">
        <v>5029</v>
      </c>
      <c r="D81" s="231" t="s">
        <v>767</v>
      </c>
      <c r="E81" s="231"/>
      <c r="F81" s="223"/>
      <c r="G81" s="223"/>
      <c r="H81" s="223"/>
      <c r="I81" s="223">
        <f>I80*0.07</f>
        <v>29439.26567368601</v>
      </c>
      <c r="J81" s="191"/>
    </row>
    <row r="82" spans="1:10" ht="14.25">
      <c r="A82" s="251"/>
      <c r="B82" s="251"/>
      <c r="C82" s="252" t="s">
        <v>768</v>
      </c>
      <c r="D82" s="252"/>
      <c r="E82" s="252"/>
      <c r="F82" s="253"/>
      <c r="G82" s="253"/>
      <c r="H82" s="253"/>
      <c r="I82" s="253">
        <f>SUM(I80:I81)</f>
        <v>450000.2038692004</v>
      </c>
      <c r="J82" s="216"/>
    </row>
  </sheetData>
  <sheetProtection/>
  <mergeCells count="14">
    <mergeCell ref="A47:A49"/>
    <mergeCell ref="J48:J49"/>
    <mergeCell ref="A51:A55"/>
    <mergeCell ref="J54:J55"/>
    <mergeCell ref="A57:A79"/>
    <mergeCell ref="J67:J72"/>
    <mergeCell ref="A39:A45"/>
    <mergeCell ref="A1:J2"/>
    <mergeCell ref="A4:A17"/>
    <mergeCell ref="J4:J7"/>
    <mergeCell ref="A19:A32"/>
    <mergeCell ref="J19:J25"/>
    <mergeCell ref="A34:A37"/>
    <mergeCell ref="J36:J3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8.8515625" defaultRowHeight="15"/>
  <sheetData>
    <row r="1" spans="1:2" ht="14.25">
      <c r="A1" s="74" t="s">
        <v>24</v>
      </c>
      <c r="B1" s="75" t="s">
        <v>25</v>
      </c>
    </row>
    <row r="2" spans="1:2" ht="14.25">
      <c r="A2" s="76" t="s">
        <v>26</v>
      </c>
      <c r="B2" s="77" t="s">
        <v>27</v>
      </c>
    </row>
    <row r="3" spans="1:2" ht="14.25">
      <c r="A3" s="76" t="s">
        <v>28</v>
      </c>
      <c r="B3" s="77" t="s">
        <v>29</v>
      </c>
    </row>
    <row r="4" spans="1:2" ht="14.25">
      <c r="A4" s="76" t="s">
        <v>30</v>
      </c>
      <c r="B4" s="77" t="s">
        <v>31</v>
      </c>
    </row>
    <row r="5" spans="1:2" ht="14.25">
      <c r="A5" s="76" t="s">
        <v>32</v>
      </c>
      <c r="B5" s="77" t="s">
        <v>33</v>
      </c>
    </row>
    <row r="6" spans="1:2" ht="14.25">
      <c r="A6" s="76" t="s">
        <v>34</v>
      </c>
      <c r="B6" s="77" t="s">
        <v>35</v>
      </c>
    </row>
    <row r="7" spans="1:2" ht="14.25">
      <c r="A7" s="76" t="s">
        <v>36</v>
      </c>
      <c r="B7" s="77" t="s">
        <v>37</v>
      </c>
    </row>
    <row r="8" spans="1:2" ht="14.25">
      <c r="A8" s="76" t="s">
        <v>38</v>
      </c>
      <c r="B8" s="77" t="s">
        <v>39</v>
      </c>
    </row>
    <row r="9" spans="1:2" ht="14.25">
      <c r="A9" s="76" t="s">
        <v>40</v>
      </c>
      <c r="B9" s="77" t="s">
        <v>41</v>
      </c>
    </row>
    <row r="10" spans="1:2" ht="14.25">
      <c r="A10" s="76" t="s">
        <v>42</v>
      </c>
      <c r="B10" s="77" t="s">
        <v>43</v>
      </c>
    </row>
    <row r="11" spans="1:2" ht="14.25">
      <c r="A11" s="76" t="s">
        <v>44</v>
      </c>
      <c r="B11" s="77" t="s">
        <v>45</v>
      </c>
    </row>
    <row r="12" spans="1:2" ht="14.25">
      <c r="A12" s="76" t="s">
        <v>46</v>
      </c>
      <c r="B12" s="77" t="s">
        <v>47</v>
      </c>
    </row>
    <row r="13" spans="1:2" ht="14.25">
      <c r="A13" s="76" t="s">
        <v>48</v>
      </c>
      <c r="B13" s="77" t="s">
        <v>49</v>
      </c>
    </row>
    <row r="14" spans="1:2" ht="14.25">
      <c r="A14" s="76" t="s">
        <v>50</v>
      </c>
      <c r="B14" s="77" t="s">
        <v>51</v>
      </c>
    </row>
    <row r="15" spans="1:2" ht="14.25">
      <c r="A15" s="76" t="s">
        <v>52</v>
      </c>
      <c r="B15" s="77" t="s">
        <v>53</v>
      </c>
    </row>
    <row r="16" spans="1:2" ht="14.25">
      <c r="A16" s="76" t="s">
        <v>54</v>
      </c>
      <c r="B16" s="77" t="s">
        <v>55</v>
      </c>
    </row>
    <row r="17" spans="1:2" ht="14.25">
      <c r="A17" s="76" t="s">
        <v>56</v>
      </c>
      <c r="B17" s="77" t="s">
        <v>57</v>
      </c>
    </row>
    <row r="18" spans="1:2" ht="14.25">
      <c r="A18" s="76" t="s">
        <v>58</v>
      </c>
      <c r="B18" s="77" t="s">
        <v>59</v>
      </c>
    </row>
    <row r="19" spans="1:2" ht="14.25">
      <c r="A19" s="76" t="s">
        <v>60</v>
      </c>
      <c r="B19" s="77" t="s">
        <v>61</v>
      </c>
    </row>
    <row r="20" spans="1:2" ht="14.25">
      <c r="A20" s="76" t="s">
        <v>62</v>
      </c>
      <c r="B20" s="77" t="s">
        <v>63</v>
      </c>
    </row>
    <row r="21" spans="1:2" ht="14.25">
      <c r="A21" s="76" t="s">
        <v>64</v>
      </c>
      <c r="B21" s="77" t="s">
        <v>65</v>
      </c>
    </row>
    <row r="22" spans="1:2" ht="14.25">
      <c r="A22" s="76" t="s">
        <v>66</v>
      </c>
      <c r="B22" s="77" t="s">
        <v>67</v>
      </c>
    </row>
    <row r="23" spans="1:2" ht="14.25">
      <c r="A23" s="76" t="s">
        <v>68</v>
      </c>
      <c r="B23" s="77" t="s">
        <v>69</v>
      </c>
    </row>
    <row r="24" spans="1:2" ht="14.25">
      <c r="A24" s="76" t="s">
        <v>70</v>
      </c>
      <c r="B24" s="77" t="s">
        <v>71</v>
      </c>
    </row>
    <row r="25" spans="1:2" ht="14.25">
      <c r="A25" s="76" t="s">
        <v>72</v>
      </c>
      <c r="B25" s="77" t="s">
        <v>73</v>
      </c>
    </row>
    <row r="26" spans="1:2" ht="14.25">
      <c r="A26" s="76" t="s">
        <v>74</v>
      </c>
      <c r="B26" s="77" t="s">
        <v>75</v>
      </c>
    </row>
    <row r="27" spans="1:2" ht="14.25">
      <c r="A27" s="76" t="s">
        <v>76</v>
      </c>
      <c r="B27" s="77" t="s">
        <v>77</v>
      </c>
    </row>
    <row r="28" spans="1:2" ht="14.25">
      <c r="A28" s="76" t="s">
        <v>78</v>
      </c>
      <c r="B28" s="77" t="s">
        <v>79</v>
      </c>
    </row>
    <row r="29" spans="1:2" ht="14.25">
      <c r="A29" s="76" t="s">
        <v>80</v>
      </c>
      <c r="B29" s="77" t="s">
        <v>81</v>
      </c>
    </row>
    <row r="30" spans="1:2" ht="14.25">
      <c r="A30" s="76" t="s">
        <v>82</v>
      </c>
      <c r="B30" s="77" t="s">
        <v>83</v>
      </c>
    </row>
    <row r="31" spans="1:2" ht="14.25">
      <c r="A31" s="76" t="s">
        <v>84</v>
      </c>
      <c r="B31" s="77" t="s">
        <v>85</v>
      </c>
    </row>
    <row r="32" spans="1:2" ht="14.25">
      <c r="A32" s="76" t="s">
        <v>86</v>
      </c>
      <c r="B32" s="77" t="s">
        <v>87</v>
      </c>
    </row>
    <row r="33" spans="1:2" ht="14.25">
      <c r="A33" s="76" t="s">
        <v>88</v>
      </c>
      <c r="B33" s="77" t="s">
        <v>89</v>
      </c>
    </row>
    <row r="34" spans="1:2" ht="14.25">
      <c r="A34" s="76" t="s">
        <v>90</v>
      </c>
      <c r="B34" s="77" t="s">
        <v>91</v>
      </c>
    </row>
    <row r="35" spans="1:2" ht="14.25">
      <c r="A35" s="76" t="s">
        <v>92</v>
      </c>
      <c r="B35" s="77" t="s">
        <v>93</v>
      </c>
    </row>
    <row r="36" spans="1:2" ht="14.25">
      <c r="A36" s="76" t="s">
        <v>94</v>
      </c>
      <c r="B36" s="77" t="s">
        <v>95</v>
      </c>
    </row>
    <row r="37" spans="1:2" ht="14.25">
      <c r="A37" s="76" t="s">
        <v>96</v>
      </c>
      <c r="B37" s="77" t="s">
        <v>97</v>
      </c>
    </row>
    <row r="38" spans="1:2" ht="14.25">
      <c r="A38" s="76" t="s">
        <v>98</v>
      </c>
      <c r="B38" s="77" t="s">
        <v>99</v>
      </c>
    </row>
    <row r="39" spans="1:2" ht="14.25">
      <c r="A39" s="76" t="s">
        <v>100</v>
      </c>
      <c r="B39" s="77" t="s">
        <v>101</v>
      </c>
    </row>
    <row r="40" spans="1:2" ht="14.25">
      <c r="A40" s="76" t="s">
        <v>102</v>
      </c>
      <c r="B40" s="77" t="s">
        <v>103</v>
      </c>
    </row>
    <row r="41" spans="1:2" ht="14.25">
      <c r="A41" s="76" t="s">
        <v>104</v>
      </c>
      <c r="B41" s="77" t="s">
        <v>105</v>
      </c>
    </row>
    <row r="42" spans="1:2" ht="14.25">
      <c r="A42" s="76" t="s">
        <v>106</v>
      </c>
      <c r="B42" s="77" t="s">
        <v>107</v>
      </c>
    </row>
    <row r="43" spans="1:2" ht="14.25">
      <c r="A43" s="76" t="s">
        <v>108</v>
      </c>
      <c r="B43" s="77" t="s">
        <v>109</v>
      </c>
    </row>
    <row r="44" spans="1:2" ht="14.25">
      <c r="A44" s="76" t="s">
        <v>110</v>
      </c>
      <c r="B44" s="77" t="s">
        <v>111</v>
      </c>
    </row>
    <row r="45" spans="1:2" ht="14.25">
      <c r="A45" s="76" t="s">
        <v>112</v>
      </c>
      <c r="B45" s="77" t="s">
        <v>113</v>
      </c>
    </row>
    <row r="46" spans="1:2" ht="14.25">
      <c r="A46" s="76" t="s">
        <v>114</v>
      </c>
      <c r="B46" s="77" t="s">
        <v>115</v>
      </c>
    </row>
    <row r="47" spans="1:2" ht="14.25">
      <c r="A47" s="76" t="s">
        <v>116</v>
      </c>
      <c r="B47" s="77" t="s">
        <v>117</v>
      </c>
    </row>
    <row r="48" spans="1:2" ht="14.25">
      <c r="A48" s="76" t="s">
        <v>118</v>
      </c>
      <c r="B48" s="77" t="s">
        <v>119</v>
      </c>
    </row>
    <row r="49" spans="1:2" ht="14.25">
      <c r="A49" s="76" t="s">
        <v>120</v>
      </c>
      <c r="B49" s="77" t="s">
        <v>121</v>
      </c>
    </row>
    <row r="50" spans="1:2" ht="14.25">
      <c r="A50" s="76" t="s">
        <v>122</v>
      </c>
      <c r="B50" s="77" t="s">
        <v>123</v>
      </c>
    </row>
    <row r="51" spans="1:2" ht="14.25">
      <c r="A51" s="76" t="s">
        <v>124</v>
      </c>
      <c r="B51" s="77" t="s">
        <v>125</v>
      </c>
    </row>
    <row r="52" spans="1:2" ht="14.25">
      <c r="A52" s="76" t="s">
        <v>126</v>
      </c>
      <c r="B52" s="77" t="s">
        <v>127</v>
      </c>
    </row>
    <row r="53" spans="1:2" ht="14.25">
      <c r="A53" s="76" t="s">
        <v>128</v>
      </c>
      <c r="B53" s="77" t="s">
        <v>129</v>
      </c>
    </row>
    <row r="54" spans="1:2" ht="14.25">
      <c r="A54" s="76" t="s">
        <v>130</v>
      </c>
      <c r="B54" s="77" t="s">
        <v>131</v>
      </c>
    </row>
    <row r="55" spans="1:2" ht="14.25">
      <c r="A55" s="76" t="s">
        <v>132</v>
      </c>
      <c r="B55" s="77" t="s">
        <v>133</v>
      </c>
    </row>
    <row r="56" spans="1:2" ht="14.25">
      <c r="A56" s="76" t="s">
        <v>134</v>
      </c>
      <c r="B56" s="77" t="s">
        <v>135</v>
      </c>
    </row>
    <row r="57" spans="1:2" ht="14.25">
      <c r="A57" s="76" t="s">
        <v>136</v>
      </c>
      <c r="B57" s="77" t="s">
        <v>137</v>
      </c>
    </row>
    <row r="58" spans="1:2" ht="14.25">
      <c r="A58" s="76" t="s">
        <v>138</v>
      </c>
      <c r="B58" s="77" t="s">
        <v>139</v>
      </c>
    </row>
    <row r="59" spans="1:2" ht="14.25">
      <c r="A59" s="76" t="s">
        <v>140</v>
      </c>
      <c r="B59" s="77" t="s">
        <v>141</v>
      </c>
    </row>
    <row r="60" spans="1:2" ht="14.25">
      <c r="A60" s="76" t="s">
        <v>142</v>
      </c>
      <c r="B60" s="77" t="s">
        <v>143</v>
      </c>
    </row>
    <row r="61" spans="1:2" ht="14.25">
      <c r="A61" s="76" t="s">
        <v>144</v>
      </c>
      <c r="B61" s="77" t="s">
        <v>145</v>
      </c>
    </row>
    <row r="62" spans="1:2" ht="14.25">
      <c r="A62" s="76" t="s">
        <v>146</v>
      </c>
      <c r="B62" s="77" t="s">
        <v>147</v>
      </c>
    </row>
    <row r="63" spans="1:2" ht="14.25">
      <c r="A63" s="76" t="s">
        <v>148</v>
      </c>
      <c r="B63" s="77" t="s">
        <v>149</v>
      </c>
    </row>
    <row r="64" spans="1:2" ht="14.25">
      <c r="A64" s="76" t="s">
        <v>150</v>
      </c>
      <c r="B64" s="77" t="s">
        <v>151</v>
      </c>
    </row>
    <row r="65" spans="1:2" ht="14.25">
      <c r="A65" s="76" t="s">
        <v>152</v>
      </c>
      <c r="B65" s="77" t="s">
        <v>153</v>
      </c>
    </row>
    <row r="66" spans="1:2" ht="14.25">
      <c r="A66" s="76" t="s">
        <v>154</v>
      </c>
      <c r="B66" s="77" t="s">
        <v>155</v>
      </c>
    </row>
    <row r="67" spans="1:2" ht="14.25">
      <c r="A67" s="76" t="s">
        <v>156</v>
      </c>
      <c r="B67" s="77" t="s">
        <v>157</v>
      </c>
    </row>
    <row r="68" spans="1:2" ht="14.25">
      <c r="A68" s="76" t="s">
        <v>158</v>
      </c>
      <c r="B68" s="77" t="s">
        <v>159</v>
      </c>
    </row>
    <row r="69" spans="1:2" ht="14.25">
      <c r="A69" s="76" t="s">
        <v>160</v>
      </c>
      <c r="B69" s="77" t="s">
        <v>161</v>
      </c>
    </row>
    <row r="70" spans="1:2" ht="14.25">
      <c r="A70" s="76" t="s">
        <v>162</v>
      </c>
      <c r="B70" s="77" t="s">
        <v>163</v>
      </c>
    </row>
    <row r="71" spans="1:2" ht="14.25">
      <c r="A71" s="76" t="s">
        <v>164</v>
      </c>
      <c r="B71" s="77" t="s">
        <v>165</v>
      </c>
    </row>
    <row r="72" spans="1:2" ht="14.25">
      <c r="A72" s="76" t="s">
        <v>166</v>
      </c>
      <c r="B72" s="77" t="s">
        <v>167</v>
      </c>
    </row>
    <row r="73" spans="1:2" ht="14.25">
      <c r="A73" s="76" t="s">
        <v>168</v>
      </c>
      <c r="B73" s="77" t="s">
        <v>169</v>
      </c>
    </row>
    <row r="74" spans="1:2" ht="14.25">
      <c r="A74" s="76" t="s">
        <v>170</v>
      </c>
      <c r="B74" s="77" t="s">
        <v>171</v>
      </c>
    </row>
    <row r="75" spans="1:2" ht="14.25">
      <c r="A75" s="76" t="s">
        <v>172</v>
      </c>
      <c r="B75" s="78" t="s">
        <v>173</v>
      </c>
    </row>
    <row r="76" spans="1:2" ht="14.25">
      <c r="A76" s="76" t="s">
        <v>174</v>
      </c>
      <c r="B76" s="78" t="s">
        <v>175</v>
      </c>
    </row>
    <row r="77" spans="1:2" ht="14.25">
      <c r="A77" s="76" t="s">
        <v>176</v>
      </c>
      <c r="B77" s="78" t="s">
        <v>177</v>
      </c>
    </row>
    <row r="78" spans="1:2" ht="14.25">
      <c r="A78" s="76" t="s">
        <v>178</v>
      </c>
      <c r="B78" s="78" t="s">
        <v>179</v>
      </c>
    </row>
    <row r="79" spans="1:2" ht="14.25">
      <c r="A79" s="76" t="s">
        <v>180</v>
      </c>
      <c r="B79" s="78" t="s">
        <v>181</v>
      </c>
    </row>
    <row r="80" spans="1:2" ht="14.25">
      <c r="A80" s="76" t="s">
        <v>182</v>
      </c>
      <c r="B80" s="78" t="s">
        <v>183</v>
      </c>
    </row>
    <row r="81" spans="1:2" ht="14.25">
      <c r="A81" s="76" t="s">
        <v>184</v>
      </c>
      <c r="B81" s="78" t="s">
        <v>185</v>
      </c>
    </row>
    <row r="82" spans="1:2" ht="14.25">
      <c r="A82" s="76" t="s">
        <v>186</v>
      </c>
      <c r="B82" s="78" t="s">
        <v>187</v>
      </c>
    </row>
    <row r="83" spans="1:2" ht="14.25">
      <c r="A83" s="76" t="s">
        <v>188</v>
      </c>
      <c r="B83" s="78" t="s">
        <v>189</v>
      </c>
    </row>
    <row r="84" spans="1:2" ht="14.25">
      <c r="A84" s="76" t="s">
        <v>190</v>
      </c>
      <c r="B84" s="78" t="s">
        <v>191</v>
      </c>
    </row>
    <row r="85" spans="1:2" ht="14.25">
      <c r="A85" s="76" t="s">
        <v>192</v>
      </c>
      <c r="B85" s="78" t="s">
        <v>193</v>
      </c>
    </row>
    <row r="86" spans="1:2" ht="14.25">
      <c r="A86" s="76" t="s">
        <v>194</v>
      </c>
      <c r="B86" s="78" t="s">
        <v>195</v>
      </c>
    </row>
    <row r="87" spans="1:2" ht="14.25">
      <c r="A87" s="76" t="s">
        <v>196</v>
      </c>
      <c r="B87" s="78" t="s">
        <v>197</v>
      </c>
    </row>
    <row r="88" spans="1:2" ht="14.25">
      <c r="A88" s="76" t="s">
        <v>198</v>
      </c>
      <c r="B88" s="78" t="s">
        <v>199</v>
      </c>
    </row>
    <row r="89" spans="1:2" ht="14.25">
      <c r="A89" s="76" t="s">
        <v>200</v>
      </c>
      <c r="B89" s="78" t="s">
        <v>201</v>
      </c>
    </row>
    <row r="90" spans="1:2" ht="14.25">
      <c r="A90" s="76" t="s">
        <v>202</v>
      </c>
      <c r="B90" s="78" t="s">
        <v>203</v>
      </c>
    </row>
    <row r="91" spans="1:2" ht="14.25">
      <c r="A91" s="76" t="s">
        <v>204</v>
      </c>
      <c r="B91" s="78" t="s">
        <v>205</v>
      </c>
    </row>
    <row r="92" spans="1:2" ht="14.25">
      <c r="A92" s="76" t="s">
        <v>206</v>
      </c>
      <c r="B92" s="78" t="s">
        <v>207</v>
      </c>
    </row>
    <row r="93" spans="1:2" ht="14.25">
      <c r="A93" s="76" t="s">
        <v>208</v>
      </c>
      <c r="B93" s="78" t="s">
        <v>209</v>
      </c>
    </row>
    <row r="94" spans="1:2" ht="14.25">
      <c r="A94" s="76" t="s">
        <v>210</v>
      </c>
      <c r="B94" s="78" t="s">
        <v>211</v>
      </c>
    </row>
    <row r="95" spans="1:2" ht="14.25">
      <c r="A95" s="76" t="s">
        <v>212</v>
      </c>
      <c r="B95" s="78" t="s">
        <v>213</v>
      </c>
    </row>
    <row r="96" spans="1:2" ht="14.25">
      <c r="A96" s="76" t="s">
        <v>214</v>
      </c>
      <c r="B96" s="78" t="s">
        <v>215</v>
      </c>
    </row>
    <row r="97" spans="1:2" ht="14.25">
      <c r="A97" s="76" t="s">
        <v>216</v>
      </c>
      <c r="B97" s="78" t="s">
        <v>217</v>
      </c>
    </row>
    <row r="98" spans="1:2" ht="14.25">
      <c r="A98" s="76" t="s">
        <v>218</v>
      </c>
      <c r="B98" s="78" t="s">
        <v>219</v>
      </c>
    </row>
    <row r="99" spans="1:2" ht="14.25">
      <c r="A99" s="76" t="s">
        <v>220</v>
      </c>
      <c r="B99" s="78" t="s">
        <v>221</v>
      </c>
    </row>
    <row r="100" spans="1:2" ht="14.25">
      <c r="A100" s="76" t="s">
        <v>222</v>
      </c>
      <c r="B100" s="78" t="s">
        <v>223</v>
      </c>
    </row>
    <row r="101" spans="1:2" ht="14.25">
      <c r="A101" s="76" t="s">
        <v>224</v>
      </c>
      <c r="B101" s="78" t="s">
        <v>225</v>
      </c>
    </row>
    <row r="102" spans="1:2" ht="14.25">
      <c r="A102" s="76" t="s">
        <v>226</v>
      </c>
      <c r="B102" s="78" t="s">
        <v>227</v>
      </c>
    </row>
    <row r="103" spans="1:2" ht="14.25">
      <c r="A103" s="76" t="s">
        <v>228</v>
      </c>
      <c r="B103" s="78" t="s">
        <v>229</v>
      </c>
    </row>
    <row r="104" spans="1:2" ht="14.25">
      <c r="A104" s="76" t="s">
        <v>230</v>
      </c>
      <c r="B104" s="78" t="s">
        <v>231</v>
      </c>
    </row>
    <row r="105" spans="1:2" ht="14.25">
      <c r="A105" s="76" t="s">
        <v>232</v>
      </c>
      <c r="B105" s="78" t="s">
        <v>233</v>
      </c>
    </row>
    <row r="106" spans="1:2" ht="14.25">
      <c r="A106" s="76" t="s">
        <v>234</v>
      </c>
      <c r="B106" s="78" t="s">
        <v>235</v>
      </c>
    </row>
    <row r="107" spans="1:2" ht="14.25">
      <c r="A107" s="76" t="s">
        <v>236</v>
      </c>
      <c r="B107" s="78" t="s">
        <v>237</v>
      </c>
    </row>
    <row r="108" spans="1:2" ht="14.25">
      <c r="A108" s="76" t="s">
        <v>238</v>
      </c>
      <c r="B108" s="78" t="s">
        <v>239</v>
      </c>
    </row>
    <row r="109" spans="1:2" ht="14.25">
      <c r="A109" s="76" t="s">
        <v>240</v>
      </c>
      <c r="B109" s="78" t="s">
        <v>241</v>
      </c>
    </row>
    <row r="110" spans="1:2" ht="14.25">
      <c r="A110" s="76" t="s">
        <v>242</v>
      </c>
      <c r="B110" s="78" t="s">
        <v>243</v>
      </c>
    </row>
    <row r="111" spans="1:2" ht="14.25">
      <c r="A111" s="76" t="s">
        <v>244</v>
      </c>
      <c r="B111" s="78" t="s">
        <v>245</v>
      </c>
    </row>
    <row r="112" spans="1:2" ht="14.25">
      <c r="A112" s="76" t="s">
        <v>246</v>
      </c>
      <c r="B112" s="78" t="s">
        <v>247</v>
      </c>
    </row>
    <row r="113" spans="1:2" ht="14.25">
      <c r="A113" s="76" t="s">
        <v>248</v>
      </c>
      <c r="B113" s="78" t="s">
        <v>249</v>
      </c>
    </row>
    <row r="114" spans="1:2" ht="14.25">
      <c r="A114" s="76" t="s">
        <v>250</v>
      </c>
      <c r="B114" s="78" t="s">
        <v>251</v>
      </c>
    </row>
    <row r="115" spans="1:2" ht="14.25">
      <c r="A115" s="76" t="s">
        <v>252</v>
      </c>
      <c r="B115" s="78" t="s">
        <v>253</v>
      </c>
    </row>
    <row r="116" spans="1:2" ht="14.25">
      <c r="A116" s="76" t="s">
        <v>254</v>
      </c>
      <c r="B116" s="78" t="s">
        <v>255</v>
      </c>
    </row>
    <row r="117" spans="1:2" ht="14.25">
      <c r="A117" s="76" t="s">
        <v>256</v>
      </c>
      <c r="B117" s="78" t="s">
        <v>257</v>
      </c>
    </row>
    <row r="118" spans="1:2" ht="14.25">
      <c r="A118" s="76" t="s">
        <v>258</v>
      </c>
      <c r="B118" s="78" t="s">
        <v>259</v>
      </c>
    </row>
    <row r="119" spans="1:2" ht="14.25">
      <c r="A119" s="76" t="s">
        <v>260</v>
      </c>
      <c r="B119" s="78" t="s">
        <v>261</v>
      </c>
    </row>
    <row r="120" spans="1:2" ht="14.25">
      <c r="A120" s="76" t="s">
        <v>262</v>
      </c>
      <c r="B120" s="78" t="s">
        <v>263</v>
      </c>
    </row>
    <row r="121" spans="1:2" ht="14.25">
      <c r="A121" s="76" t="s">
        <v>264</v>
      </c>
      <c r="B121" s="78" t="s">
        <v>265</v>
      </c>
    </row>
    <row r="122" spans="1:2" ht="14.25">
      <c r="A122" s="76" t="s">
        <v>266</v>
      </c>
      <c r="B122" s="78" t="s">
        <v>267</v>
      </c>
    </row>
    <row r="123" spans="1:2" ht="14.25">
      <c r="A123" s="76" t="s">
        <v>268</v>
      </c>
      <c r="B123" s="78" t="s">
        <v>269</v>
      </c>
    </row>
    <row r="124" spans="1:2" ht="14.25">
      <c r="A124" s="76" t="s">
        <v>270</v>
      </c>
      <c r="B124" s="78" t="s">
        <v>271</v>
      </c>
    </row>
    <row r="125" spans="1:2" ht="14.25">
      <c r="A125" s="76" t="s">
        <v>272</v>
      </c>
      <c r="B125" s="78" t="s">
        <v>273</v>
      </c>
    </row>
    <row r="126" spans="1:2" ht="14.25">
      <c r="A126" s="76" t="s">
        <v>274</v>
      </c>
      <c r="B126" s="78" t="s">
        <v>275</v>
      </c>
    </row>
    <row r="127" spans="1:2" ht="14.25">
      <c r="A127" s="76" t="s">
        <v>276</v>
      </c>
      <c r="B127" s="78" t="s">
        <v>277</v>
      </c>
    </row>
    <row r="128" spans="1:2" ht="14.25">
      <c r="A128" s="76" t="s">
        <v>278</v>
      </c>
      <c r="B128" s="78" t="s">
        <v>279</v>
      </c>
    </row>
    <row r="129" spans="1:2" ht="14.25">
      <c r="A129" s="76" t="s">
        <v>280</v>
      </c>
      <c r="B129" s="78" t="s">
        <v>281</v>
      </c>
    </row>
    <row r="130" spans="1:2" ht="14.25">
      <c r="A130" s="76" t="s">
        <v>282</v>
      </c>
      <c r="B130" s="78" t="s">
        <v>283</v>
      </c>
    </row>
    <row r="131" spans="1:2" ht="14.25">
      <c r="A131" s="76" t="s">
        <v>284</v>
      </c>
      <c r="B131" s="78" t="s">
        <v>285</v>
      </c>
    </row>
    <row r="132" spans="1:2" ht="14.25">
      <c r="A132" s="76" t="s">
        <v>286</v>
      </c>
      <c r="B132" s="78" t="s">
        <v>287</v>
      </c>
    </row>
    <row r="133" spans="1:2" ht="14.25">
      <c r="A133" s="76" t="s">
        <v>288</v>
      </c>
      <c r="B133" s="78" t="s">
        <v>289</v>
      </c>
    </row>
    <row r="134" spans="1:2" ht="14.25">
      <c r="A134" s="76" t="s">
        <v>290</v>
      </c>
      <c r="B134" s="78" t="s">
        <v>291</v>
      </c>
    </row>
    <row r="135" spans="1:2" ht="14.25">
      <c r="A135" s="76" t="s">
        <v>292</v>
      </c>
      <c r="B135" s="78" t="s">
        <v>293</v>
      </c>
    </row>
    <row r="136" spans="1:2" ht="14.25">
      <c r="A136" s="76" t="s">
        <v>294</v>
      </c>
      <c r="B136" s="78" t="s">
        <v>295</v>
      </c>
    </row>
    <row r="137" spans="1:2" ht="14.25">
      <c r="A137" s="76" t="s">
        <v>296</v>
      </c>
      <c r="B137" s="78" t="s">
        <v>297</v>
      </c>
    </row>
    <row r="138" spans="1:2" ht="14.25">
      <c r="A138" s="76" t="s">
        <v>298</v>
      </c>
      <c r="B138" s="78" t="s">
        <v>299</v>
      </c>
    </row>
    <row r="139" spans="1:2" ht="14.25">
      <c r="A139" s="76" t="s">
        <v>300</v>
      </c>
      <c r="B139" s="78" t="s">
        <v>301</v>
      </c>
    </row>
    <row r="140" spans="1:2" ht="14.25">
      <c r="A140" s="76" t="s">
        <v>302</v>
      </c>
      <c r="B140" s="78" t="s">
        <v>303</v>
      </c>
    </row>
    <row r="141" spans="1:2" ht="14.25">
      <c r="A141" s="76" t="s">
        <v>304</v>
      </c>
      <c r="B141" s="78" t="s">
        <v>305</v>
      </c>
    </row>
    <row r="142" spans="1:2" ht="14.25">
      <c r="A142" s="76" t="s">
        <v>306</v>
      </c>
      <c r="B142" s="78" t="s">
        <v>307</v>
      </c>
    </row>
    <row r="143" spans="1:2" ht="14.25">
      <c r="A143" s="76" t="s">
        <v>308</v>
      </c>
      <c r="B143" s="78" t="s">
        <v>309</v>
      </c>
    </row>
    <row r="144" spans="1:2" ht="14.25">
      <c r="A144" s="76" t="s">
        <v>310</v>
      </c>
      <c r="B144" s="78" t="s">
        <v>311</v>
      </c>
    </row>
    <row r="145" spans="1:2" ht="14.25">
      <c r="A145" s="76" t="s">
        <v>312</v>
      </c>
      <c r="B145" s="78" t="s">
        <v>313</v>
      </c>
    </row>
    <row r="146" spans="1:2" ht="14.25">
      <c r="A146" s="76" t="s">
        <v>314</v>
      </c>
      <c r="B146" s="78" t="s">
        <v>315</v>
      </c>
    </row>
    <row r="147" spans="1:2" ht="14.25">
      <c r="A147" s="76" t="s">
        <v>316</v>
      </c>
      <c r="B147" s="78" t="s">
        <v>317</v>
      </c>
    </row>
    <row r="148" spans="1:2" ht="14.25">
      <c r="A148" s="76" t="s">
        <v>318</v>
      </c>
      <c r="B148" s="78" t="s">
        <v>319</v>
      </c>
    </row>
    <row r="149" spans="1:2" ht="14.25">
      <c r="A149" s="76" t="s">
        <v>320</v>
      </c>
      <c r="B149" s="78" t="s">
        <v>321</v>
      </c>
    </row>
    <row r="150" spans="1:2" ht="14.25">
      <c r="A150" s="76" t="s">
        <v>322</v>
      </c>
      <c r="B150" s="78" t="s">
        <v>323</v>
      </c>
    </row>
    <row r="151" spans="1:2" ht="14.25">
      <c r="A151" s="76" t="s">
        <v>324</v>
      </c>
      <c r="B151" s="78" t="s">
        <v>325</v>
      </c>
    </row>
    <row r="152" spans="1:2" ht="14.25">
      <c r="A152" s="76" t="s">
        <v>326</v>
      </c>
      <c r="B152" s="78" t="s">
        <v>327</v>
      </c>
    </row>
    <row r="153" spans="1:2" ht="14.25">
      <c r="A153" s="76" t="s">
        <v>328</v>
      </c>
      <c r="B153" s="78" t="s">
        <v>329</v>
      </c>
    </row>
    <row r="154" spans="1:2" ht="14.25">
      <c r="A154" s="76" t="s">
        <v>330</v>
      </c>
      <c r="B154" s="78" t="s">
        <v>331</v>
      </c>
    </row>
    <row r="155" spans="1:2" ht="14.25">
      <c r="A155" s="76" t="s">
        <v>332</v>
      </c>
      <c r="B155" s="78" t="s">
        <v>333</v>
      </c>
    </row>
    <row r="156" spans="1:2" ht="14.25">
      <c r="A156" s="76" t="s">
        <v>334</v>
      </c>
      <c r="B156" s="78" t="s">
        <v>335</v>
      </c>
    </row>
    <row r="157" spans="1:2" ht="14.25">
      <c r="A157" s="76" t="s">
        <v>336</v>
      </c>
      <c r="B157" s="78" t="s">
        <v>337</v>
      </c>
    </row>
    <row r="158" spans="1:2" ht="14.25">
      <c r="A158" s="76" t="s">
        <v>338</v>
      </c>
      <c r="B158" s="78" t="s">
        <v>339</v>
      </c>
    </row>
    <row r="159" spans="1:2" ht="14.25">
      <c r="A159" s="76" t="s">
        <v>340</v>
      </c>
      <c r="B159" s="78" t="s">
        <v>341</v>
      </c>
    </row>
    <row r="160" spans="1:2" ht="14.25">
      <c r="A160" s="76" t="s">
        <v>342</v>
      </c>
      <c r="B160" s="78" t="s">
        <v>343</v>
      </c>
    </row>
    <row r="161" spans="1:2" ht="14.25">
      <c r="A161" s="76" t="s">
        <v>344</v>
      </c>
      <c r="B161" s="78" t="s">
        <v>345</v>
      </c>
    </row>
    <row r="162" spans="1:2" ht="14.25">
      <c r="A162" s="76" t="s">
        <v>346</v>
      </c>
      <c r="B162" s="78" t="s">
        <v>347</v>
      </c>
    </row>
    <row r="163" spans="1:2" ht="14.25">
      <c r="A163" s="76" t="s">
        <v>348</v>
      </c>
      <c r="B163" s="78" t="s">
        <v>349</v>
      </c>
    </row>
    <row r="164" spans="1:2" ht="14.25">
      <c r="A164" s="76" t="s">
        <v>350</v>
      </c>
      <c r="B164" s="78" t="s">
        <v>351</v>
      </c>
    </row>
    <row r="165" spans="1:2" ht="14.25">
      <c r="A165" s="76" t="s">
        <v>352</v>
      </c>
      <c r="B165" s="78" t="s">
        <v>353</v>
      </c>
    </row>
    <row r="166" spans="1:2" ht="14.25">
      <c r="A166" s="76" t="s">
        <v>354</v>
      </c>
      <c r="B166" s="78" t="s">
        <v>355</v>
      </c>
    </row>
    <row r="167" spans="1:2" ht="14.25">
      <c r="A167" s="76" t="s">
        <v>356</v>
      </c>
      <c r="B167" s="78" t="s">
        <v>357</v>
      </c>
    </row>
    <row r="168" spans="1:2" ht="14.25">
      <c r="A168" s="76" t="s">
        <v>358</v>
      </c>
      <c r="B168" s="78" t="s">
        <v>359</v>
      </c>
    </row>
    <row r="169" spans="1:2" ht="14.25">
      <c r="A169" s="76" t="s">
        <v>360</v>
      </c>
      <c r="B169" s="78" t="s">
        <v>361</v>
      </c>
    </row>
    <row r="170" spans="1:2" ht="14.25">
      <c r="A170" s="76" t="s">
        <v>362</v>
      </c>
      <c r="B170" s="78" t="s">
        <v>363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I57"/>
  <sheetViews>
    <sheetView zoomScalePageLayoutView="0" workbookViewId="0" topLeftCell="A39">
      <selection activeCell="D62" sqref="D62"/>
    </sheetView>
  </sheetViews>
  <sheetFormatPr defaultColWidth="11.421875" defaultRowHeight="15"/>
  <cols>
    <col min="1" max="1" width="15.8515625" style="255" customWidth="1"/>
    <col min="2" max="2" width="14.421875" style="255" customWidth="1"/>
    <col min="3" max="3" width="60.421875" style="254" customWidth="1"/>
    <col min="4" max="4" width="14.421875" style="254" bestFit="1" customWidth="1"/>
    <col min="5" max="5" width="14.421875" style="254" customWidth="1"/>
    <col min="6" max="6" width="13.421875" style="257" customWidth="1"/>
    <col min="7" max="7" width="12.140625" style="320" customWidth="1"/>
    <col min="8" max="16384" width="11.421875" style="254" customWidth="1"/>
  </cols>
  <sheetData>
    <row r="1" spans="1:7" ht="14.25">
      <c r="A1" s="254"/>
      <c r="B1" s="754" t="s">
        <v>657</v>
      </c>
      <c r="C1" s="754"/>
      <c r="D1" s="754"/>
      <c r="E1" s="754"/>
      <c r="F1" s="754"/>
      <c r="G1" s="754"/>
    </row>
    <row r="3" spans="1:7" ht="14.25">
      <c r="A3" s="255" t="s">
        <v>769</v>
      </c>
      <c r="B3" s="255" t="s">
        <v>769</v>
      </c>
      <c r="C3" s="256" t="s">
        <v>770</v>
      </c>
      <c r="G3" s="258">
        <v>590.4004</v>
      </c>
    </row>
    <row r="6" spans="1:7" ht="59.25" customHeight="1">
      <c r="A6" s="151" t="s">
        <v>663</v>
      </c>
      <c r="B6" s="151" t="s">
        <v>665</v>
      </c>
      <c r="C6" s="151" t="s">
        <v>666</v>
      </c>
      <c r="D6" s="151" t="s">
        <v>668</v>
      </c>
      <c r="E6" s="151" t="s">
        <v>669</v>
      </c>
      <c r="F6" s="259" t="s">
        <v>670</v>
      </c>
      <c r="G6" s="259" t="s">
        <v>671</v>
      </c>
    </row>
    <row r="7" spans="1:7" ht="15">
      <c r="A7" s="260"/>
      <c r="B7" s="261"/>
      <c r="C7" s="262"/>
      <c r="D7" s="263"/>
      <c r="E7" s="263"/>
      <c r="F7" s="264"/>
      <c r="G7" s="265"/>
    </row>
    <row r="8" spans="1:7" ht="15">
      <c r="A8" s="748">
        <v>1</v>
      </c>
      <c r="B8" s="266"/>
      <c r="C8" s="267" t="s">
        <v>877</v>
      </c>
      <c r="D8" s="268"/>
      <c r="E8" s="268"/>
      <c r="F8" s="269"/>
      <c r="G8" s="270">
        <v>0</v>
      </c>
    </row>
    <row r="9" spans="1:7" ht="12.75" customHeight="1">
      <c r="A9" s="749"/>
      <c r="B9" s="271">
        <v>5156</v>
      </c>
      <c r="C9" s="272" t="s">
        <v>772</v>
      </c>
      <c r="D9" s="273">
        <v>1</v>
      </c>
      <c r="E9" s="273">
        <v>0</v>
      </c>
      <c r="F9" s="273">
        <v>0</v>
      </c>
      <c r="G9" s="274">
        <f>E9*D9*F9</f>
        <v>0</v>
      </c>
    </row>
    <row r="10" spans="1:7" s="276" customFormat="1" ht="12.75" customHeight="1">
      <c r="A10" s="749"/>
      <c r="B10" s="174">
        <v>5156</v>
      </c>
      <c r="C10" s="176" t="s">
        <v>686</v>
      </c>
      <c r="D10" s="275">
        <v>1</v>
      </c>
      <c r="E10" s="275">
        <f>E9</f>
        <v>0</v>
      </c>
      <c r="F10" s="275">
        <v>267</v>
      </c>
      <c r="G10" s="275"/>
    </row>
    <row r="11" spans="1:7" ht="12.75" customHeight="1">
      <c r="A11" s="748" t="s">
        <v>673</v>
      </c>
      <c r="B11" s="266">
        <v>5013</v>
      </c>
      <c r="C11" s="267" t="s">
        <v>773</v>
      </c>
      <c r="D11" s="277"/>
      <c r="E11" s="277"/>
      <c r="F11" s="277"/>
      <c r="G11" s="277">
        <f>SUM(G12:G18)</f>
        <v>50000</v>
      </c>
    </row>
    <row r="12" spans="1:7" ht="12.75" customHeight="1">
      <c r="A12" s="749"/>
      <c r="B12" s="271">
        <v>5542</v>
      </c>
      <c r="C12" s="272" t="s">
        <v>774</v>
      </c>
      <c r="D12" s="273">
        <v>1</v>
      </c>
      <c r="E12" s="273">
        <v>1</v>
      </c>
      <c r="F12" s="273">
        <v>9838</v>
      </c>
      <c r="G12" s="278">
        <f>E12*D12*F12</f>
        <v>9838</v>
      </c>
    </row>
    <row r="13" spans="1:7" ht="12.75" customHeight="1">
      <c r="A13" s="749"/>
      <c r="B13" s="271">
        <v>5551</v>
      </c>
      <c r="C13" s="272" t="s">
        <v>775</v>
      </c>
      <c r="D13" s="273">
        <v>1</v>
      </c>
      <c r="E13" s="273">
        <v>6</v>
      </c>
      <c r="F13" s="273">
        <v>2500</v>
      </c>
      <c r="G13" s="278">
        <f>E13*D13*F13</f>
        <v>15000</v>
      </c>
    </row>
    <row r="14" spans="1:8" ht="12.75" customHeight="1">
      <c r="A14" s="749"/>
      <c r="B14" s="271">
        <v>5551</v>
      </c>
      <c r="C14" s="272" t="s">
        <v>776</v>
      </c>
      <c r="D14" s="273">
        <v>1</v>
      </c>
      <c r="E14" s="273">
        <v>6</v>
      </c>
      <c r="F14" s="273">
        <v>2500</v>
      </c>
      <c r="G14" s="278">
        <f>E14*D14*F14</f>
        <v>15000</v>
      </c>
      <c r="H14" s="279"/>
    </row>
    <row r="15" spans="1:8" ht="12.75" customHeight="1">
      <c r="A15" s="749"/>
      <c r="B15" s="271">
        <v>5551</v>
      </c>
      <c r="C15" s="272" t="s">
        <v>777</v>
      </c>
      <c r="D15" s="273">
        <v>1</v>
      </c>
      <c r="E15" s="273">
        <v>6</v>
      </c>
      <c r="F15" s="273">
        <v>950</v>
      </c>
      <c r="G15" s="278">
        <f>E15*D15*F15</f>
        <v>5700</v>
      </c>
      <c r="H15" s="279"/>
    </row>
    <row r="16" spans="1:7" ht="12.75" customHeight="1">
      <c r="A16" s="749"/>
      <c r="B16" s="271">
        <v>5551</v>
      </c>
      <c r="C16" s="272" t="s">
        <v>778</v>
      </c>
      <c r="D16" s="273">
        <v>1</v>
      </c>
      <c r="E16" s="273">
        <v>6</v>
      </c>
      <c r="F16" s="273">
        <v>600</v>
      </c>
      <c r="G16" s="278">
        <f>E16*D16*F16</f>
        <v>3600</v>
      </c>
    </row>
    <row r="17" spans="1:7" ht="12.75" customHeight="1">
      <c r="A17" s="749"/>
      <c r="B17" s="280">
        <v>5556</v>
      </c>
      <c r="C17" s="281" t="s">
        <v>779</v>
      </c>
      <c r="D17" s="282">
        <v>1</v>
      </c>
      <c r="E17" s="282">
        <f>E12*D12</f>
        <v>1</v>
      </c>
      <c r="F17" s="282">
        <v>187</v>
      </c>
      <c r="G17" s="283">
        <f>+F17*E17</f>
        <v>187</v>
      </c>
    </row>
    <row r="18" spans="1:7" ht="12.75" customHeight="1">
      <c r="A18" s="755"/>
      <c r="B18" s="280">
        <v>5543</v>
      </c>
      <c r="C18" s="281" t="s">
        <v>780</v>
      </c>
      <c r="D18" s="282"/>
      <c r="E18" s="282">
        <f>+E12*D12+E13*D13+E14*D14+E15*D15+E16*D16</f>
        <v>25</v>
      </c>
      <c r="F18" s="282">
        <v>27</v>
      </c>
      <c r="G18" s="283">
        <f>+F18*E18</f>
        <v>675</v>
      </c>
    </row>
    <row r="19" spans="1:7" ht="12.75" customHeight="1">
      <c r="A19" s="734" t="s">
        <v>781</v>
      </c>
      <c r="B19" s="284"/>
      <c r="C19" s="267" t="s">
        <v>782</v>
      </c>
      <c r="D19" s="285"/>
      <c r="E19" s="285"/>
      <c r="F19" s="285"/>
      <c r="G19" s="286">
        <f>SUM(G20:G23)</f>
        <v>45000</v>
      </c>
    </row>
    <row r="20" spans="1:7" ht="12.75" customHeight="1">
      <c r="A20" s="734"/>
      <c r="B20" s="271">
        <v>5921</v>
      </c>
      <c r="C20" s="287" t="s">
        <v>783</v>
      </c>
      <c r="D20" s="288">
        <v>1</v>
      </c>
      <c r="E20" s="288"/>
      <c r="F20" s="273">
        <v>15000</v>
      </c>
      <c r="G20" s="278">
        <f>D20*F20</f>
        <v>15000</v>
      </c>
    </row>
    <row r="21" spans="1:7" ht="12.75" customHeight="1">
      <c r="A21" s="734"/>
      <c r="B21" s="271">
        <v>5934</v>
      </c>
      <c r="C21" s="289" t="s">
        <v>784</v>
      </c>
      <c r="D21" s="288">
        <v>2</v>
      </c>
      <c r="E21" s="288"/>
      <c r="F21" s="273">
        <v>7500</v>
      </c>
      <c r="G21" s="278">
        <f>D21*F21</f>
        <v>15000</v>
      </c>
    </row>
    <row r="22" spans="1:7" ht="12.75" customHeight="1">
      <c r="A22" s="734"/>
      <c r="B22" s="271">
        <v>5940</v>
      </c>
      <c r="C22" s="287" t="s">
        <v>785</v>
      </c>
      <c r="D22" s="288">
        <v>1</v>
      </c>
      <c r="E22" s="288"/>
      <c r="F22" s="273">
        <v>14824</v>
      </c>
      <c r="G22" s="278">
        <f>D22*F22</f>
        <v>14824</v>
      </c>
    </row>
    <row r="23" spans="1:7" ht="12.75" customHeight="1">
      <c r="A23" s="734"/>
      <c r="B23" s="280">
        <v>5921</v>
      </c>
      <c r="C23" s="281" t="s">
        <v>786</v>
      </c>
      <c r="D23" s="282">
        <f>SUM(D20:D22)</f>
        <v>4</v>
      </c>
      <c r="E23" s="282"/>
      <c r="F23" s="282">
        <v>44</v>
      </c>
      <c r="G23" s="290">
        <f>+F23*D23</f>
        <v>176</v>
      </c>
    </row>
    <row r="24" spans="1:7" ht="12.75" customHeight="1">
      <c r="A24" s="756" t="s">
        <v>711</v>
      </c>
      <c r="B24" s="291">
        <v>5025</v>
      </c>
      <c r="C24" s="292" t="s">
        <v>787</v>
      </c>
      <c r="D24" s="293"/>
      <c r="E24" s="293"/>
      <c r="F24" s="293"/>
      <c r="G24" s="294">
        <f>SUM(G25:G26)</f>
        <v>0</v>
      </c>
    </row>
    <row r="25" spans="1:7" ht="12.75" customHeight="1">
      <c r="A25" s="757"/>
      <c r="B25" s="271"/>
      <c r="C25" s="295"/>
      <c r="D25" s="296"/>
      <c r="E25" s="296"/>
      <c r="F25" s="296"/>
      <c r="G25" s="278"/>
    </row>
    <row r="26" spans="1:7" ht="12.75" customHeight="1">
      <c r="A26" s="757"/>
      <c r="B26" s="280">
        <v>6011</v>
      </c>
      <c r="C26" s="281" t="s">
        <v>788</v>
      </c>
      <c r="D26" s="282">
        <v>0</v>
      </c>
      <c r="E26" s="282"/>
      <c r="F26" s="282">
        <v>44</v>
      </c>
      <c r="G26" s="290">
        <f>D26*F402</f>
        <v>0</v>
      </c>
    </row>
    <row r="27" spans="1:8" ht="37.5" customHeight="1">
      <c r="A27" s="734" t="s">
        <v>717</v>
      </c>
      <c r="B27" s="297"/>
      <c r="C27" s="267" t="s">
        <v>789</v>
      </c>
      <c r="D27" s="277"/>
      <c r="E27" s="277"/>
      <c r="F27" s="277"/>
      <c r="G27" s="270">
        <f>G28+G29+G30</f>
        <v>185000</v>
      </c>
      <c r="H27" s="279"/>
    </row>
    <row r="28" spans="1:8" ht="12.75" customHeight="1">
      <c r="A28" s="734"/>
      <c r="B28" s="271"/>
      <c r="C28" s="272" t="s">
        <v>790</v>
      </c>
      <c r="D28" s="288">
        <v>5</v>
      </c>
      <c r="E28" s="273"/>
      <c r="F28" s="273">
        <v>30000</v>
      </c>
      <c r="G28" s="278">
        <f>D28*F28</f>
        <v>150000</v>
      </c>
      <c r="H28" s="279"/>
    </row>
    <row r="29" spans="1:9" ht="12.75" customHeight="1">
      <c r="A29" s="734"/>
      <c r="B29" s="271"/>
      <c r="C29" s="272" t="s">
        <v>791</v>
      </c>
      <c r="D29" s="288">
        <v>2</v>
      </c>
      <c r="E29" s="273"/>
      <c r="F29" s="273">
        <v>17150</v>
      </c>
      <c r="G29" s="278">
        <f>D29*F29</f>
        <v>34300</v>
      </c>
      <c r="H29" s="279"/>
      <c r="I29" s="279"/>
    </row>
    <row r="30" spans="1:7" ht="12.75" customHeight="1">
      <c r="A30" s="734"/>
      <c r="B30" s="280">
        <v>5586</v>
      </c>
      <c r="C30" s="281" t="s">
        <v>792</v>
      </c>
      <c r="D30" s="282">
        <f>SUM(D28:D29)</f>
        <v>7</v>
      </c>
      <c r="E30" s="282"/>
      <c r="F30" s="282">
        <v>100</v>
      </c>
      <c r="G30" s="290">
        <f>D30*F30</f>
        <v>700</v>
      </c>
    </row>
    <row r="31" spans="1:7" ht="12.75" customHeight="1">
      <c r="A31" s="734" t="s">
        <v>6</v>
      </c>
      <c r="B31" s="266">
        <v>5021</v>
      </c>
      <c r="C31" s="267" t="s">
        <v>727</v>
      </c>
      <c r="D31" s="277"/>
      <c r="E31" s="277"/>
      <c r="F31" s="277"/>
      <c r="G31" s="270">
        <f>+SUM(G32:G33)</f>
        <v>21894</v>
      </c>
    </row>
    <row r="32" spans="1:7" ht="12.75" customHeight="1">
      <c r="A32" s="734"/>
      <c r="B32" s="271">
        <v>5696</v>
      </c>
      <c r="C32" s="272" t="s">
        <v>793</v>
      </c>
      <c r="D32" s="288">
        <v>12</v>
      </c>
      <c r="E32" s="273"/>
      <c r="F32" s="273">
        <v>1780.5</v>
      </c>
      <c r="G32" s="278">
        <f>D32*F32</f>
        <v>21366</v>
      </c>
    </row>
    <row r="33" spans="1:7" ht="12.75" customHeight="1">
      <c r="A33" s="734"/>
      <c r="B33" s="280">
        <v>5696</v>
      </c>
      <c r="C33" s="281" t="s">
        <v>794</v>
      </c>
      <c r="D33" s="282">
        <v>12</v>
      </c>
      <c r="E33" s="282"/>
      <c r="F33" s="282">
        <v>44</v>
      </c>
      <c r="G33" s="290">
        <f>D33*F33</f>
        <v>528</v>
      </c>
    </row>
    <row r="34" spans="1:7" s="298" customFormat="1" ht="12.75" customHeight="1">
      <c r="A34" s="744" t="s">
        <v>4</v>
      </c>
      <c r="B34" s="297">
        <v>5014</v>
      </c>
      <c r="C34" s="267" t="s">
        <v>795</v>
      </c>
      <c r="D34" s="277"/>
      <c r="E34" s="277"/>
      <c r="F34" s="277"/>
      <c r="G34" s="270">
        <f>+SUM(G35:G39)</f>
        <v>76700</v>
      </c>
    </row>
    <row r="35" spans="1:7" ht="26.25" customHeight="1">
      <c r="A35" s="745"/>
      <c r="B35" s="271">
        <v>5577</v>
      </c>
      <c r="C35" s="299" t="s">
        <v>796</v>
      </c>
      <c r="D35" s="288">
        <v>2</v>
      </c>
      <c r="E35" s="273" t="s">
        <v>797</v>
      </c>
      <c r="F35" s="273">
        <v>5250</v>
      </c>
      <c r="G35" s="278">
        <f>D35*F35</f>
        <v>10500</v>
      </c>
    </row>
    <row r="36" spans="1:7" ht="30" customHeight="1">
      <c r="A36" s="745"/>
      <c r="B36" s="271"/>
      <c r="C36" s="145" t="s">
        <v>798</v>
      </c>
      <c r="D36" s="288">
        <v>5</v>
      </c>
      <c r="E36" s="273"/>
      <c r="F36" s="273">
        <v>6000</v>
      </c>
      <c r="G36" s="278">
        <f>D36*F36</f>
        <v>30000</v>
      </c>
    </row>
    <row r="37" spans="1:7" ht="30.75" customHeight="1">
      <c r="A37" s="746"/>
      <c r="B37" s="271"/>
      <c r="C37" s="299" t="s">
        <v>799</v>
      </c>
      <c r="D37" s="288">
        <v>2</v>
      </c>
      <c r="E37" s="273"/>
      <c r="F37" s="273">
        <v>10500</v>
      </c>
      <c r="G37" s="278">
        <f>D37*F37</f>
        <v>21000</v>
      </c>
    </row>
    <row r="38" spans="1:7" ht="45" customHeight="1">
      <c r="A38" s="746"/>
      <c r="B38" s="271"/>
      <c r="C38" s="299" t="s">
        <v>800</v>
      </c>
      <c r="D38" s="288">
        <v>2</v>
      </c>
      <c r="E38" s="273"/>
      <c r="F38" s="273">
        <v>7050</v>
      </c>
      <c r="G38" s="278">
        <f>D38*F38</f>
        <v>14100</v>
      </c>
    </row>
    <row r="39" spans="1:7" ht="45" customHeight="1">
      <c r="A39" s="747"/>
      <c r="B39" s="271"/>
      <c r="C39" s="281" t="s">
        <v>792</v>
      </c>
      <c r="D39" s="282">
        <f>SUM(D35:D38)</f>
        <v>11</v>
      </c>
      <c r="E39" s="273"/>
      <c r="F39" s="282">
        <v>100</v>
      </c>
      <c r="G39" s="290">
        <f>D39*F39</f>
        <v>1100</v>
      </c>
    </row>
    <row r="40" spans="1:7" ht="12.75" customHeight="1">
      <c r="A40" s="748" t="s">
        <v>737</v>
      </c>
      <c r="B40" s="300"/>
      <c r="C40" s="292" t="s">
        <v>801</v>
      </c>
      <c r="D40" s="293"/>
      <c r="E40" s="293"/>
      <c r="F40" s="293"/>
      <c r="G40" s="294">
        <f>G42+G46+G50</f>
        <v>41967</v>
      </c>
    </row>
    <row r="41" spans="1:7" ht="35.25" customHeight="1">
      <c r="A41" s="749"/>
      <c r="B41" s="301">
        <v>5902</v>
      </c>
      <c r="C41" s="281" t="s">
        <v>802</v>
      </c>
      <c r="D41" s="282"/>
      <c r="E41" s="282"/>
      <c r="F41" s="282">
        <v>44</v>
      </c>
      <c r="G41" s="290">
        <f>+D41*F41</f>
        <v>0</v>
      </c>
    </row>
    <row r="42" spans="1:7" ht="35.25" customHeight="1">
      <c r="A42" s="749"/>
      <c r="B42" s="300">
        <v>5027</v>
      </c>
      <c r="C42" s="292" t="s">
        <v>741</v>
      </c>
      <c r="D42" s="293"/>
      <c r="E42" s="293"/>
      <c r="F42" s="293"/>
      <c r="G42" s="294">
        <f>G44+G43+G45</f>
        <v>23072</v>
      </c>
    </row>
    <row r="43" spans="1:8" ht="12.75" customHeight="1">
      <c r="A43" s="750"/>
      <c r="B43" s="302">
        <v>6120</v>
      </c>
      <c r="C43" s="303" t="s">
        <v>803</v>
      </c>
      <c r="D43" s="288"/>
      <c r="E43" s="288"/>
      <c r="F43" s="288">
        <v>3072</v>
      </c>
      <c r="G43" s="278">
        <f>F43</f>
        <v>3072</v>
      </c>
      <c r="H43" s="279"/>
    </row>
    <row r="44" spans="1:7" ht="12.75" customHeight="1">
      <c r="A44" s="750"/>
      <c r="B44" s="302">
        <v>6120</v>
      </c>
      <c r="C44" s="303" t="s">
        <v>804</v>
      </c>
      <c r="D44" s="288"/>
      <c r="E44" s="288"/>
      <c r="F44" s="288">
        <v>3333</v>
      </c>
      <c r="G44" s="278">
        <f>F44</f>
        <v>3333</v>
      </c>
    </row>
    <row r="45" spans="1:7" ht="12.75" customHeight="1">
      <c r="A45" s="750"/>
      <c r="B45" s="304">
        <v>6116</v>
      </c>
      <c r="C45" s="281" t="s">
        <v>805</v>
      </c>
      <c r="D45" s="305"/>
      <c r="E45" s="305"/>
      <c r="F45" s="305">
        <v>16667</v>
      </c>
      <c r="G45" s="306">
        <f>F45</f>
        <v>16667</v>
      </c>
    </row>
    <row r="46" spans="1:8" ht="12.75" customHeight="1">
      <c r="A46" s="750"/>
      <c r="B46" s="300">
        <v>5028</v>
      </c>
      <c r="C46" s="292" t="s">
        <v>749</v>
      </c>
      <c r="D46" s="293"/>
      <c r="E46" s="293"/>
      <c r="F46" s="293"/>
      <c r="G46" s="294">
        <f>+G47+G48+G49</f>
        <v>10522</v>
      </c>
      <c r="H46" s="279"/>
    </row>
    <row r="47" spans="1:8" ht="12.75" customHeight="1">
      <c r="A47" s="750"/>
      <c r="B47" s="302">
        <v>6177</v>
      </c>
      <c r="C47" s="289" t="s">
        <v>806</v>
      </c>
      <c r="D47" s="307"/>
      <c r="E47" s="307"/>
      <c r="F47" s="307"/>
      <c r="G47" s="278">
        <v>9002</v>
      </c>
      <c r="H47" s="279"/>
    </row>
    <row r="48" spans="1:8" ht="12.75" customHeight="1">
      <c r="A48" s="750"/>
      <c r="B48" s="301">
        <v>6207</v>
      </c>
      <c r="C48" s="281" t="s">
        <v>807</v>
      </c>
      <c r="D48" s="282"/>
      <c r="E48" s="282">
        <f>E10+E17+E18</f>
        <v>26</v>
      </c>
      <c r="F48" s="282">
        <v>50</v>
      </c>
      <c r="G48" s="290">
        <f>+F48*E48</f>
        <v>1300</v>
      </c>
      <c r="H48" s="279"/>
    </row>
    <row r="49" spans="1:7" ht="12.75" customHeight="1">
      <c r="A49" s="750"/>
      <c r="B49" s="301">
        <v>6177</v>
      </c>
      <c r="C49" s="281" t="s">
        <v>808</v>
      </c>
      <c r="D49" s="282">
        <v>5</v>
      </c>
      <c r="E49" s="282"/>
      <c r="F49" s="282">
        <v>44</v>
      </c>
      <c r="G49" s="290">
        <f>+D49*F49</f>
        <v>220</v>
      </c>
    </row>
    <row r="50" spans="1:7" ht="12.75" customHeight="1">
      <c r="A50" s="750"/>
      <c r="B50" s="300">
        <v>5050</v>
      </c>
      <c r="C50" s="292" t="s">
        <v>760</v>
      </c>
      <c r="D50" s="293"/>
      <c r="E50" s="293"/>
      <c r="F50" s="293"/>
      <c r="G50" s="294">
        <f>+G51+G52</f>
        <v>8373</v>
      </c>
    </row>
    <row r="51" spans="1:7" ht="12.75" customHeight="1">
      <c r="A51" s="750"/>
      <c r="B51" s="301">
        <v>6420</v>
      </c>
      <c r="C51" s="281" t="s">
        <v>809</v>
      </c>
      <c r="D51" s="282"/>
      <c r="E51" s="282">
        <f>+E10+E17+E18</f>
        <v>26</v>
      </c>
      <c r="F51" s="282">
        <v>137</v>
      </c>
      <c r="G51" s="290">
        <f>+E51*F51</f>
        <v>3562</v>
      </c>
    </row>
    <row r="52" spans="1:7" ht="12.75" customHeight="1">
      <c r="A52" s="751"/>
      <c r="B52" s="301">
        <v>6421</v>
      </c>
      <c r="C52" s="281" t="s">
        <v>762</v>
      </c>
      <c r="D52" s="282"/>
      <c r="E52" s="282"/>
      <c r="F52" s="282"/>
      <c r="G52" s="290">
        <v>4811</v>
      </c>
    </row>
    <row r="53" spans="1:7" ht="12.75" customHeight="1">
      <c r="A53" s="308"/>
      <c r="B53" s="308"/>
      <c r="C53" s="309" t="s">
        <v>810</v>
      </c>
      <c r="D53" s="310"/>
      <c r="E53" s="310"/>
      <c r="F53" s="310"/>
      <c r="G53" s="311">
        <f>G40+G34+G31+G27+G19+G11</f>
        <v>420561</v>
      </c>
    </row>
    <row r="54" spans="1:7" ht="31.5" customHeight="1">
      <c r="A54" s="312" t="s">
        <v>766</v>
      </c>
      <c r="B54" s="313">
        <v>6112</v>
      </c>
      <c r="C54" s="303" t="s">
        <v>811</v>
      </c>
      <c r="D54" s="314"/>
      <c r="E54" s="314"/>
      <c r="F54" s="315"/>
      <c r="G54" s="316">
        <f>+G53*0.07</f>
        <v>29439.270000000004</v>
      </c>
    </row>
    <row r="55" spans="1:7" ht="12.75" customHeight="1" thickBot="1">
      <c r="A55" s="317"/>
      <c r="B55" s="752" t="s">
        <v>812</v>
      </c>
      <c r="C55" s="753"/>
      <c r="D55" s="318"/>
      <c r="E55" s="318"/>
      <c r="F55" s="318"/>
      <c r="G55" s="319">
        <f>+G54+G53</f>
        <v>450000.27</v>
      </c>
    </row>
    <row r="56" ht="12.75" customHeight="1"/>
    <row r="57" spans="2:8" ht="12.75" customHeight="1">
      <c r="B57" s="254"/>
      <c r="H57" s="279"/>
    </row>
    <row r="58" ht="12.75" customHeight="1"/>
    <row r="59" ht="12.75" customHeight="1"/>
  </sheetData>
  <sheetProtection/>
  <mergeCells count="10">
    <mergeCell ref="A31:A33"/>
    <mergeCell ref="A34:A39"/>
    <mergeCell ref="A40:A52"/>
    <mergeCell ref="B55:C55"/>
    <mergeCell ref="B1:G1"/>
    <mergeCell ref="A8:A10"/>
    <mergeCell ref="A11:A18"/>
    <mergeCell ref="A19:A23"/>
    <mergeCell ref="A24:A26"/>
    <mergeCell ref="A27:A3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B5:L94"/>
  <sheetViews>
    <sheetView zoomScalePageLayoutView="0" workbookViewId="0" topLeftCell="A1">
      <selection activeCell="D62" sqref="D62"/>
    </sheetView>
  </sheetViews>
  <sheetFormatPr defaultColWidth="8.8515625" defaultRowHeight="15"/>
  <cols>
    <col min="1" max="2" width="8.8515625" style="0" customWidth="1"/>
    <col min="3" max="3" width="35.421875" style="0" customWidth="1"/>
    <col min="4" max="4" width="15.00390625" style="0" customWidth="1"/>
    <col min="5" max="5" width="11.8515625" style="0" customWidth="1"/>
    <col min="6" max="6" width="13.8515625" style="0" customWidth="1"/>
    <col min="7" max="7" width="19.421875" style="0" hidden="1" customWidth="1"/>
    <col min="8" max="8" width="13.8515625" style="0" customWidth="1"/>
    <col min="9" max="9" width="8.8515625" style="0" customWidth="1"/>
    <col min="10" max="10" width="9.421875" style="0" bestFit="1" customWidth="1"/>
    <col min="11" max="11" width="10.421875" style="0" bestFit="1" customWidth="1"/>
    <col min="12" max="12" width="11.421875" style="0" bestFit="1" customWidth="1"/>
  </cols>
  <sheetData>
    <row r="5" spans="6:8" ht="15">
      <c r="F5" s="321"/>
      <c r="G5" s="321"/>
      <c r="H5" s="321"/>
    </row>
    <row r="6" spans="3:8" ht="15">
      <c r="C6" s="256" t="s">
        <v>813</v>
      </c>
      <c r="F6" s="322"/>
      <c r="G6" s="321"/>
      <c r="H6" s="322"/>
    </row>
    <row r="7" spans="2:3" ht="15">
      <c r="B7" t="s">
        <v>769</v>
      </c>
      <c r="C7" t="s">
        <v>814</v>
      </c>
    </row>
    <row r="8" ht="15.75" thickBot="1"/>
    <row r="9" spans="2:8" ht="26.25" thickBot="1">
      <c r="B9" s="323" t="s">
        <v>815</v>
      </c>
      <c r="C9" s="323" t="s">
        <v>816</v>
      </c>
      <c r="D9" s="324" t="s">
        <v>817</v>
      </c>
      <c r="E9" s="325" t="s">
        <v>818</v>
      </c>
      <c r="F9" s="325" t="s">
        <v>819</v>
      </c>
      <c r="G9" s="326" t="s">
        <v>820</v>
      </c>
      <c r="H9" s="325" t="s">
        <v>821</v>
      </c>
    </row>
    <row r="10" spans="2:8" ht="15.75" thickBot="1">
      <c r="B10" s="327"/>
      <c r="C10" s="327" t="s">
        <v>771</v>
      </c>
      <c r="D10" s="328"/>
      <c r="E10" s="329"/>
      <c r="F10" s="330"/>
      <c r="G10" s="331">
        <v>0</v>
      </c>
      <c r="H10" s="516">
        <v>0</v>
      </c>
    </row>
    <row r="11" spans="2:8" ht="15">
      <c r="B11" s="332">
        <v>5011</v>
      </c>
      <c r="C11" s="333" t="s">
        <v>822</v>
      </c>
      <c r="D11" s="334"/>
      <c r="E11" s="335"/>
      <c r="F11" s="336"/>
      <c r="G11" s="337">
        <f>+G12+G13+G14</f>
        <v>0</v>
      </c>
      <c r="H11" s="517"/>
    </row>
    <row r="12" spans="2:8" ht="15">
      <c r="B12" s="338"/>
      <c r="C12" s="339" t="s">
        <v>823</v>
      </c>
      <c r="D12" s="340"/>
      <c r="E12" s="341"/>
      <c r="F12" s="342"/>
      <c r="G12" s="343"/>
      <c r="H12" s="518"/>
    </row>
    <row r="13" spans="2:8" ht="15">
      <c r="B13" s="344"/>
      <c r="C13" s="345" t="s">
        <v>824</v>
      </c>
      <c r="D13" s="346">
        <v>0</v>
      </c>
      <c r="E13" s="347">
        <v>0</v>
      </c>
      <c r="F13" s="348">
        <v>0</v>
      </c>
      <c r="G13" s="349">
        <f>D13*E13*F13</f>
        <v>0</v>
      </c>
      <c r="H13" s="519"/>
    </row>
    <row r="14" spans="2:8" ht="26.25" thickBot="1">
      <c r="B14" s="350"/>
      <c r="C14" s="351" t="s">
        <v>825</v>
      </c>
      <c r="D14" s="352">
        <v>0</v>
      </c>
      <c r="E14" s="353">
        <v>1</v>
      </c>
      <c r="F14" s="354">
        <v>267</v>
      </c>
      <c r="G14" s="355">
        <f>D14*E14*F14</f>
        <v>0</v>
      </c>
      <c r="H14" s="520"/>
    </row>
    <row r="15" spans="2:8" ht="15">
      <c r="B15" s="356">
        <v>5012</v>
      </c>
      <c r="C15" s="357" t="s">
        <v>826</v>
      </c>
      <c r="D15" s="358"/>
      <c r="E15" s="359"/>
      <c r="F15" s="360"/>
      <c r="G15" s="361"/>
      <c r="H15" s="521"/>
    </row>
    <row r="16" spans="2:8" ht="15">
      <c r="B16" s="362"/>
      <c r="C16" s="363" t="s">
        <v>827</v>
      </c>
      <c r="D16" s="364"/>
      <c r="E16" s="365"/>
      <c r="F16" s="366"/>
      <c r="G16" s="367"/>
      <c r="H16" s="522"/>
    </row>
    <row r="17" spans="2:8" ht="25.5">
      <c r="B17" s="368"/>
      <c r="C17" s="369" t="s">
        <v>828</v>
      </c>
      <c r="D17" s="370"/>
      <c r="E17" s="371"/>
      <c r="F17" s="372"/>
      <c r="G17" s="373"/>
      <c r="H17" s="523"/>
    </row>
    <row r="18" spans="2:8" ht="15">
      <c r="B18" s="356">
        <v>5013</v>
      </c>
      <c r="C18" s="357" t="s">
        <v>773</v>
      </c>
      <c r="D18" s="374"/>
      <c r="E18" s="359"/>
      <c r="F18" s="360"/>
      <c r="G18" s="375">
        <f>+SUM(G19:G43)</f>
        <v>168068.88936029692</v>
      </c>
      <c r="H18" s="521">
        <f>SUM(H19:H43)</f>
        <v>159773</v>
      </c>
    </row>
    <row r="19" spans="2:8" ht="25.5">
      <c r="B19" s="376">
        <v>5584</v>
      </c>
      <c r="C19" s="377" t="s">
        <v>829</v>
      </c>
      <c r="D19" s="378">
        <v>5</v>
      </c>
      <c r="E19" s="341">
        <v>1</v>
      </c>
      <c r="F19" s="342">
        <v>12600</v>
      </c>
      <c r="G19" s="379">
        <f>D19*E19*F19</f>
        <v>63000</v>
      </c>
      <c r="H19" s="518">
        <f>63000+40000</f>
        <v>103000</v>
      </c>
    </row>
    <row r="20" spans="2:8" ht="15">
      <c r="B20" s="376">
        <v>5551</v>
      </c>
      <c r="C20" s="380" t="s">
        <v>830</v>
      </c>
      <c r="D20" s="381">
        <v>5</v>
      </c>
      <c r="E20" s="382">
        <v>3</v>
      </c>
      <c r="F20" s="383">
        <v>3578</v>
      </c>
      <c r="G20" s="343">
        <f aca="true" t="shared" si="0" ref="G20:G42">D20*E20*F20</f>
        <v>53670</v>
      </c>
      <c r="H20" s="524">
        <f>F20*5*1</f>
        <v>17890</v>
      </c>
    </row>
    <row r="21" spans="2:8" ht="15">
      <c r="B21" s="376">
        <v>5551</v>
      </c>
      <c r="C21" s="380" t="s">
        <v>831</v>
      </c>
      <c r="D21" s="384"/>
      <c r="E21" s="385"/>
      <c r="F21" s="383"/>
      <c r="G21" s="343">
        <f t="shared" si="0"/>
        <v>0</v>
      </c>
      <c r="H21" s="524"/>
    </row>
    <row r="22" spans="2:8" ht="15">
      <c r="B22" s="376">
        <v>5551</v>
      </c>
      <c r="C22" s="380" t="s">
        <v>832</v>
      </c>
      <c r="D22" s="340">
        <v>0</v>
      </c>
      <c r="E22" s="385"/>
      <c r="F22" s="383">
        <v>0</v>
      </c>
      <c r="G22" s="343">
        <f t="shared" si="0"/>
        <v>0</v>
      </c>
      <c r="H22" s="524"/>
    </row>
    <row r="23" spans="2:8" ht="15">
      <c r="B23" s="376">
        <v>5551</v>
      </c>
      <c r="C23" s="380" t="s">
        <v>833</v>
      </c>
      <c r="D23" s="340"/>
      <c r="E23" s="385"/>
      <c r="F23" s="383"/>
      <c r="G23" s="343">
        <f t="shared" si="0"/>
        <v>0</v>
      </c>
      <c r="H23" s="524"/>
    </row>
    <row r="24" spans="2:8" ht="15">
      <c r="B24" s="376">
        <v>5543</v>
      </c>
      <c r="C24" s="380" t="s">
        <v>834</v>
      </c>
      <c r="D24" s="340"/>
      <c r="E24" s="385"/>
      <c r="F24" s="385"/>
      <c r="G24" s="343">
        <f t="shared" si="0"/>
        <v>0</v>
      </c>
      <c r="H24" s="525"/>
    </row>
    <row r="25" spans="2:8" ht="15">
      <c r="B25" s="376">
        <v>5551</v>
      </c>
      <c r="C25" s="380" t="s">
        <v>835</v>
      </c>
      <c r="D25" s="340"/>
      <c r="E25" s="385">
        <v>0</v>
      </c>
      <c r="F25" s="385">
        <v>0</v>
      </c>
      <c r="G25" s="343">
        <f t="shared" si="0"/>
        <v>0</v>
      </c>
      <c r="H25" s="525"/>
    </row>
    <row r="26" spans="2:8" ht="15">
      <c r="B26" s="376">
        <v>5551</v>
      </c>
      <c r="C26" s="386" t="s">
        <v>836</v>
      </c>
      <c r="D26" s="387">
        <v>5</v>
      </c>
      <c r="E26" s="385">
        <v>1</v>
      </c>
      <c r="F26" s="385">
        <v>3578.154425612053</v>
      </c>
      <c r="G26" s="343">
        <f t="shared" si="0"/>
        <v>17890.772128060264</v>
      </c>
      <c r="H26" s="525">
        <f>3578*1*5</f>
        <v>17890</v>
      </c>
    </row>
    <row r="27" spans="2:8" ht="15">
      <c r="B27" s="376">
        <v>5551</v>
      </c>
      <c r="C27" s="386" t="s">
        <v>837</v>
      </c>
      <c r="D27" s="387">
        <v>0</v>
      </c>
      <c r="E27" s="385">
        <v>1</v>
      </c>
      <c r="F27" s="385"/>
      <c r="G27" s="343">
        <f t="shared" si="0"/>
        <v>0</v>
      </c>
      <c r="H27" s="525"/>
    </row>
    <row r="28" spans="2:8" ht="15">
      <c r="B28" s="376">
        <v>5551</v>
      </c>
      <c r="C28" s="386" t="s">
        <v>838</v>
      </c>
      <c r="D28" s="387"/>
      <c r="E28" s="385"/>
      <c r="F28" s="388"/>
      <c r="G28" s="343">
        <f t="shared" si="0"/>
        <v>0</v>
      </c>
      <c r="H28" s="526"/>
    </row>
    <row r="29" spans="2:8" ht="15">
      <c r="B29" s="376">
        <v>5551</v>
      </c>
      <c r="C29" s="386" t="s">
        <v>839</v>
      </c>
      <c r="D29" s="387"/>
      <c r="E29" s="385"/>
      <c r="F29" s="388"/>
      <c r="G29" s="343">
        <f t="shared" si="0"/>
        <v>0</v>
      </c>
      <c r="H29" s="526"/>
    </row>
    <row r="30" spans="2:8" ht="15">
      <c r="B30" s="376">
        <v>5551</v>
      </c>
      <c r="C30" s="386" t="s">
        <v>840</v>
      </c>
      <c r="D30" s="387"/>
      <c r="E30" s="385"/>
      <c r="F30" s="388"/>
      <c r="G30" s="343">
        <f t="shared" si="0"/>
        <v>0</v>
      </c>
      <c r="H30" s="526"/>
    </row>
    <row r="31" spans="2:8" ht="15">
      <c r="B31" s="389">
        <v>5551</v>
      </c>
      <c r="C31" s="380" t="s">
        <v>841</v>
      </c>
      <c r="D31" s="340"/>
      <c r="E31" s="385">
        <v>0</v>
      </c>
      <c r="F31" s="342">
        <v>1506.5913370998117</v>
      </c>
      <c r="G31" s="343">
        <f t="shared" si="0"/>
        <v>0</v>
      </c>
      <c r="H31" s="518"/>
    </row>
    <row r="32" spans="2:8" ht="15">
      <c r="B32" s="389">
        <v>5551</v>
      </c>
      <c r="C32" s="380" t="s">
        <v>842</v>
      </c>
      <c r="D32" s="340">
        <v>5</v>
      </c>
      <c r="E32" s="385">
        <v>1</v>
      </c>
      <c r="F32" s="342">
        <v>941.6195856873823</v>
      </c>
      <c r="G32" s="343">
        <f t="shared" si="0"/>
        <v>4708.097928436911</v>
      </c>
      <c r="H32" s="518">
        <f>942*1*5</f>
        <v>4710</v>
      </c>
    </row>
    <row r="33" spans="2:8" ht="15">
      <c r="B33" s="389">
        <v>5551</v>
      </c>
      <c r="C33" s="380" t="s">
        <v>843</v>
      </c>
      <c r="D33" s="340">
        <v>5</v>
      </c>
      <c r="E33" s="385">
        <v>1</v>
      </c>
      <c r="F33" s="342">
        <v>1694.915254237288</v>
      </c>
      <c r="G33" s="343">
        <f t="shared" si="0"/>
        <v>8474.57627118644</v>
      </c>
      <c r="H33" s="518">
        <f>1695*1*5</f>
        <v>8475</v>
      </c>
    </row>
    <row r="34" spans="2:8" ht="15.75" thickBot="1">
      <c r="B34" s="389">
        <v>5551</v>
      </c>
      <c r="C34" s="380" t="s">
        <v>844</v>
      </c>
      <c r="D34" s="340"/>
      <c r="E34" s="385">
        <v>1</v>
      </c>
      <c r="F34" s="342">
        <v>512</v>
      </c>
      <c r="G34" s="343">
        <f t="shared" si="0"/>
        <v>0</v>
      </c>
      <c r="H34" s="518"/>
    </row>
    <row r="35" spans="2:8" ht="15.75" thickBot="1">
      <c r="B35" s="389">
        <v>5543</v>
      </c>
      <c r="C35" s="390" t="s">
        <v>845</v>
      </c>
      <c r="D35" s="391">
        <v>1</v>
      </c>
      <c r="E35" s="385">
        <v>3</v>
      </c>
      <c r="F35" s="342">
        <f>103379/531.225*15</f>
        <v>2919.073838768883</v>
      </c>
      <c r="G35" s="343">
        <f t="shared" si="0"/>
        <v>8757.221516306648</v>
      </c>
      <c r="H35" s="518">
        <f>2919*1*1</f>
        <v>2919</v>
      </c>
    </row>
    <row r="36" spans="2:8" ht="15.75" thickBot="1">
      <c r="B36" s="389">
        <v>5543</v>
      </c>
      <c r="C36" s="390" t="s">
        <v>846</v>
      </c>
      <c r="D36" s="391"/>
      <c r="E36" s="385">
        <v>3</v>
      </c>
      <c r="F36" s="342">
        <f>103379/531.225*15</f>
        <v>2919.073838768883</v>
      </c>
      <c r="G36" s="343">
        <f t="shared" si="0"/>
        <v>0</v>
      </c>
      <c r="H36" s="518"/>
    </row>
    <row r="37" spans="2:8" ht="15.75" thickBot="1">
      <c r="B37" s="389">
        <v>5543</v>
      </c>
      <c r="C37" s="390" t="s">
        <v>847</v>
      </c>
      <c r="D37" s="391">
        <v>1</v>
      </c>
      <c r="E37" s="385">
        <v>3</v>
      </c>
      <c r="F37" s="342">
        <f>103379/531.225*15</f>
        <v>2919.073838768883</v>
      </c>
      <c r="G37" s="343">
        <f t="shared" si="0"/>
        <v>8757.221516306648</v>
      </c>
      <c r="H37" s="518">
        <f>2919*1*1</f>
        <v>2919</v>
      </c>
    </row>
    <row r="38" spans="2:8" ht="15.75" thickBot="1">
      <c r="B38" s="389">
        <v>5543</v>
      </c>
      <c r="C38" s="390" t="s">
        <v>848</v>
      </c>
      <c r="D38" s="391"/>
      <c r="E38" s="385">
        <v>3</v>
      </c>
      <c r="F38" s="342">
        <f>103379/531.225*15</f>
        <v>2919.073838768883</v>
      </c>
      <c r="G38" s="343">
        <f t="shared" si="0"/>
        <v>0</v>
      </c>
      <c r="H38" s="518"/>
    </row>
    <row r="39" spans="2:8" ht="15.75" thickBot="1">
      <c r="B39" s="389">
        <v>5543</v>
      </c>
      <c r="C39" s="390" t="s">
        <v>849</v>
      </c>
      <c r="D39" s="391"/>
      <c r="E39" s="385"/>
      <c r="F39" s="342"/>
      <c r="G39" s="343">
        <f t="shared" si="0"/>
        <v>0</v>
      </c>
      <c r="H39" s="518"/>
    </row>
    <row r="40" spans="2:8" ht="15.75" thickBot="1">
      <c r="B40" s="389">
        <v>5543</v>
      </c>
      <c r="C40" s="390" t="s">
        <v>850</v>
      </c>
      <c r="D40" s="391"/>
      <c r="E40" s="385"/>
      <c r="F40" s="342"/>
      <c r="G40" s="343">
        <f t="shared" si="0"/>
        <v>0</v>
      </c>
      <c r="H40" s="518"/>
    </row>
    <row r="41" spans="2:8" ht="15">
      <c r="B41" s="389">
        <v>5543</v>
      </c>
      <c r="C41" s="390" t="s">
        <v>851</v>
      </c>
      <c r="D41" s="391"/>
      <c r="E41" s="385"/>
      <c r="F41" s="342"/>
      <c r="G41" s="343">
        <f t="shared" si="0"/>
        <v>0</v>
      </c>
      <c r="H41" s="518"/>
    </row>
    <row r="42" spans="2:8" ht="25.5">
      <c r="B42" s="392"/>
      <c r="C42" s="393" t="s">
        <v>852</v>
      </c>
      <c r="D42" s="370">
        <v>12</v>
      </c>
      <c r="E42" s="372">
        <v>1</v>
      </c>
      <c r="F42" s="354">
        <v>187</v>
      </c>
      <c r="G42" s="355">
        <f t="shared" si="0"/>
        <v>2244</v>
      </c>
      <c r="H42" s="520">
        <v>1573</v>
      </c>
    </row>
    <row r="43" spans="2:8" ht="26.25" thickBot="1">
      <c r="B43" s="355"/>
      <c r="C43" s="393" t="s">
        <v>780</v>
      </c>
      <c r="D43" s="394">
        <v>0</v>
      </c>
      <c r="E43" s="372">
        <f>D21*E21+D22*E22+D23*E23+D24*E24+D26*E26+D27*E27+D28*E28+D29*E29+D30*E30+D31*E31+D32*E32+D33*E33+D34*E34+D35*E35+D36*E36+D37*E37+D38*E38+D39*E39+D40*E40+D41*E41</f>
        <v>21</v>
      </c>
      <c r="F43" s="372">
        <v>27</v>
      </c>
      <c r="G43" s="355">
        <f>E43*F43</f>
        <v>567</v>
      </c>
      <c r="H43" s="523">
        <v>397</v>
      </c>
    </row>
    <row r="44" spans="2:8" ht="15.75" thickBot="1">
      <c r="B44" s="395">
        <v>5014</v>
      </c>
      <c r="C44" s="395" t="s">
        <v>795</v>
      </c>
      <c r="D44" s="396"/>
      <c r="E44" s="397"/>
      <c r="F44" s="398"/>
      <c r="G44" s="399">
        <f>G45+G46+G47+G48+G49</f>
        <v>15688</v>
      </c>
      <c r="H44" s="527">
        <f>H45+H46+H47+H48</f>
        <v>5230</v>
      </c>
    </row>
    <row r="45" spans="2:8" ht="15">
      <c r="B45" s="400"/>
      <c r="C45" s="401" t="s">
        <v>853</v>
      </c>
      <c r="D45" s="402">
        <v>1</v>
      </c>
      <c r="E45" s="403">
        <v>3</v>
      </c>
      <c r="F45" s="404">
        <v>2500</v>
      </c>
      <c r="G45" s="405">
        <f>D45*E45*F45</f>
        <v>7500</v>
      </c>
      <c r="H45" s="528">
        <v>2500</v>
      </c>
    </row>
    <row r="46" spans="2:8" ht="15">
      <c r="B46" s="400"/>
      <c r="C46" s="406" t="s">
        <v>854</v>
      </c>
      <c r="D46" s="402">
        <v>1</v>
      </c>
      <c r="E46" s="403">
        <v>3</v>
      </c>
      <c r="F46" s="404">
        <v>2500</v>
      </c>
      <c r="G46" s="405">
        <f>D46*E46*F46</f>
        <v>7500</v>
      </c>
      <c r="H46" s="528">
        <v>2500</v>
      </c>
    </row>
    <row r="47" spans="2:8" ht="15">
      <c r="B47" s="355"/>
      <c r="C47" s="393" t="s">
        <v>855</v>
      </c>
      <c r="D47" s="394"/>
      <c r="E47" s="372">
        <f>SUM(E44:E46)</f>
        <v>6</v>
      </c>
      <c r="F47" s="372">
        <v>100</v>
      </c>
      <c r="G47" s="355">
        <f>+F47*E47</f>
        <v>600</v>
      </c>
      <c r="H47" s="523">
        <v>200</v>
      </c>
    </row>
    <row r="48" spans="2:8" ht="15">
      <c r="B48" s="355"/>
      <c r="C48" s="393" t="s">
        <v>855</v>
      </c>
      <c r="D48" s="394"/>
      <c r="E48" s="372">
        <v>2</v>
      </c>
      <c r="F48" s="372">
        <v>44</v>
      </c>
      <c r="G48" s="355">
        <f>+F48*E48</f>
        <v>88</v>
      </c>
      <c r="H48" s="523">
        <v>30</v>
      </c>
    </row>
    <row r="49" spans="2:8" ht="26.25" thickBot="1">
      <c r="B49" s="355"/>
      <c r="C49" s="355" t="s">
        <v>856</v>
      </c>
      <c r="D49" s="394"/>
      <c r="E49" s="372">
        <v>0</v>
      </c>
      <c r="F49" s="372">
        <v>1948</v>
      </c>
      <c r="G49" s="355">
        <f>+F49*E49</f>
        <v>0</v>
      </c>
      <c r="H49" s="523"/>
    </row>
    <row r="50" spans="2:8" ht="15.75" thickBot="1">
      <c r="B50" s="395">
        <v>5020</v>
      </c>
      <c r="C50" s="407" t="s">
        <v>857</v>
      </c>
      <c r="D50" s="408"/>
      <c r="E50" s="409"/>
      <c r="F50" s="410"/>
      <c r="G50" s="411">
        <v>17000</v>
      </c>
      <c r="H50" s="529">
        <v>7000</v>
      </c>
    </row>
    <row r="51" spans="2:8" ht="15">
      <c r="B51" s="412"/>
      <c r="C51" s="413" t="s">
        <v>857</v>
      </c>
      <c r="D51" s="414"/>
      <c r="E51" s="415"/>
      <c r="F51" s="416"/>
      <c r="G51" s="417">
        <v>17000</v>
      </c>
      <c r="H51" s="530">
        <v>7000</v>
      </c>
    </row>
    <row r="52" spans="2:8" ht="15.75" thickBot="1">
      <c r="B52" s="418">
        <v>5021</v>
      </c>
      <c r="C52" s="418" t="s">
        <v>727</v>
      </c>
      <c r="D52" s="419"/>
      <c r="E52" s="420"/>
      <c r="F52" s="421"/>
      <c r="G52" s="422">
        <f>SUM(G53:G60)</f>
        <v>88720</v>
      </c>
      <c r="H52" s="531">
        <f>SUM(H53:H61)</f>
        <v>46024</v>
      </c>
    </row>
    <row r="53" spans="2:8" ht="15">
      <c r="B53" s="423">
        <v>5685</v>
      </c>
      <c r="C53" s="423" t="s">
        <v>858</v>
      </c>
      <c r="D53" s="424"/>
      <c r="E53" s="425"/>
      <c r="F53" s="426"/>
      <c r="G53" s="427">
        <v>60000</v>
      </c>
      <c r="H53" s="532">
        <v>20000</v>
      </c>
    </row>
    <row r="54" spans="2:8" ht="15">
      <c r="B54" s="339">
        <v>5686</v>
      </c>
      <c r="C54" s="423" t="s">
        <v>859</v>
      </c>
      <c r="D54" s="428">
        <v>1</v>
      </c>
      <c r="E54" s="429">
        <v>1</v>
      </c>
      <c r="F54" s="430">
        <v>2500</v>
      </c>
      <c r="G54" s="431">
        <f aca="true" t="shared" si="1" ref="G54:G59">D54*E54*F54</f>
        <v>2500</v>
      </c>
      <c r="H54" s="533">
        <v>12500</v>
      </c>
    </row>
    <row r="55" spans="2:8" ht="15">
      <c r="B55" s="339">
        <v>5661</v>
      </c>
      <c r="C55" s="339" t="s">
        <v>860</v>
      </c>
      <c r="D55" s="428"/>
      <c r="E55" s="429">
        <v>40</v>
      </c>
      <c r="F55" s="430">
        <v>195</v>
      </c>
      <c r="G55" s="405">
        <f t="shared" si="1"/>
        <v>0</v>
      </c>
      <c r="H55" s="533"/>
    </row>
    <row r="56" spans="2:8" ht="15">
      <c r="B56" s="339">
        <v>5661</v>
      </c>
      <c r="C56" s="339" t="s">
        <v>861</v>
      </c>
      <c r="D56" s="428"/>
      <c r="E56" s="429">
        <v>1</v>
      </c>
      <c r="F56" s="430">
        <v>3012</v>
      </c>
      <c r="G56" s="405">
        <f t="shared" si="1"/>
        <v>0</v>
      </c>
      <c r="H56" s="533"/>
    </row>
    <row r="57" spans="2:8" ht="15">
      <c r="B57" s="339">
        <v>5661</v>
      </c>
      <c r="C57" s="339" t="s">
        <v>862</v>
      </c>
      <c r="D57" s="428">
        <v>1</v>
      </c>
      <c r="E57" s="429">
        <v>2</v>
      </c>
      <c r="F57" s="430">
        <v>3000</v>
      </c>
      <c r="G57" s="405">
        <f t="shared" si="1"/>
        <v>6000</v>
      </c>
      <c r="H57" s="533">
        <v>3454</v>
      </c>
    </row>
    <row r="58" spans="2:8" ht="15">
      <c r="B58" s="339">
        <v>5661</v>
      </c>
      <c r="C58" s="339" t="s">
        <v>863</v>
      </c>
      <c r="D58" s="428">
        <v>1</v>
      </c>
      <c r="E58" s="429">
        <v>4</v>
      </c>
      <c r="F58" s="430">
        <v>2500</v>
      </c>
      <c r="G58" s="405">
        <f t="shared" si="1"/>
        <v>10000</v>
      </c>
      <c r="H58" s="533">
        <v>5000</v>
      </c>
    </row>
    <row r="59" spans="2:8" ht="15">
      <c r="B59" s="339">
        <v>5661</v>
      </c>
      <c r="C59" s="339" t="s">
        <v>864</v>
      </c>
      <c r="D59" s="428">
        <v>1</v>
      </c>
      <c r="E59" s="429">
        <v>4</v>
      </c>
      <c r="F59" s="430">
        <v>2500</v>
      </c>
      <c r="G59" s="405">
        <f t="shared" si="1"/>
        <v>10000</v>
      </c>
      <c r="H59" s="533">
        <v>5000</v>
      </c>
    </row>
    <row r="60" spans="2:8" ht="15">
      <c r="B60" s="432"/>
      <c r="C60" s="433" t="s">
        <v>794</v>
      </c>
      <c r="D60" s="434"/>
      <c r="E60" s="435">
        <v>5</v>
      </c>
      <c r="F60" s="436">
        <v>44</v>
      </c>
      <c r="G60" s="437">
        <f>+E60*F60</f>
        <v>220</v>
      </c>
      <c r="H60" s="534">
        <v>70</v>
      </c>
    </row>
    <row r="61" spans="2:8" ht="15.75" thickBot="1">
      <c r="B61" s="438"/>
      <c r="C61" s="439"/>
      <c r="D61" s="440"/>
      <c r="E61" s="441"/>
      <c r="F61" s="442"/>
      <c r="G61" s="443"/>
      <c r="H61" s="535"/>
    </row>
    <row r="62" spans="2:12" ht="15.75" thickBot="1">
      <c r="B62" s="444">
        <v>5023</v>
      </c>
      <c r="C62" s="444" t="s">
        <v>738</v>
      </c>
      <c r="D62" s="445"/>
      <c r="E62" s="446"/>
      <c r="F62" s="447"/>
      <c r="G62" s="448">
        <f>+G63+G64</f>
        <v>150176</v>
      </c>
      <c r="H62" s="536">
        <f>H63+H64</f>
        <v>67827.66666666667</v>
      </c>
      <c r="L62" s="449">
        <f>G62+G52</f>
        <v>238896</v>
      </c>
    </row>
    <row r="63" spans="2:8" ht="15">
      <c r="B63" s="423">
        <v>5905</v>
      </c>
      <c r="C63" s="423" t="s">
        <v>865</v>
      </c>
      <c r="D63" s="424"/>
      <c r="E63" s="425">
        <v>1</v>
      </c>
      <c r="F63" s="426">
        <v>1</v>
      </c>
      <c r="G63" s="450">
        <v>150000</v>
      </c>
      <c r="H63" s="532">
        <v>67769</v>
      </c>
    </row>
    <row r="64" spans="2:8" ht="15.75" thickBot="1">
      <c r="B64" s="451"/>
      <c r="C64" s="452" t="s">
        <v>802</v>
      </c>
      <c r="D64" s="434"/>
      <c r="E64" s="435">
        <v>4</v>
      </c>
      <c r="F64" s="436">
        <v>44</v>
      </c>
      <c r="G64" s="437">
        <f>+E64*F64</f>
        <v>176</v>
      </c>
      <c r="H64" s="534">
        <f>50000*176/150000</f>
        <v>58.666666666666664</v>
      </c>
    </row>
    <row r="65" spans="2:8" ht="15.75" thickBot="1">
      <c r="B65" s="395">
        <v>5024</v>
      </c>
      <c r="C65" s="395" t="s">
        <v>782</v>
      </c>
      <c r="D65" s="396"/>
      <c r="E65" s="397"/>
      <c r="F65" s="398"/>
      <c r="G65" s="453">
        <f>SUM(G66:G71)</f>
        <v>897514</v>
      </c>
      <c r="H65" s="527">
        <f>H66+H67+H68+H69+H71+H70</f>
        <v>299172.00000000006</v>
      </c>
    </row>
    <row r="66" spans="2:8" ht="42" customHeight="1">
      <c r="B66" s="454">
        <v>6000</v>
      </c>
      <c r="C66" s="423" t="s">
        <v>866</v>
      </c>
      <c r="D66" s="423">
        <v>1</v>
      </c>
      <c r="E66" s="423">
        <v>1</v>
      </c>
      <c r="F66" s="426">
        <v>692770</v>
      </c>
      <c r="G66" s="427">
        <f>F66*E66*D66</f>
        <v>692770</v>
      </c>
      <c r="H66" s="532">
        <f>692770/3</f>
        <v>230923.33333333334</v>
      </c>
    </row>
    <row r="67" spans="2:8" ht="42" customHeight="1">
      <c r="B67" s="339"/>
      <c r="C67" s="423" t="s">
        <v>591</v>
      </c>
      <c r="D67" s="423">
        <v>1</v>
      </c>
      <c r="E67" s="423">
        <v>1</v>
      </c>
      <c r="F67" s="426">
        <v>105000</v>
      </c>
      <c r="G67" s="427">
        <f>F67*E67*D67</f>
        <v>105000</v>
      </c>
      <c r="H67" s="532">
        <f>105000/3</f>
        <v>35000</v>
      </c>
    </row>
    <row r="68" spans="2:8" ht="15.75" customHeight="1">
      <c r="B68" s="423">
        <v>6000</v>
      </c>
      <c r="C68" s="423" t="s">
        <v>588</v>
      </c>
      <c r="D68" s="423">
        <v>1</v>
      </c>
      <c r="E68" s="423">
        <v>1</v>
      </c>
      <c r="F68" s="426">
        <v>60500</v>
      </c>
      <c r="G68" s="427">
        <f>F68*E68*D68</f>
        <v>60500</v>
      </c>
      <c r="H68" s="532">
        <f>60500/3</f>
        <v>20166.666666666668</v>
      </c>
    </row>
    <row r="69" spans="2:8" ht="25.5">
      <c r="B69" s="455">
        <v>6000</v>
      </c>
      <c r="C69" s="456" t="s">
        <v>786</v>
      </c>
      <c r="D69" s="457"/>
      <c r="E69" s="458">
        <f>E66</f>
        <v>1</v>
      </c>
      <c r="F69" s="459">
        <v>44</v>
      </c>
      <c r="G69" s="460">
        <f>+F69*E69</f>
        <v>44</v>
      </c>
      <c r="H69" s="537">
        <v>15</v>
      </c>
    </row>
    <row r="70" spans="2:8" ht="25.5">
      <c r="B70" s="455">
        <v>6000</v>
      </c>
      <c r="C70" s="456" t="s">
        <v>867</v>
      </c>
      <c r="D70" s="457"/>
      <c r="E70" s="458"/>
      <c r="F70" s="459">
        <v>4320</v>
      </c>
      <c r="G70" s="460">
        <f>+F70*E70</f>
        <v>0</v>
      </c>
      <c r="H70" s="537">
        <v>0</v>
      </c>
    </row>
    <row r="71" spans="2:8" ht="25.5">
      <c r="B71" s="455">
        <v>6000</v>
      </c>
      <c r="C71" s="461" t="s">
        <v>868</v>
      </c>
      <c r="D71" s="457">
        <v>1</v>
      </c>
      <c r="E71" s="458">
        <v>4</v>
      </c>
      <c r="F71" s="459">
        <v>9800</v>
      </c>
      <c r="G71" s="460">
        <f>+F71*E71</f>
        <v>39200</v>
      </c>
      <c r="H71" s="537">
        <v>13067</v>
      </c>
    </row>
    <row r="72" spans="2:8" ht="15.75" thickBot="1">
      <c r="B72" s="418">
        <v>5025</v>
      </c>
      <c r="C72" s="418" t="s">
        <v>787</v>
      </c>
      <c r="D72" s="419"/>
      <c r="E72" s="420"/>
      <c r="F72" s="421"/>
      <c r="G72" s="422">
        <f>SUM(G73:G79)</f>
        <v>45088</v>
      </c>
      <c r="H72" s="531">
        <f>SUM(H73:H79)</f>
        <v>5088</v>
      </c>
    </row>
    <row r="73" spans="2:8" ht="15.75" thickBot="1">
      <c r="B73" s="462">
        <v>6100</v>
      </c>
      <c r="C73" s="463" t="s">
        <v>869</v>
      </c>
      <c r="D73" s="464">
        <v>1</v>
      </c>
      <c r="E73" s="465">
        <v>1</v>
      </c>
      <c r="F73" s="466">
        <v>45000</v>
      </c>
      <c r="G73" s="467">
        <f>D73*E73*F73</f>
        <v>45000</v>
      </c>
      <c r="H73" s="538"/>
    </row>
    <row r="74" spans="2:8" ht="15">
      <c r="B74" s="454">
        <v>6100</v>
      </c>
      <c r="C74" s="463" t="s">
        <v>869</v>
      </c>
      <c r="D74" s="464"/>
      <c r="E74" s="465">
        <v>1</v>
      </c>
      <c r="F74" s="466">
        <v>35000</v>
      </c>
      <c r="G74" s="467">
        <f>D74*E74*F74</f>
        <v>0</v>
      </c>
      <c r="H74" s="538"/>
    </row>
    <row r="75" spans="2:8" ht="15">
      <c r="B75" s="468">
        <v>6100</v>
      </c>
      <c r="C75" s="468" t="s">
        <v>870</v>
      </c>
      <c r="D75" s="424"/>
      <c r="E75" s="469">
        <v>2</v>
      </c>
      <c r="F75" s="426">
        <v>1600</v>
      </c>
      <c r="G75" s="427">
        <f>D75*E75*F75</f>
        <v>0</v>
      </c>
      <c r="H75" s="532">
        <v>3000</v>
      </c>
    </row>
    <row r="76" spans="2:8" ht="15">
      <c r="B76" s="468">
        <v>6100</v>
      </c>
      <c r="C76" s="468" t="s">
        <v>871</v>
      </c>
      <c r="D76" s="424"/>
      <c r="E76" s="426">
        <v>5</v>
      </c>
      <c r="F76" s="426">
        <v>1600</v>
      </c>
      <c r="G76" s="427">
        <f>D76*E76*F76</f>
        <v>0</v>
      </c>
      <c r="H76" s="532">
        <v>2000</v>
      </c>
    </row>
    <row r="77" spans="2:8" ht="15">
      <c r="B77" s="468">
        <v>6100</v>
      </c>
      <c r="C77" s="468" t="s">
        <v>872</v>
      </c>
      <c r="D77" s="424"/>
      <c r="E77" s="426">
        <v>1</v>
      </c>
      <c r="F77" s="426">
        <v>7500</v>
      </c>
      <c r="G77" s="427">
        <f>D77*E77*F77</f>
        <v>0</v>
      </c>
      <c r="H77" s="532"/>
    </row>
    <row r="78" spans="2:8" ht="25.5">
      <c r="B78" s="455">
        <v>6100</v>
      </c>
      <c r="C78" s="456" t="s">
        <v>788</v>
      </c>
      <c r="D78" s="457">
        <v>1</v>
      </c>
      <c r="E78" s="459">
        <v>2</v>
      </c>
      <c r="F78" s="459">
        <v>44</v>
      </c>
      <c r="G78" s="437">
        <f>E78*F78</f>
        <v>88</v>
      </c>
      <c r="H78" s="537">
        <v>88</v>
      </c>
    </row>
    <row r="79" spans="2:8" ht="26.25" thickBot="1">
      <c r="B79" s="455">
        <v>6100</v>
      </c>
      <c r="C79" s="470" t="s">
        <v>867</v>
      </c>
      <c r="D79" s="471"/>
      <c r="E79" s="459"/>
      <c r="F79" s="459">
        <v>4320</v>
      </c>
      <c r="G79" s="437">
        <f>E79*F79</f>
        <v>0</v>
      </c>
      <c r="H79" s="537"/>
    </row>
    <row r="80" spans="2:11" ht="15.75" thickBot="1">
      <c r="B80" s="444">
        <v>5027</v>
      </c>
      <c r="C80" s="444" t="s">
        <v>741</v>
      </c>
      <c r="D80" s="445"/>
      <c r="E80" s="446"/>
      <c r="F80" s="447"/>
      <c r="G80" s="448">
        <f>SUM(G81:G83)</f>
        <v>65003</v>
      </c>
      <c r="H80" s="536">
        <f>H81+H82+H83</f>
        <v>43334</v>
      </c>
      <c r="K80" s="449"/>
    </row>
    <row r="81" spans="2:8" ht="15">
      <c r="B81" s="472">
        <v>6120</v>
      </c>
      <c r="C81" s="473" t="s">
        <v>873</v>
      </c>
      <c r="D81" s="474"/>
      <c r="E81" s="429">
        <v>1</v>
      </c>
      <c r="F81" s="475">
        <v>3</v>
      </c>
      <c r="G81" s="476">
        <f>+E81*F81</f>
        <v>3</v>
      </c>
      <c r="H81" s="539">
        <v>13334</v>
      </c>
    </row>
    <row r="82" spans="2:8" ht="15">
      <c r="B82" s="468">
        <v>6111</v>
      </c>
      <c r="C82" s="477" t="s">
        <v>874</v>
      </c>
      <c r="D82" s="478"/>
      <c r="E82" s="425">
        <v>1</v>
      </c>
      <c r="F82" s="479">
        <v>5000</v>
      </c>
      <c r="G82" s="476">
        <f>+E82*F82</f>
        <v>5000</v>
      </c>
      <c r="H82" s="540">
        <v>5000</v>
      </c>
    </row>
    <row r="83" spans="2:8" ht="15.75" thickBot="1">
      <c r="B83" s="480">
        <v>6116</v>
      </c>
      <c r="C83" s="481" t="s">
        <v>745</v>
      </c>
      <c r="D83" s="482"/>
      <c r="E83" s="483">
        <v>1</v>
      </c>
      <c r="F83" s="484">
        <v>60000</v>
      </c>
      <c r="G83" s="476">
        <f>+E83*F83</f>
        <v>60000</v>
      </c>
      <c r="H83" s="541">
        <v>25000</v>
      </c>
    </row>
    <row r="84" spans="2:8" ht="15" thickBot="1">
      <c r="B84" s="485">
        <v>5028</v>
      </c>
      <c r="C84" s="444" t="s">
        <v>749</v>
      </c>
      <c r="D84" s="445"/>
      <c r="E84" s="486"/>
      <c r="F84" s="487"/>
      <c r="G84" s="488">
        <f>SUM(G85:G88)</f>
        <v>30038</v>
      </c>
      <c r="H84" s="542">
        <f>H85+H86+H87+H88</f>
        <v>14638</v>
      </c>
    </row>
    <row r="85" spans="2:8" ht="14.25">
      <c r="B85" s="468">
        <v>6300</v>
      </c>
      <c r="C85" s="489" t="s">
        <v>806</v>
      </c>
      <c r="D85" s="490"/>
      <c r="E85" s="491">
        <v>1</v>
      </c>
      <c r="F85" s="492">
        <v>10000</v>
      </c>
      <c r="G85" s="493">
        <f>E85*F85</f>
        <v>10000</v>
      </c>
      <c r="H85" s="543">
        <v>5000</v>
      </c>
    </row>
    <row r="86" spans="2:8" ht="15" thickBot="1">
      <c r="B86" s="468">
        <v>6300</v>
      </c>
      <c r="C86" s="489" t="s">
        <v>875</v>
      </c>
      <c r="D86" s="490"/>
      <c r="E86" s="491">
        <v>1</v>
      </c>
      <c r="F86" s="492">
        <v>15000</v>
      </c>
      <c r="G86" s="494">
        <f>E86*F86</f>
        <v>15000</v>
      </c>
      <c r="H86" s="543">
        <v>7000</v>
      </c>
    </row>
    <row r="87" spans="2:12" ht="14.25">
      <c r="B87" s="456">
        <v>6300</v>
      </c>
      <c r="C87" s="495" t="s">
        <v>807</v>
      </c>
      <c r="D87" s="457">
        <f>+E43+12</f>
        <v>33</v>
      </c>
      <c r="E87" s="458"/>
      <c r="F87" s="459">
        <v>130</v>
      </c>
      <c r="G87" s="437">
        <f>D87*F87</f>
        <v>4290</v>
      </c>
      <c r="H87" s="537">
        <v>2290</v>
      </c>
      <c r="J87" s="496"/>
      <c r="K87" s="496"/>
      <c r="L87" s="496"/>
    </row>
    <row r="88" spans="2:8" ht="26.25" thickBot="1">
      <c r="B88" s="495">
        <v>6300</v>
      </c>
      <c r="C88" s="456" t="s">
        <v>808</v>
      </c>
      <c r="D88" s="457"/>
      <c r="E88" s="458">
        <f>10+7</f>
        <v>17</v>
      </c>
      <c r="F88" s="459">
        <v>44</v>
      </c>
      <c r="G88" s="460">
        <f>+E88*F88</f>
        <v>748</v>
      </c>
      <c r="H88" s="537">
        <v>348</v>
      </c>
    </row>
    <row r="89" spans="2:8" ht="26.25" thickBot="1">
      <c r="B89" s="544">
        <v>5050</v>
      </c>
      <c r="C89" s="497" t="s">
        <v>760</v>
      </c>
      <c r="D89" s="498"/>
      <c r="E89" s="486"/>
      <c r="F89" s="487"/>
      <c r="G89" s="488">
        <f>+G90+G91</f>
        <v>13360</v>
      </c>
      <c r="H89" s="542">
        <f>H90+H91</f>
        <v>6120</v>
      </c>
    </row>
    <row r="90" spans="2:8" ht="14.25">
      <c r="B90" s="499"/>
      <c r="C90" s="456" t="s">
        <v>809</v>
      </c>
      <c r="D90" s="500">
        <f>D19*E19+D21*E21+D23*E23+D24*E24+D26*E26+D28*E28+D29*E29+D30*E30+D32*E32+D33*E33+D34*E34</f>
        <v>20</v>
      </c>
      <c r="E90" s="458">
        <v>1</v>
      </c>
      <c r="F90" s="459">
        <v>168</v>
      </c>
      <c r="G90" s="501">
        <f>D90*F90</f>
        <v>3360</v>
      </c>
      <c r="H90" s="537">
        <v>1120</v>
      </c>
    </row>
    <row r="91" spans="2:8" ht="15" thickBot="1">
      <c r="B91" s="499"/>
      <c r="C91" s="499" t="s">
        <v>762</v>
      </c>
      <c r="D91" s="440"/>
      <c r="E91" s="441"/>
      <c r="F91" s="442"/>
      <c r="G91" s="443">
        <v>10000</v>
      </c>
      <c r="H91" s="535">
        <v>5000</v>
      </c>
    </row>
    <row r="92" spans="2:8" ht="15" thickBot="1">
      <c r="B92" s="502"/>
      <c r="C92" s="502" t="s">
        <v>876</v>
      </c>
      <c r="D92" s="503"/>
      <c r="E92" s="504"/>
      <c r="F92" s="505"/>
      <c r="G92" s="506">
        <f>G89+G84+G80+G72+G65+G62+G52+G50+G44+G10</f>
        <v>1322587</v>
      </c>
      <c r="H92" s="545">
        <f>H89+H84+H80+H72+H65+H62+H52+H50+H44+H18+H15+H11</f>
        <v>654206.6666666667</v>
      </c>
    </row>
    <row r="93" spans="2:8" ht="15" thickBot="1">
      <c r="B93" s="508">
        <v>5029</v>
      </c>
      <c r="C93" s="508" t="s">
        <v>811</v>
      </c>
      <c r="D93" s="509"/>
      <c r="E93" s="510"/>
      <c r="F93" s="511"/>
      <c r="G93" s="512">
        <f>+G92*0.07</f>
        <v>92581.09000000001</v>
      </c>
      <c r="H93" s="546">
        <f>H92*7/100</f>
        <v>45794.46666666667</v>
      </c>
    </row>
    <row r="94" spans="2:8" ht="15" thickBot="1">
      <c r="B94" s="758" t="s">
        <v>812</v>
      </c>
      <c r="C94" s="759"/>
      <c r="D94" s="513"/>
      <c r="E94" s="514"/>
      <c r="F94" s="515"/>
      <c r="G94" s="507">
        <f>+G93+G92</f>
        <v>1415168.09</v>
      </c>
      <c r="H94" s="547">
        <f>H92+H93</f>
        <v>700001.1333333334</v>
      </c>
    </row>
  </sheetData>
  <sheetProtection/>
  <mergeCells count="1">
    <mergeCell ref="B94:C94"/>
  </mergeCells>
  <dataValidations count="1">
    <dataValidation allowBlank="1" showInputMessage="1" showErrorMessage="1" prompt="Insert *text* description of Output here" sqref="C66:C68"/>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V224"/>
  <sheetViews>
    <sheetView showGridLines="0" showZeros="0" tabSelected="1" zoomScale="70" zoomScaleNormal="70" zoomScalePageLayoutView="55" workbookViewId="0" topLeftCell="B182">
      <pane xSplit="1" topLeftCell="L1" activePane="topRight" state="frozen"/>
      <selection pane="topLeft" activeCell="B12" sqref="B12"/>
      <selection pane="topRight" activeCell="T197" sqref="T196:T197"/>
    </sheetView>
  </sheetViews>
  <sheetFormatPr defaultColWidth="9.140625" defaultRowHeight="15"/>
  <cols>
    <col min="1" max="1" width="9.140625" style="39" customWidth="1"/>
    <col min="2" max="2" width="30.421875" style="39" customWidth="1"/>
    <col min="3" max="3" width="55.57421875" style="39" customWidth="1"/>
    <col min="4" max="6" width="23.140625" style="39" customWidth="1"/>
    <col min="7" max="8" width="19.421875" style="39" customWidth="1"/>
    <col min="9" max="11" width="24.8515625" style="39" customWidth="1"/>
    <col min="12" max="17" width="23.140625" style="39" customWidth="1"/>
    <col min="18" max="19" width="26.8515625" style="39" customWidth="1"/>
    <col min="20" max="20" width="30.421875" style="39" customWidth="1"/>
    <col min="21" max="21" width="19.421875" style="39" customWidth="1"/>
    <col min="22" max="22" width="22.421875" style="39" customWidth="1"/>
    <col min="23" max="23" width="29.421875" style="39" customWidth="1"/>
    <col min="24" max="24" width="23.421875" style="39" customWidth="1"/>
    <col min="25" max="25" width="18.421875" style="39" customWidth="1"/>
    <col min="26" max="26" width="17.421875" style="39" customWidth="1"/>
    <col min="27" max="27" width="25.140625" style="39" customWidth="1"/>
    <col min="28" max="16384" width="9.140625" style="39" customWidth="1"/>
  </cols>
  <sheetData>
    <row r="1" ht="39.75" customHeight="1">
      <c r="B1" s="680" t="s">
        <v>770</v>
      </c>
    </row>
    <row r="2" spans="2:20" ht="39.75" customHeight="1">
      <c r="B2" s="780" t="s">
        <v>516</v>
      </c>
      <c r="C2" s="780"/>
      <c r="D2" s="780"/>
      <c r="E2" s="780"/>
      <c r="F2" s="37"/>
      <c r="G2" s="37"/>
      <c r="H2" s="37"/>
      <c r="I2" s="37"/>
      <c r="J2" s="37"/>
      <c r="K2" s="38"/>
      <c r="L2" s="37"/>
      <c r="M2" s="37"/>
      <c r="N2" s="37"/>
      <c r="O2" s="37"/>
      <c r="P2" s="37"/>
      <c r="Q2" s="37"/>
      <c r="R2" s="37"/>
      <c r="S2" s="38"/>
      <c r="T2" s="38"/>
    </row>
    <row r="3" ht="39.75" customHeight="1">
      <c r="B3" s="130"/>
    </row>
    <row r="4" ht="39.75" customHeight="1" thickBot="1">
      <c r="B4" s="41"/>
    </row>
    <row r="5" spans="2:21" ht="36">
      <c r="B5" s="105" t="s">
        <v>5</v>
      </c>
      <c r="C5" s="131"/>
      <c r="D5" s="131"/>
      <c r="E5" s="131"/>
      <c r="F5" s="131"/>
      <c r="G5" s="131"/>
      <c r="H5" s="131"/>
      <c r="I5" s="131"/>
      <c r="J5" s="131"/>
      <c r="K5" s="131"/>
      <c r="L5" s="131"/>
      <c r="M5" s="131"/>
      <c r="N5" s="131"/>
      <c r="O5" s="131"/>
      <c r="P5" s="131"/>
      <c r="Q5" s="131"/>
      <c r="R5" s="131"/>
      <c r="S5" s="131"/>
      <c r="T5" s="131"/>
      <c r="U5" s="132"/>
    </row>
    <row r="6" spans="2:21" ht="21" thickBot="1">
      <c r="B6" s="777" t="s">
        <v>574</v>
      </c>
      <c r="C6" s="778"/>
      <c r="D6" s="778"/>
      <c r="E6" s="778"/>
      <c r="F6" s="778"/>
      <c r="G6" s="778"/>
      <c r="H6" s="778"/>
      <c r="I6" s="778"/>
      <c r="J6" s="778"/>
      <c r="K6" s="778"/>
      <c r="L6" s="778"/>
      <c r="M6" s="778"/>
      <c r="N6" s="778"/>
      <c r="O6" s="778"/>
      <c r="P6" s="778"/>
      <c r="Q6" s="778"/>
      <c r="R6" s="778"/>
      <c r="S6" s="778"/>
      <c r="T6" s="778"/>
      <c r="U6" s="779"/>
    </row>
    <row r="7" ht="14.25">
      <c r="B7" s="42"/>
    </row>
    <row r="8" ht="15" thickBot="1"/>
    <row r="9" spans="2:19" ht="26.25" thickBot="1">
      <c r="B9" s="781" t="s">
        <v>373</v>
      </c>
      <c r="C9" s="782"/>
      <c r="D9" s="782"/>
      <c r="E9" s="782"/>
      <c r="F9" s="782"/>
      <c r="G9" s="782"/>
      <c r="H9" s="782"/>
      <c r="I9" s="782"/>
      <c r="J9" s="782"/>
      <c r="K9" s="782"/>
      <c r="L9" s="782"/>
      <c r="M9" s="782"/>
      <c r="N9" s="782"/>
      <c r="O9" s="782"/>
      <c r="P9" s="782"/>
      <c r="Q9" s="782"/>
      <c r="R9" s="782"/>
      <c r="S9" s="783"/>
    </row>
    <row r="12" spans="2:21" ht="123.75">
      <c r="B12" s="682"/>
      <c r="C12" s="95" t="s">
        <v>517</v>
      </c>
      <c r="D12" s="584" t="s">
        <v>652</v>
      </c>
      <c r="E12" s="26" t="s">
        <v>653</v>
      </c>
      <c r="F12" s="26" t="s">
        <v>654</v>
      </c>
      <c r="G12" s="26" t="s">
        <v>651</v>
      </c>
      <c r="H12" s="26" t="s">
        <v>655</v>
      </c>
      <c r="I12" s="26" t="s">
        <v>659</v>
      </c>
      <c r="J12" s="26" t="s">
        <v>13</v>
      </c>
      <c r="K12" s="26" t="s">
        <v>518</v>
      </c>
      <c r="L12" s="699" t="s">
        <v>948</v>
      </c>
      <c r="M12" s="699" t="s">
        <v>948</v>
      </c>
      <c r="N12" s="699" t="s">
        <v>948</v>
      </c>
      <c r="O12" s="699" t="s">
        <v>948</v>
      </c>
      <c r="P12" s="699" t="s">
        <v>948</v>
      </c>
      <c r="Q12" s="699" t="s">
        <v>948</v>
      </c>
      <c r="R12" s="700" t="s">
        <v>13</v>
      </c>
      <c r="S12" s="700" t="s">
        <v>949</v>
      </c>
      <c r="T12" s="26" t="s">
        <v>519</v>
      </c>
      <c r="U12" s="39" t="s">
        <v>887</v>
      </c>
    </row>
    <row r="13" spans="2:20" ht="15">
      <c r="B13" s="46"/>
      <c r="C13" s="46"/>
      <c r="D13" s="146" t="s">
        <v>648</v>
      </c>
      <c r="E13" s="146" t="s">
        <v>649</v>
      </c>
      <c r="F13" s="146" t="s">
        <v>650</v>
      </c>
      <c r="G13" s="146" t="s">
        <v>656</v>
      </c>
      <c r="H13" s="146" t="s">
        <v>657</v>
      </c>
      <c r="I13" s="146" t="s">
        <v>658</v>
      </c>
      <c r="J13" s="26"/>
      <c r="K13" s="46"/>
      <c r="L13" s="699" t="s">
        <v>648</v>
      </c>
      <c r="M13" s="699" t="s">
        <v>649</v>
      </c>
      <c r="N13" s="699" t="s">
        <v>650</v>
      </c>
      <c r="O13" s="699" t="s">
        <v>656</v>
      </c>
      <c r="P13" s="699" t="s">
        <v>657</v>
      </c>
      <c r="Q13" s="699" t="s">
        <v>658</v>
      </c>
      <c r="R13" s="699"/>
      <c r="S13" s="701"/>
      <c r="T13" s="46"/>
    </row>
    <row r="14" spans="2:20" ht="15" customHeight="1">
      <c r="B14" s="93" t="s">
        <v>374</v>
      </c>
      <c r="C14" s="681" t="s">
        <v>581</v>
      </c>
      <c r="D14" s="681"/>
      <c r="E14" s="681"/>
      <c r="F14" s="681"/>
      <c r="G14" s="681"/>
      <c r="H14" s="681"/>
      <c r="I14" s="681"/>
      <c r="J14" s="681"/>
      <c r="K14" s="681"/>
      <c r="L14" s="681"/>
      <c r="M14" s="681"/>
      <c r="N14" s="681"/>
      <c r="O14" s="681"/>
      <c r="P14" s="681"/>
      <c r="Q14" s="681"/>
      <c r="R14" s="681"/>
      <c r="S14" s="681"/>
      <c r="T14" s="681"/>
    </row>
    <row r="15" spans="2:20" ht="36" customHeight="1">
      <c r="B15" s="93" t="s">
        <v>375</v>
      </c>
      <c r="C15" s="784" t="s">
        <v>582</v>
      </c>
      <c r="D15" s="784"/>
      <c r="E15" s="784"/>
      <c r="F15" s="784"/>
      <c r="G15" s="784"/>
      <c r="H15" s="784"/>
      <c r="I15" s="784"/>
      <c r="J15" s="784"/>
      <c r="K15" s="784"/>
      <c r="L15" s="784"/>
      <c r="M15" s="784"/>
      <c r="N15" s="784"/>
      <c r="O15" s="784"/>
      <c r="P15" s="784"/>
      <c r="Q15" s="784"/>
      <c r="R15" s="784"/>
      <c r="S15" s="784"/>
      <c r="T15" s="784"/>
    </row>
    <row r="16" spans="2:21" ht="77.25">
      <c r="B16" s="94" t="s">
        <v>376</v>
      </c>
      <c r="C16" s="638" t="s">
        <v>890</v>
      </c>
      <c r="D16" s="606">
        <f>56000-16000</f>
        <v>40000</v>
      </c>
      <c r="E16" s="606">
        <v>10125</v>
      </c>
      <c r="F16" s="606">
        <v>10125</v>
      </c>
      <c r="G16" s="17"/>
      <c r="H16" s="17">
        <v>0</v>
      </c>
      <c r="I16" s="17"/>
      <c r="J16" s="115">
        <f aca="true" t="shared" si="0" ref="J16:J23">SUM(D16:I16)</f>
        <v>60250</v>
      </c>
      <c r="K16" s="112">
        <v>0.3</v>
      </c>
      <c r="L16" s="17">
        <v>56933.86</v>
      </c>
      <c r="M16" s="17">
        <v>9380.95</v>
      </c>
      <c r="N16" s="17">
        <v>9845.83</v>
      </c>
      <c r="O16" s="688"/>
      <c r="P16" s="688"/>
      <c r="Q16" s="688"/>
      <c r="R16" s="702">
        <f aca="true" t="shared" si="1" ref="R16:R23">SUM(L16:Q16)</f>
        <v>76160.64</v>
      </c>
      <c r="S16" s="683">
        <f aca="true" t="shared" si="2" ref="S16:S21">R16*K16</f>
        <v>22848.192</v>
      </c>
      <c r="T16" s="103" t="s">
        <v>640</v>
      </c>
      <c r="U16" s="39">
        <v>6</v>
      </c>
    </row>
    <row r="17" spans="2:21" ht="61.5">
      <c r="B17" s="94" t="s">
        <v>377</v>
      </c>
      <c r="C17" s="16" t="s">
        <v>629</v>
      </c>
      <c r="D17" s="606">
        <v>11000</v>
      </c>
      <c r="E17" s="606">
        <v>4000</v>
      </c>
      <c r="F17" s="606">
        <v>4000</v>
      </c>
      <c r="G17" s="17"/>
      <c r="H17" s="17">
        <v>0</v>
      </c>
      <c r="I17" s="17"/>
      <c r="J17" s="115">
        <f t="shared" si="0"/>
        <v>19000</v>
      </c>
      <c r="K17" s="112">
        <v>0.3</v>
      </c>
      <c r="L17" s="17">
        <v>12842.2</v>
      </c>
      <c r="M17" s="17">
        <v>4285.53</v>
      </c>
      <c r="N17" s="17">
        <v>1557.09</v>
      </c>
      <c r="O17" s="688"/>
      <c r="P17" s="688"/>
      <c r="Q17" s="688"/>
      <c r="R17" s="702">
        <f t="shared" si="1"/>
        <v>18684.82</v>
      </c>
      <c r="S17" s="683">
        <f t="shared" si="2"/>
        <v>5605.446</v>
      </c>
      <c r="T17" s="103" t="s">
        <v>635</v>
      </c>
      <c r="U17" s="39">
        <v>6</v>
      </c>
    </row>
    <row r="18" spans="2:21" ht="77.25">
      <c r="B18" s="94" t="s">
        <v>378</v>
      </c>
      <c r="C18" s="16" t="s">
        <v>630</v>
      </c>
      <c r="D18" s="606">
        <f>198550-20000-2977.37383177574</f>
        <v>175572.62616822426</v>
      </c>
      <c r="E18" s="606">
        <v>51580</v>
      </c>
      <c r="F18" s="606">
        <v>51580</v>
      </c>
      <c r="G18" s="17"/>
      <c r="H18" s="17">
        <v>0</v>
      </c>
      <c r="I18" s="17"/>
      <c r="J18" s="115">
        <f t="shared" si="0"/>
        <v>278732.62616822426</v>
      </c>
      <c r="K18" s="112">
        <v>0.3</v>
      </c>
      <c r="L18" s="733">
        <v>164125.02</v>
      </c>
      <c r="M18" s="17">
        <v>46350</v>
      </c>
      <c r="N18" s="17">
        <v>54744.5</v>
      </c>
      <c r="O18" s="688"/>
      <c r="P18" s="691"/>
      <c r="Q18" s="688"/>
      <c r="R18" s="702">
        <f t="shared" si="1"/>
        <v>265219.52</v>
      </c>
      <c r="S18" s="683">
        <f t="shared" si="2"/>
        <v>79565.856</v>
      </c>
      <c r="T18" s="103" t="s">
        <v>641</v>
      </c>
      <c r="U18" s="39">
        <v>6</v>
      </c>
    </row>
    <row r="19" spans="2:21" ht="61.5">
      <c r="B19" s="94" t="s">
        <v>379</v>
      </c>
      <c r="C19" s="144" t="s">
        <v>631</v>
      </c>
      <c r="D19" s="606">
        <v>6000</v>
      </c>
      <c r="E19" s="606">
        <v>2000</v>
      </c>
      <c r="F19" s="606">
        <v>2000</v>
      </c>
      <c r="G19" s="17"/>
      <c r="H19" s="17"/>
      <c r="I19" s="17"/>
      <c r="J19" s="115">
        <f t="shared" si="0"/>
        <v>10000</v>
      </c>
      <c r="K19" s="112">
        <v>0.3</v>
      </c>
      <c r="L19" s="17">
        <v>8371.53</v>
      </c>
      <c r="M19" s="17">
        <v>1800</v>
      </c>
      <c r="N19" s="17">
        <v>0</v>
      </c>
      <c r="O19" s="688"/>
      <c r="P19" s="688"/>
      <c r="Q19" s="688"/>
      <c r="R19" s="702">
        <f t="shared" si="1"/>
        <v>10171.53</v>
      </c>
      <c r="S19" s="683">
        <f t="shared" si="2"/>
        <v>3051.4590000000003</v>
      </c>
      <c r="T19" s="103" t="s">
        <v>636</v>
      </c>
      <c r="U19" s="39">
        <v>4</v>
      </c>
    </row>
    <row r="20" spans="2:20" ht="61.5">
      <c r="B20" s="94" t="s">
        <v>380</v>
      </c>
      <c r="C20" s="641" t="s">
        <v>891</v>
      </c>
      <c r="D20" s="664">
        <v>30000</v>
      </c>
      <c r="E20" s="664">
        <f>20000-5000</f>
        <v>15000</v>
      </c>
      <c r="F20" s="664">
        <f>20000-5000</f>
        <v>15000</v>
      </c>
      <c r="G20" s="606"/>
      <c r="H20" s="606"/>
      <c r="I20" s="606"/>
      <c r="J20" s="115">
        <f t="shared" si="0"/>
        <v>60000</v>
      </c>
      <c r="K20" s="639">
        <v>0.3</v>
      </c>
      <c r="L20" s="688">
        <v>2890.96</v>
      </c>
      <c r="M20" s="17">
        <v>0</v>
      </c>
      <c r="N20" s="688">
        <v>7982.18</v>
      </c>
      <c r="O20" s="688"/>
      <c r="P20" s="688"/>
      <c r="Q20" s="688"/>
      <c r="R20" s="702">
        <f t="shared" si="1"/>
        <v>10873.14</v>
      </c>
      <c r="S20" s="690">
        <f t="shared" si="2"/>
        <v>3261.9419999999996</v>
      </c>
      <c r="T20" s="103" t="s">
        <v>638</v>
      </c>
    </row>
    <row r="21" spans="2:20" ht="61.5">
      <c r="B21" s="94" t="s">
        <v>381</v>
      </c>
      <c r="C21" s="641" t="s">
        <v>892</v>
      </c>
      <c r="D21" s="664">
        <v>40000</v>
      </c>
      <c r="E21" s="664">
        <f>30000-7039.44859813081</f>
        <v>22960.55140186919</v>
      </c>
      <c r="F21" s="664">
        <f>30000-7039.44859813081</f>
        <v>22960.55140186919</v>
      </c>
      <c r="G21" s="606"/>
      <c r="H21" s="606"/>
      <c r="I21" s="606"/>
      <c r="J21" s="115">
        <f t="shared" si="0"/>
        <v>85921.10280373838</v>
      </c>
      <c r="K21" s="639">
        <v>0.3</v>
      </c>
      <c r="L21" s="688">
        <v>0</v>
      </c>
      <c r="M21" s="17">
        <v>0</v>
      </c>
      <c r="N21" s="688">
        <v>11403.12</v>
      </c>
      <c r="O21" s="688"/>
      <c r="P21" s="688"/>
      <c r="Q21" s="688"/>
      <c r="R21" s="702">
        <f t="shared" si="1"/>
        <v>11403.12</v>
      </c>
      <c r="S21" s="690">
        <f t="shared" si="2"/>
        <v>3420.936</v>
      </c>
      <c r="T21" s="103" t="s">
        <v>638</v>
      </c>
    </row>
    <row r="22" spans="2:20" ht="15">
      <c r="B22" s="94" t="s">
        <v>382</v>
      </c>
      <c r="C22" s="637"/>
      <c r="D22" s="18"/>
      <c r="E22" s="18"/>
      <c r="F22" s="18"/>
      <c r="G22" s="18"/>
      <c r="H22" s="18"/>
      <c r="I22" s="18"/>
      <c r="J22" s="115">
        <f t="shared" si="0"/>
        <v>0</v>
      </c>
      <c r="K22" s="113"/>
      <c r="L22" s="688"/>
      <c r="M22" s="688"/>
      <c r="N22" s="688"/>
      <c r="O22" s="688"/>
      <c r="P22" s="688"/>
      <c r="Q22" s="688"/>
      <c r="R22" s="702">
        <f t="shared" si="1"/>
        <v>0</v>
      </c>
      <c r="S22" s="113"/>
      <c r="T22" s="104"/>
    </row>
    <row r="23" spans="1:20" ht="15">
      <c r="A23" s="40"/>
      <c r="B23" s="94" t="s">
        <v>383</v>
      </c>
      <c r="C23" s="637"/>
      <c r="D23" s="18"/>
      <c r="E23" s="18"/>
      <c r="F23" s="18"/>
      <c r="G23" s="18"/>
      <c r="H23" s="18"/>
      <c r="I23" s="18"/>
      <c r="J23" s="115">
        <f t="shared" si="0"/>
        <v>0</v>
      </c>
      <c r="K23" s="113"/>
      <c r="L23" s="18"/>
      <c r="M23" s="18"/>
      <c r="N23" s="18"/>
      <c r="O23" s="18"/>
      <c r="P23" s="615"/>
      <c r="Q23" s="18"/>
      <c r="R23" s="702">
        <f t="shared" si="1"/>
        <v>0</v>
      </c>
      <c r="S23" s="113"/>
      <c r="T23" s="104"/>
    </row>
    <row r="24" spans="1:20" ht="15">
      <c r="A24" s="40"/>
      <c r="C24" s="95" t="s">
        <v>520</v>
      </c>
      <c r="D24" s="19">
        <f aca="true" t="shared" si="3" ref="D24:J24">SUM(D16:D23)</f>
        <v>302572.62616822426</v>
      </c>
      <c r="E24" s="19">
        <f t="shared" si="3"/>
        <v>105665.55140186919</v>
      </c>
      <c r="F24" s="19">
        <f t="shared" si="3"/>
        <v>105665.55140186919</v>
      </c>
      <c r="G24" s="19">
        <f t="shared" si="3"/>
        <v>0</v>
      </c>
      <c r="H24" s="19">
        <f t="shared" si="3"/>
        <v>0</v>
      </c>
      <c r="I24" s="19">
        <f t="shared" si="3"/>
        <v>0</v>
      </c>
      <c r="J24" s="19">
        <f t="shared" si="3"/>
        <v>513903.72897196264</v>
      </c>
      <c r="K24" s="19">
        <f>(K16*J16)+(K17*J17)+(K18*J18)+(K19*J19)+(K20*J20)+(K21*J21)+(K22*J22)+(K23*J23)</f>
        <v>154171.11869158878</v>
      </c>
      <c r="L24" s="703">
        <f aca="true" t="shared" si="4" ref="L24:Q24">SUM(L16:L23)</f>
        <v>245163.56999999998</v>
      </c>
      <c r="M24" s="703">
        <f t="shared" si="4"/>
        <v>61816.479999999996</v>
      </c>
      <c r="N24" s="703">
        <f t="shared" si="4"/>
        <v>85532.72</v>
      </c>
      <c r="O24" s="703">
        <f t="shared" si="4"/>
        <v>0</v>
      </c>
      <c r="P24" s="703">
        <f t="shared" si="4"/>
        <v>0</v>
      </c>
      <c r="Q24" s="703">
        <f t="shared" si="4"/>
        <v>0</v>
      </c>
      <c r="R24" s="703">
        <f>SUM(R16:R23)</f>
        <v>392512.77</v>
      </c>
      <c r="S24" s="703">
        <f>SUM(S16:S23)</f>
        <v>117753.831</v>
      </c>
      <c r="T24" s="104"/>
    </row>
    <row r="25" spans="1:20" ht="15">
      <c r="A25" s="40"/>
      <c r="B25" s="93" t="s">
        <v>384</v>
      </c>
      <c r="C25" s="784" t="s">
        <v>583</v>
      </c>
      <c r="D25" s="784"/>
      <c r="E25" s="784"/>
      <c r="F25" s="784"/>
      <c r="G25" s="784"/>
      <c r="H25" s="784"/>
      <c r="I25" s="784"/>
      <c r="J25" s="784"/>
      <c r="K25" s="784"/>
      <c r="L25" s="784"/>
      <c r="M25" s="784"/>
      <c r="N25" s="784"/>
      <c r="O25" s="784"/>
      <c r="P25" s="784"/>
      <c r="Q25" s="784"/>
      <c r="R25" s="784"/>
      <c r="S25" s="784"/>
      <c r="T25" s="784"/>
    </row>
    <row r="26" spans="1:21" ht="46.5">
      <c r="A26" s="40"/>
      <c r="B26" s="94" t="s">
        <v>385</v>
      </c>
      <c r="C26" s="145" t="s">
        <v>632</v>
      </c>
      <c r="D26" s="664">
        <v>8661.5</v>
      </c>
      <c r="E26" s="664">
        <v>8661.5</v>
      </c>
      <c r="F26" s="664">
        <v>8661.5</v>
      </c>
      <c r="G26" s="17"/>
      <c r="H26" s="17">
        <v>0</v>
      </c>
      <c r="I26" s="17"/>
      <c r="J26" s="115">
        <f aca="true" t="shared" si="5" ref="J26:J33">SUM(D26:I26)</f>
        <v>25984.5</v>
      </c>
      <c r="K26" s="112">
        <v>0.3</v>
      </c>
      <c r="L26" s="17">
        <v>6202.55</v>
      </c>
      <c r="M26" s="17">
        <v>7743.6</v>
      </c>
      <c r="N26" s="17">
        <v>8537.64</v>
      </c>
      <c r="O26" s="688"/>
      <c r="P26" s="688"/>
      <c r="Q26" s="688"/>
      <c r="R26" s="702">
        <f aca="true" t="shared" si="6" ref="R26:R33">SUM(L26:Q26)</f>
        <v>22483.79</v>
      </c>
      <c r="S26" s="683">
        <f aca="true" t="shared" si="7" ref="S26:S31">R26*K26</f>
        <v>6745.137</v>
      </c>
      <c r="T26" s="103" t="s">
        <v>637</v>
      </c>
      <c r="U26" s="39">
        <v>4</v>
      </c>
    </row>
    <row r="27" spans="1:21" ht="61.5">
      <c r="A27" s="40"/>
      <c r="B27" s="94" t="s">
        <v>386</v>
      </c>
      <c r="C27" s="145" t="s">
        <v>633</v>
      </c>
      <c r="D27" s="664">
        <v>15760</v>
      </c>
      <c r="E27" s="664">
        <f>30740-15000</f>
        <v>15740</v>
      </c>
      <c r="F27" s="664">
        <f>30740-15000</f>
        <v>15740</v>
      </c>
      <c r="G27" s="17"/>
      <c r="H27" s="17">
        <v>0</v>
      </c>
      <c r="I27" s="17"/>
      <c r="J27" s="115">
        <f t="shared" si="5"/>
        <v>47240</v>
      </c>
      <c r="K27" s="112">
        <v>0.3</v>
      </c>
      <c r="L27" s="17">
        <v>9830.36</v>
      </c>
      <c r="M27" s="17">
        <v>38093.6</v>
      </c>
      <c r="N27" s="17">
        <v>38120.85</v>
      </c>
      <c r="O27" s="688"/>
      <c r="P27" s="688"/>
      <c r="Q27" s="688"/>
      <c r="R27" s="702">
        <f t="shared" si="6"/>
        <v>86044.81</v>
      </c>
      <c r="S27" s="683">
        <f t="shared" si="7"/>
        <v>25813.443</v>
      </c>
      <c r="T27" s="103" t="s">
        <v>638</v>
      </c>
      <c r="U27" s="39">
        <v>2</v>
      </c>
    </row>
    <row r="28" spans="1:21" ht="77.25">
      <c r="A28" s="40"/>
      <c r="B28" s="94" t="s">
        <v>387</v>
      </c>
      <c r="C28" s="145" t="s">
        <v>634</v>
      </c>
      <c r="D28" s="664">
        <v>14625</v>
      </c>
      <c r="E28" s="664">
        <v>4195</v>
      </c>
      <c r="F28" s="664">
        <v>4195</v>
      </c>
      <c r="G28" s="17"/>
      <c r="H28" s="17">
        <v>0</v>
      </c>
      <c r="I28" s="17"/>
      <c r="J28" s="115">
        <f t="shared" si="5"/>
        <v>23015</v>
      </c>
      <c r="K28" s="112">
        <v>0.3</v>
      </c>
      <c r="L28" s="17">
        <v>16126.63</v>
      </c>
      <c r="M28" s="17">
        <v>3333.19</v>
      </c>
      <c r="N28" s="17">
        <v>2076.12</v>
      </c>
      <c r="O28" s="688"/>
      <c r="P28" s="688"/>
      <c r="Q28" s="688"/>
      <c r="R28" s="702">
        <f t="shared" si="6"/>
        <v>21535.94</v>
      </c>
      <c r="S28" s="683">
        <f t="shared" si="7"/>
        <v>6460.781999999999</v>
      </c>
      <c r="T28" s="103" t="s">
        <v>639</v>
      </c>
      <c r="U28" s="39">
        <v>2</v>
      </c>
    </row>
    <row r="29" spans="1:20" ht="46.5">
      <c r="A29" s="40"/>
      <c r="B29" s="94" t="s">
        <v>388</v>
      </c>
      <c r="C29" s="641" t="s">
        <v>893</v>
      </c>
      <c r="D29" s="664">
        <v>25000</v>
      </c>
      <c r="E29" s="664">
        <v>20000</v>
      </c>
      <c r="F29" s="664">
        <v>20000</v>
      </c>
      <c r="G29" s="606"/>
      <c r="H29" s="606"/>
      <c r="I29" s="606"/>
      <c r="J29" s="115">
        <f t="shared" si="5"/>
        <v>65000</v>
      </c>
      <c r="K29" s="639">
        <v>0.3</v>
      </c>
      <c r="L29" s="664"/>
      <c r="M29" s="664"/>
      <c r="N29" s="664"/>
      <c r="O29" s="606"/>
      <c r="P29" s="693"/>
      <c r="Q29" s="606"/>
      <c r="R29" s="705">
        <f t="shared" si="6"/>
        <v>0</v>
      </c>
      <c r="S29" s="690">
        <f t="shared" si="7"/>
        <v>0</v>
      </c>
      <c r="T29" s="640"/>
    </row>
    <row r="30" spans="1:20" ht="61.5">
      <c r="A30" s="40"/>
      <c r="B30" s="94" t="s">
        <v>389</v>
      </c>
      <c r="C30" s="641" t="s">
        <v>894</v>
      </c>
      <c r="D30" s="664">
        <v>30000</v>
      </c>
      <c r="E30" s="664">
        <v>20000</v>
      </c>
      <c r="F30" s="664">
        <v>20000</v>
      </c>
      <c r="G30" s="606"/>
      <c r="H30" s="606"/>
      <c r="I30" s="606"/>
      <c r="J30" s="115">
        <f t="shared" si="5"/>
        <v>70000</v>
      </c>
      <c r="K30" s="639">
        <v>0.3</v>
      </c>
      <c r="L30" s="664"/>
      <c r="M30" s="664"/>
      <c r="N30" s="664"/>
      <c r="O30" s="606"/>
      <c r="P30" s="693"/>
      <c r="Q30" s="606"/>
      <c r="R30" s="705">
        <f t="shared" si="6"/>
        <v>0</v>
      </c>
      <c r="S30" s="690">
        <f t="shared" si="7"/>
        <v>0</v>
      </c>
      <c r="T30" s="640" t="s">
        <v>936</v>
      </c>
    </row>
    <row r="31" spans="1:20" ht="15">
      <c r="A31" s="40"/>
      <c r="B31" s="94" t="s">
        <v>390</v>
      </c>
      <c r="C31" s="16"/>
      <c r="D31" s="17"/>
      <c r="E31" s="17"/>
      <c r="F31" s="17"/>
      <c r="G31" s="17"/>
      <c r="H31" s="17"/>
      <c r="I31" s="17"/>
      <c r="J31" s="115">
        <f t="shared" si="5"/>
        <v>0</v>
      </c>
      <c r="K31" s="112"/>
      <c r="L31" s="17"/>
      <c r="M31" s="17"/>
      <c r="N31" s="17"/>
      <c r="O31" s="17"/>
      <c r="P31" s="615"/>
      <c r="Q31" s="17"/>
      <c r="R31" s="702">
        <f t="shared" si="6"/>
        <v>0</v>
      </c>
      <c r="S31" s="683">
        <f t="shared" si="7"/>
        <v>0</v>
      </c>
      <c r="T31" s="103"/>
    </row>
    <row r="32" spans="1:20" ht="20.25" customHeight="1">
      <c r="A32" s="40"/>
      <c r="B32" s="94" t="s">
        <v>391</v>
      </c>
      <c r="C32" s="637"/>
      <c r="D32" s="18"/>
      <c r="E32" s="18"/>
      <c r="F32" s="18"/>
      <c r="G32" s="18"/>
      <c r="H32" s="18"/>
      <c r="I32" s="18"/>
      <c r="J32" s="115">
        <f t="shared" si="5"/>
        <v>0</v>
      </c>
      <c r="K32" s="113"/>
      <c r="L32" s="17"/>
      <c r="M32" s="17"/>
      <c r="N32" s="17"/>
      <c r="O32" s="17"/>
      <c r="P32" s="615"/>
      <c r="Q32" s="17"/>
      <c r="R32" s="702">
        <f t="shared" si="6"/>
        <v>0</v>
      </c>
      <c r="S32" s="113"/>
      <c r="T32" s="104"/>
    </row>
    <row r="33" spans="1:20" ht="15">
      <c r="A33" s="40"/>
      <c r="B33" s="94" t="s">
        <v>392</v>
      </c>
      <c r="C33" s="637"/>
      <c r="D33" s="18"/>
      <c r="E33" s="18"/>
      <c r="F33" s="18"/>
      <c r="G33" s="18"/>
      <c r="H33" s="18"/>
      <c r="I33" s="18"/>
      <c r="J33" s="115">
        <f t="shared" si="5"/>
        <v>0</v>
      </c>
      <c r="K33" s="113"/>
      <c r="L33" s="18"/>
      <c r="M33" s="18"/>
      <c r="N33" s="18"/>
      <c r="O33" s="18"/>
      <c r="P33" s="615"/>
      <c r="Q33" s="18"/>
      <c r="R33" s="702">
        <f t="shared" si="6"/>
        <v>0</v>
      </c>
      <c r="S33" s="113"/>
      <c r="T33" s="104"/>
    </row>
    <row r="34" spans="1:20" ht="15">
      <c r="A34" s="40"/>
      <c r="C34" s="95" t="s">
        <v>520</v>
      </c>
      <c r="D34" s="22">
        <f aca="true" t="shared" si="8" ref="D34:J34">SUM(D26:D33)</f>
        <v>94046.5</v>
      </c>
      <c r="E34" s="22">
        <f t="shared" si="8"/>
        <v>68596.5</v>
      </c>
      <c r="F34" s="22">
        <f t="shared" si="8"/>
        <v>68596.5</v>
      </c>
      <c r="G34" s="22">
        <f t="shared" si="8"/>
        <v>0</v>
      </c>
      <c r="H34" s="22">
        <f t="shared" si="8"/>
        <v>0</v>
      </c>
      <c r="I34" s="22">
        <f t="shared" si="8"/>
        <v>0</v>
      </c>
      <c r="J34" s="22">
        <f t="shared" si="8"/>
        <v>231239.5</v>
      </c>
      <c r="K34" s="19">
        <f>(K26*J26)+(K27*J27)+(K28*J28)+(K29*J29)+(K30*J30)+(K31*J31)+(K32*J32)+(K33*J33)</f>
        <v>69371.85</v>
      </c>
      <c r="L34" s="704">
        <f>SUM(L26:L33)</f>
        <v>32159.54</v>
      </c>
      <c r="M34" s="704">
        <f aca="true" t="shared" si="9" ref="M34:R34">SUM(M26:M33)</f>
        <v>49170.39</v>
      </c>
      <c r="N34" s="704">
        <f t="shared" si="9"/>
        <v>48734.61</v>
      </c>
      <c r="O34" s="704">
        <f t="shared" si="9"/>
        <v>0</v>
      </c>
      <c r="P34" s="704">
        <f t="shared" si="9"/>
        <v>0</v>
      </c>
      <c r="Q34" s="704">
        <f t="shared" si="9"/>
        <v>0</v>
      </c>
      <c r="R34" s="704">
        <f t="shared" si="9"/>
        <v>130064.54000000001</v>
      </c>
      <c r="S34" s="19">
        <f>SUM(S26:S33)</f>
        <v>39019.361999999994</v>
      </c>
      <c r="T34" s="104"/>
    </row>
    <row r="35" spans="1:20" ht="15">
      <c r="A35" s="40"/>
      <c r="B35" s="93" t="s">
        <v>393</v>
      </c>
      <c r="C35" s="784"/>
      <c r="D35" s="784"/>
      <c r="E35" s="784"/>
      <c r="F35" s="784"/>
      <c r="G35" s="784"/>
      <c r="H35" s="784"/>
      <c r="I35" s="784"/>
      <c r="J35" s="784"/>
      <c r="K35" s="784"/>
      <c r="L35" s="784"/>
      <c r="M35" s="784"/>
      <c r="N35" s="784"/>
      <c r="O35" s="784"/>
      <c r="P35" s="784"/>
      <c r="Q35" s="784"/>
      <c r="R35" s="784"/>
      <c r="S35" s="784"/>
      <c r="T35" s="784"/>
    </row>
    <row r="36" spans="1:21" ht="15">
      <c r="A36" s="40"/>
      <c r="B36" s="94" t="s">
        <v>394</v>
      </c>
      <c r="C36" s="16"/>
      <c r="D36" s="17"/>
      <c r="E36" s="17"/>
      <c r="F36" s="17"/>
      <c r="G36" s="17"/>
      <c r="H36" s="17"/>
      <c r="I36" s="17"/>
      <c r="J36" s="115">
        <f aca="true" t="shared" si="10" ref="J36:J43">SUM(D36:I36)</f>
        <v>0</v>
      </c>
      <c r="K36" s="112"/>
      <c r="L36" s="17"/>
      <c r="M36" s="17"/>
      <c r="N36" s="17"/>
      <c r="O36" s="17"/>
      <c r="P36" s="615"/>
      <c r="Q36" s="17"/>
      <c r="R36" s="702">
        <f aca="true" t="shared" si="11" ref="R36:R43">SUM(L36:Q36)</f>
        <v>0</v>
      </c>
      <c r="S36" s="112"/>
      <c r="T36" s="103"/>
      <c r="U36" s="39">
        <v>2</v>
      </c>
    </row>
    <row r="37" spans="1:21" ht="15">
      <c r="A37" s="40"/>
      <c r="B37" s="94" t="s">
        <v>395</v>
      </c>
      <c r="C37" s="16"/>
      <c r="D37" s="17"/>
      <c r="E37" s="17"/>
      <c r="F37" s="17"/>
      <c r="G37" s="17"/>
      <c r="H37" s="17"/>
      <c r="I37" s="17"/>
      <c r="J37" s="115">
        <f t="shared" si="10"/>
        <v>0</v>
      </c>
      <c r="K37" s="112"/>
      <c r="L37" s="17"/>
      <c r="M37" s="17"/>
      <c r="N37" s="17"/>
      <c r="O37" s="17"/>
      <c r="P37" s="615"/>
      <c r="Q37" s="17"/>
      <c r="R37" s="702">
        <f t="shared" si="11"/>
        <v>0</v>
      </c>
      <c r="S37" s="112"/>
      <c r="T37" s="103"/>
      <c r="U37" s="39">
        <v>2</v>
      </c>
    </row>
    <row r="38" spans="1:20" ht="15">
      <c r="A38" s="40"/>
      <c r="B38" s="94" t="s">
        <v>396</v>
      </c>
      <c r="C38" s="16"/>
      <c r="D38" s="17"/>
      <c r="E38" s="17"/>
      <c r="F38" s="17"/>
      <c r="G38" s="17"/>
      <c r="H38" s="17"/>
      <c r="I38" s="17"/>
      <c r="J38" s="115">
        <f t="shared" si="10"/>
        <v>0</v>
      </c>
      <c r="K38" s="112"/>
      <c r="L38" s="17"/>
      <c r="M38" s="17"/>
      <c r="N38" s="17"/>
      <c r="O38" s="17"/>
      <c r="P38" s="615"/>
      <c r="Q38" s="17"/>
      <c r="R38" s="702">
        <f t="shared" si="11"/>
        <v>0</v>
      </c>
      <c r="S38" s="112"/>
      <c r="T38" s="103"/>
    </row>
    <row r="39" spans="1:20" ht="15">
      <c r="A39" s="40"/>
      <c r="B39" s="94" t="s">
        <v>397</v>
      </c>
      <c r="C39" s="16"/>
      <c r="D39" s="17"/>
      <c r="E39" s="17"/>
      <c r="F39" s="17"/>
      <c r="G39" s="17"/>
      <c r="H39" s="17"/>
      <c r="I39" s="17"/>
      <c r="J39" s="115">
        <f t="shared" si="10"/>
        <v>0</v>
      </c>
      <c r="K39" s="112"/>
      <c r="L39" s="17"/>
      <c r="M39" s="17"/>
      <c r="N39" s="17"/>
      <c r="O39" s="17"/>
      <c r="P39" s="615"/>
      <c r="Q39" s="17"/>
      <c r="R39" s="702">
        <f t="shared" si="11"/>
        <v>0</v>
      </c>
      <c r="S39" s="112"/>
      <c r="T39" s="103"/>
    </row>
    <row r="40" spans="2:20" s="40" customFormat="1" ht="15">
      <c r="B40" s="94" t="s">
        <v>398</v>
      </c>
      <c r="C40" s="16"/>
      <c r="D40" s="17"/>
      <c r="E40" s="17"/>
      <c r="F40" s="17"/>
      <c r="G40" s="17"/>
      <c r="H40" s="17"/>
      <c r="I40" s="17"/>
      <c r="J40" s="115">
        <f t="shared" si="10"/>
        <v>0</v>
      </c>
      <c r="K40" s="112"/>
      <c r="L40" s="17"/>
      <c r="M40" s="17"/>
      <c r="N40" s="17"/>
      <c r="O40" s="17"/>
      <c r="P40" s="615"/>
      <c r="Q40" s="17"/>
      <c r="R40" s="702">
        <f t="shared" si="11"/>
        <v>0</v>
      </c>
      <c r="S40" s="112"/>
      <c r="T40" s="103"/>
    </row>
    <row r="41" spans="2:20" s="40" customFormat="1" ht="15">
      <c r="B41" s="94" t="s">
        <v>399</v>
      </c>
      <c r="C41" s="16"/>
      <c r="D41" s="17"/>
      <c r="E41" s="17"/>
      <c r="F41" s="17"/>
      <c r="G41" s="17"/>
      <c r="H41" s="17"/>
      <c r="I41" s="17"/>
      <c r="J41" s="115">
        <f t="shared" si="10"/>
        <v>0</v>
      </c>
      <c r="K41" s="112"/>
      <c r="L41" s="17"/>
      <c r="M41" s="17"/>
      <c r="N41" s="17"/>
      <c r="O41" s="17"/>
      <c r="P41" s="615"/>
      <c r="Q41" s="17"/>
      <c r="R41" s="702">
        <f t="shared" si="11"/>
        <v>0</v>
      </c>
      <c r="S41" s="112"/>
      <c r="T41" s="103"/>
    </row>
    <row r="42" spans="1:20" s="40" customFormat="1" ht="15">
      <c r="A42" s="39"/>
      <c r="B42" s="94" t="s">
        <v>400</v>
      </c>
      <c r="C42" s="637"/>
      <c r="D42" s="18"/>
      <c r="E42" s="18"/>
      <c r="F42" s="18"/>
      <c r="G42" s="18"/>
      <c r="H42" s="18"/>
      <c r="I42" s="18"/>
      <c r="J42" s="115">
        <f t="shared" si="10"/>
        <v>0</v>
      </c>
      <c r="K42" s="113"/>
      <c r="L42" s="17"/>
      <c r="M42" s="17"/>
      <c r="N42" s="17"/>
      <c r="O42" s="17"/>
      <c r="P42" s="615"/>
      <c r="Q42" s="17"/>
      <c r="R42" s="702">
        <f t="shared" si="11"/>
        <v>0</v>
      </c>
      <c r="S42" s="113"/>
      <c r="T42" s="104"/>
    </row>
    <row r="43" spans="2:20" ht="15">
      <c r="B43" s="94" t="s">
        <v>401</v>
      </c>
      <c r="C43" s="637"/>
      <c r="D43" s="18"/>
      <c r="E43" s="18"/>
      <c r="F43" s="18"/>
      <c r="G43" s="18"/>
      <c r="H43" s="18"/>
      <c r="I43" s="18"/>
      <c r="J43" s="115">
        <f t="shared" si="10"/>
        <v>0</v>
      </c>
      <c r="K43" s="113"/>
      <c r="L43" s="17"/>
      <c r="M43" s="17"/>
      <c r="N43" s="17"/>
      <c r="O43" s="17"/>
      <c r="P43" s="615"/>
      <c r="Q43" s="17"/>
      <c r="R43" s="702">
        <f t="shared" si="11"/>
        <v>0</v>
      </c>
      <c r="S43" s="113"/>
      <c r="T43" s="104"/>
    </row>
    <row r="44" spans="3:20" ht="15">
      <c r="C44" s="95" t="s">
        <v>520</v>
      </c>
      <c r="D44" s="22">
        <f aca="true" t="shared" si="12" ref="D44:J44">SUM(D36:D43)</f>
        <v>0</v>
      </c>
      <c r="E44" s="22">
        <f t="shared" si="12"/>
        <v>0</v>
      </c>
      <c r="F44" s="22">
        <f t="shared" si="12"/>
        <v>0</v>
      </c>
      <c r="G44" s="22">
        <f t="shared" si="12"/>
        <v>0</v>
      </c>
      <c r="H44" s="22">
        <f t="shared" si="12"/>
        <v>0</v>
      </c>
      <c r="I44" s="22">
        <f t="shared" si="12"/>
        <v>0</v>
      </c>
      <c r="J44" s="22">
        <f t="shared" si="12"/>
        <v>0</v>
      </c>
      <c r="K44" s="19">
        <f>(K36*J36)+(K37*J37)+(K38*J38)+(K39*J39)+(K40*J40)+(K41*J41)+(K42*J42)+(K43*J43)</f>
        <v>0</v>
      </c>
      <c r="L44" s="704">
        <f>SUM(L36:L43)</f>
        <v>0</v>
      </c>
      <c r="M44" s="704">
        <f aca="true" t="shared" si="13" ref="M44:R44">SUM(M36:M43)</f>
        <v>0</v>
      </c>
      <c r="N44" s="704">
        <f t="shared" si="13"/>
        <v>0</v>
      </c>
      <c r="O44" s="704">
        <f t="shared" si="13"/>
        <v>0</v>
      </c>
      <c r="P44" s="704">
        <f t="shared" si="13"/>
        <v>0</v>
      </c>
      <c r="Q44" s="704">
        <f t="shared" si="13"/>
        <v>0</v>
      </c>
      <c r="R44" s="704">
        <f t="shared" si="13"/>
        <v>0</v>
      </c>
      <c r="S44" s="19">
        <f>(S36*R36)+(S37*R37)+(S38*R38)+(S39*R39)+(S40*R40)+(S41*R41)+(S42*R42)+(S43*R43)</f>
        <v>0</v>
      </c>
      <c r="T44" s="104"/>
    </row>
    <row r="45" spans="2:20" ht="15">
      <c r="B45" s="93" t="s">
        <v>402</v>
      </c>
      <c r="C45" s="775"/>
      <c r="D45" s="775"/>
      <c r="E45" s="775"/>
      <c r="F45" s="775"/>
      <c r="G45" s="775"/>
      <c r="H45" s="775"/>
      <c r="I45" s="775"/>
      <c r="J45" s="775"/>
      <c r="K45" s="775"/>
      <c r="L45" s="775"/>
      <c r="M45" s="775"/>
      <c r="N45" s="775"/>
      <c r="O45" s="775"/>
      <c r="P45" s="775"/>
      <c r="Q45" s="775"/>
      <c r="R45" s="775"/>
      <c r="S45" s="775"/>
      <c r="T45" s="775"/>
    </row>
    <row r="46" spans="2:20" ht="15">
      <c r="B46" s="94" t="s">
        <v>403</v>
      </c>
      <c r="C46" s="16"/>
      <c r="D46" s="17"/>
      <c r="E46" s="17"/>
      <c r="F46" s="17"/>
      <c r="G46" s="17"/>
      <c r="H46" s="17"/>
      <c r="I46" s="17"/>
      <c r="J46" s="115">
        <f aca="true" t="shared" si="14" ref="J46:J53">SUM(D46:I46)</f>
        <v>0</v>
      </c>
      <c r="K46" s="112"/>
      <c r="L46" s="17"/>
      <c r="M46" s="17"/>
      <c r="N46" s="17"/>
      <c r="O46" s="17"/>
      <c r="P46" s="615"/>
      <c r="Q46" s="17"/>
      <c r="R46" s="702">
        <f aca="true" t="shared" si="15" ref="R46:R53">SUM(L46:Q46)</f>
        <v>0</v>
      </c>
      <c r="S46" s="112"/>
      <c r="T46" s="103"/>
    </row>
    <row r="47" spans="2:20" ht="15">
      <c r="B47" s="94" t="s">
        <v>404</v>
      </c>
      <c r="C47" s="16"/>
      <c r="D47" s="17"/>
      <c r="E47" s="17"/>
      <c r="F47" s="17"/>
      <c r="G47" s="17"/>
      <c r="H47" s="17"/>
      <c r="I47" s="17"/>
      <c r="J47" s="115">
        <f t="shared" si="14"/>
        <v>0</v>
      </c>
      <c r="K47" s="112"/>
      <c r="L47" s="17"/>
      <c r="M47" s="17"/>
      <c r="N47" s="17"/>
      <c r="O47" s="17"/>
      <c r="P47" s="615"/>
      <c r="Q47" s="17"/>
      <c r="R47" s="702">
        <f t="shared" si="15"/>
        <v>0</v>
      </c>
      <c r="S47" s="112"/>
      <c r="T47" s="103"/>
    </row>
    <row r="48" spans="2:20" ht="13.5" customHeight="1">
      <c r="B48" s="94" t="s">
        <v>405</v>
      </c>
      <c r="C48" s="16"/>
      <c r="D48" s="17"/>
      <c r="E48" s="17"/>
      <c r="F48" s="17"/>
      <c r="G48" s="17"/>
      <c r="H48" s="17"/>
      <c r="I48" s="17"/>
      <c r="J48" s="115">
        <f t="shared" si="14"/>
        <v>0</v>
      </c>
      <c r="K48" s="112"/>
      <c r="L48" s="17"/>
      <c r="M48" s="17"/>
      <c r="N48" s="17"/>
      <c r="O48" s="17"/>
      <c r="P48" s="615"/>
      <c r="Q48" s="17"/>
      <c r="R48" s="702">
        <f t="shared" si="15"/>
        <v>0</v>
      </c>
      <c r="S48" s="112"/>
      <c r="T48" s="103"/>
    </row>
    <row r="49" spans="2:20" ht="12" customHeight="1">
      <c r="B49" s="94" t="s">
        <v>406</v>
      </c>
      <c r="C49" s="16"/>
      <c r="D49" s="17"/>
      <c r="E49" s="17"/>
      <c r="F49" s="17"/>
      <c r="G49" s="17"/>
      <c r="H49" s="17"/>
      <c r="I49" s="17"/>
      <c r="J49" s="115">
        <f t="shared" si="14"/>
        <v>0</v>
      </c>
      <c r="K49" s="112"/>
      <c r="L49" s="17"/>
      <c r="M49" s="17"/>
      <c r="N49" s="17"/>
      <c r="O49" s="17"/>
      <c r="P49" s="615"/>
      <c r="Q49" s="17"/>
      <c r="R49" s="702">
        <f t="shared" si="15"/>
        <v>0</v>
      </c>
      <c r="S49" s="112"/>
      <c r="T49" s="103"/>
    </row>
    <row r="50" spans="2:20" ht="12.75" customHeight="1">
      <c r="B50" s="94" t="s">
        <v>407</v>
      </c>
      <c r="C50" s="16"/>
      <c r="D50" s="17"/>
      <c r="E50" s="17"/>
      <c r="F50" s="17"/>
      <c r="G50" s="17"/>
      <c r="H50" s="17"/>
      <c r="I50" s="17"/>
      <c r="J50" s="115">
        <f t="shared" si="14"/>
        <v>0</v>
      </c>
      <c r="K50" s="112"/>
      <c r="L50" s="17"/>
      <c r="M50" s="17"/>
      <c r="N50" s="17"/>
      <c r="O50" s="17"/>
      <c r="P50" s="615"/>
      <c r="Q50" s="17"/>
      <c r="R50" s="702">
        <f t="shared" si="15"/>
        <v>0</v>
      </c>
      <c r="S50" s="112"/>
      <c r="T50" s="103"/>
    </row>
    <row r="51" spans="1:20" ht="17.25" customHeight="1">
      <c r="A51" s="40"/>
      <c r="B51" s="94" t="s">
        <v>408</v>
      </c>
      <c r="C51" s="16"/>
      <c r="D51" s="17"/>
      <c r="E51" s="17"/>
      <c r="F51" s="17"/>
      <c r="G51" s="17"/>
      <c r="H51" s="17"/>
      <c r="I51" s="17"/>
      <c r="J51" s="115">
        <f t="shared" si="14"/>
        <v>0</v>
      </c>
      <c r="K51" s="112"/>
      <c r="L51" s="17"/>
      <c r="M51" s="17"/>
      <c r="N51" s="17"/>
      <c r="O51" s="17"/>
      <c r="P51" s="615"/>
      <c r="Q51" s="17"/>
      <c r="R51" s="702">
        <f t="shared" si="15"/>
        <v>0</v>
      </c>
      <c r="S51" s="112"/>
      <c r="T51" s="103"/>
    </row>
    <row r="52" spans="1:20" s="40" customFormat="1" ht="18" customHeight="1">
      <c r="A52" s="39"/>
      <c r="B52" s="94" t="s">
        <v>409</v>
      </c>
      <c r="C52" s="637"/>
      <c r="D52" s="18"/>
      <c r="E52" s="18"/>
      <c r="F52" s="18"/>
      <c r="G52" s="18"/>
      <c r="H52" s="18"/>
      <c r="I52" s="18"/>
      <c r="J52" s="115">
        <f t="shared" si="14"/>
        <v>0</v>
      </c>
      <c r="K52" s="113"/>
      <c r="L52" s="17"/>
      <c r="M52" s="17"/>
      <c r="N52" s="17"/>
      <c r="O52" s="17"/>
      <c r="P52" s="615"/>
      <c r="Q52" s="17"/>
      <c r="R52" s="702">
        <f t="shared" si="15"/>
        <v>0</v>
      </c>
      <c r="S52" s="113"/>
      <c r="T52" s="104"/>
    </row>
    <row r="53" spans="2:20" ht="28.5" customHeight="1">
      <c r="B53" s="94" t="s">
        <v>410</v>
      </c>
      <c r="C53" s="637"/>
      <c r="D53" s="18"/>
      <c r="E53" s="18"/>
      <c r="F53" s="18"/>
      <c r="G53" s="18"/>
      <c r="H53" s="18"/>
      <c r="I53" s="18"/>
      <c r="J53" s="115">
        <f t="shared" si="14"/>
        <v>0</v>
      </c>
      <c r="K53" s="113"/>
      <c r="L53" s="17"/>
      <c r="M53" s="17"/>
      <c r="N53" s="17"/>
      <c r="O53" s="17"/>
      <c r="P53" s="615"/>
      <c r="Q53" s="17"/>
      <c r="R53" s="702">
        <f t="shared" si="15"/>
        <v>0</v>
      </c>
      <c r="S53" s="113"/>
      <c r="T53" s="104"/>
    </row>
    <row r="54" spans="3:20" ht="15.75" customHeight="1">
      <c r="C54" s="95" t="s">
        <v>520</v>
      </c>
      <c r="D54" s="19">
        <f aca="true" t="shared" si="16" ref="D54:J54">SUM(D46:D53)</f>
        <v>0</v>
      </c>
      <c r="E54" s="19">
        <f t="shared" si="16"/>
        <v>0</v>
      </c>
      <c r="F54" s="19">
        <f t="shared" si="16"/>
        <v>0</v>
      </c>
      <c r="G54" s="19">
        <f t="shared" si="16"/>
        <v>0</v>
      </c>
      <c r="H54" s="19">
        <f t="shared" si="16"/>
        <v>0</v>
      </c>
      <c r="I54" s="19">
        <f t="shared" si="16"/>
        <v>0</v>
      </c>
      <c r="J54" s="19">
        <f t="shared" si="16"/>
        <v>0</v>
      </c>
      <c r="K54" s="19">
        <f>(K46*J46)+(K47*J47)+(K48*J48)+(K49*J49)+(K50*J50)+(K51*J51)+(K52*J52)+(K53*J53)</f>
        <v>0</v>
      </c>
      <c r="L54" s="703">
        <f>SUM(L46:L53)</f>
        <v>0</v>
      </c>
      <c r="M54" s="703">
        <f aca="true" t="shared" si="17" ref="M54:R54">SUM(M46:M53)</f>
        <v>0</v>
      </c>
      <c r="N54" s="703">
        <f t="shared" si="17"/>
        <v>0</v>
      </c>
      <c r="O54" s="703">
        <f t="shared" si="17"/>
        <v>0</v>
      </c>
      <c r="P54" s="703">
        <f t="shared" si="17"/>
        <v>0</v>
      </c>
      <c r="Q54" s="703">
        <f t="shared" si="17"/>
        <v>0</v>
      </c>
      <c r="R54" s="703">
        <f t="shared" si="17"/>
        <v>0</v>
      </c>
      <c r="S54" s="19">
        <f>(S46*R46)+(S47*R47)+(S48*R48)+(S49*R49)+(S50*R50)+(S51*R51)+(S52*R52)+(S53*R53)</f>
        <v>0</v>
      </c>
      <c r="T54" s="104"/>
    </row>
    <row r="55" spans="2:20" ht="15">
      <c r="B55" s="12"/>
      <c r="C55" s="13"/>
      <c r="D55" s="11"/>
      <c r="E55" s="11"/>
      <c r="F55" s="11"/>
      <c r="G55" s="11"/>
      <c r="H55" s="11"/>
      <c r="I55" s="11"/>
      <c r="J55" s="11"/>
      <c r="K55" s="11"/>
      <c r="L55" s="11"/>
      <c r="M55" s="11"/>
      <c r="N55" s="11"/>
      <c r="O55" s="11"/>
      <c r="P55" s="11"/>
      <c r="Q55" s="11"/>
      <c r="R55" s="11"/>
      <c r="S55" s="11"/>
      <c r="T55" s="11"/>
    </row>
    <row r="56" spans="2:20" ht="15">
      <c r="B56" s="95" t="s">
        <v>411</v>
      </c>
      <c r="C56" s="776" t="s">
        <v>584</v>
      </c>
      <c r="D56" s="776"/>
      <c r="E56" s="776"/>
      <c r="F56" s="776"/>
      <c r="G56" s="776"/>
      <c r="H56" s="776"/>
      <c r="I56" s="776"/>
      <c r="J56" s="776"/>
      <c r="K56" s="776"/>
      <c r="L56" s="776"/>
      <c r="M56" s="776"/>
      <c r="N56" s="776"/>
      <c r="O56" s="776"/>
      <c r="P56" s="776"/>
      <c r="Q56" s="776"/>
      <c r="R56" s="776"/>
      <c r="S56" s="776"/>
      <c r="T56" s="776"/>
    </row>
    <row r="57" spans="2:20" ht="15">
      <c r="B57" s="93" t="s">
        <v>412</v>
      </c>
      <c r="C57" s="776" t="s">
        <v>610</v>
      </c>
      <c r="D57" s="776"/>
      <c r="E57" s="776"/>
      <c r="F57" s="776"/>
      <c r="G57" s="776"/>
      <c r="H57" s="776"/>
      <c r="I57" s="776"/>
      <c r="J57" s="776"/>
      <c r="K57" s="776"/>
      <c r="L57" s="776"/>
      <c r="M57" s="776"/>
      <c r="N57" s="776"/>
      <c r="O57" s="776"/>
      <c r="P57" s="776"/>
      <c r="Q57" s="776"/>
      <c r="R57" s="776"/>
      <c r="S57" s="776"/>
      <c r="T57" s="776"/>
    </row>
    <row r="58" spans="2:21" ht="139.5">
      <c r="B58" s="94" t="s">
        <v>413</v>
      </c>
      <c r="C58" s="16" t="s">
        <v>603</v>
      </c>
      <c r="D58" s="17">
        <v>6000</v>
      </c>
      <c r="E58" s="17">
        <v>7000</v>
      </c>
      <c r="F58" s="17">
        <v>7000</v>
      </c>
      <c r="G58" s="17"/>
      <c r="H58" s="729">
        <v>4500</v>
      </c>
      <c r="I58" s="17"/>
      <c r="J58" s="115">
        <f aca="true" t="shared" si="18" ref="J58:J67">SUM(D58:I58)</f>
        <v>24500</v>
      </c>
      <c r="K58" s="112">
        <v>0.3</v>
      </c>
      <c r="L58" s="17">
        <v>6202.55</v>
      </c>
      <c r="M58" s="17">
        <v>0</v>
      </c>
      <c r="N58" s="17">
        <v>5857.19</v>
      </c>
      <c r="O58" s="688"/>
      <c r="P58" s="688">
        <v>4500</v>
      </c>
      <c r="Q58" s="688"/>
      <c r="R58" s="702">
        <f aca="true" t="shared" si="19" ref="R58:R67">SUM(L58:Q58)</f>
        <v>16559.739999999998</v>
      </c>
      <c r="S58" s="688">
        <f aca="true" t="shared" si="20" ref="S58:S67">R58*K58</f>
        <v>4967.922</v>
      </c>
      <c r="T58" s="103" t="s">
        <v>642</v>
      </c>
      <c r="U58" s="39">
        <v>4</v>
      </c>
    </row>
    <row r="59" spans="2:21" ht="61.5">
      <c r="B59" s="94" t="s">
        <v>414</v>
      </c>
      <c r="C59" s="16" t="s">
        <v>618</v>
      </c>
      <c r="D59" s="17">
        <v>18000</v>
      </c>
      <c r="E59" s="17">
        <v>22000</v>
      </c>
      <c r="F59" s="17">
        <v>17300</v>
      </c>
      <c r="G59" s="17"/>
      <c r="H59" s="17"/>
      <c r="I59" s="17"/>
      <c r="J59" s="115">
        <f t="shared" si="18"/>
        <v>57300</v>
      </c>
      <c r="K59" s="112">
        <v>0.3</v>
      </c>
      <c r="L59" s="17">
        <v>18022.27</v>
      </c>
      <c r="M59" s="17">
        <v>15657.46</v>
      </c>
      <c r="N59" s="723">
        <v>19689.1</v>
      </c>
      <c r="O59" s="688"/>
      <c r="P59" s="688"/>
      <c r="Q59" s="688"/>
      <c r="R59" s="702">
        <f t="shared" si="19"/>
        <v>53368.829999999994</v>
      </c>
      <c r="S59" s="688">
        <f t="shared" si="20"/>
        <v>16010.648999999998</v>
      </c>
      <c r="T59" s="103" t="s">
        <v>643</v>
      </c>
      <c r="U59" s="39">
        <v>2</v>
      </c>
    </row>
    <row r="60" spans="2:21" ht="61.5">
      <c r="B60" s="94" t="s">
        <v>415</v>
      </c>
      <c r="C60" s="16" t="s">
        <v>604</v>
      </c>
      <c r="D60" s="17">
        <v>6000</v>
      </c>
      <c r="E60" s="17">
        <v>12000</v>
      </c>
      <c r="F60" s="17">
        <v>12000</v>
      </c>
      <c r="G60" s="16"/>
      <c r="H60" s="729">
        <v>12000</v>
      </c>
      <c r="I60" s="17"/>
      <c r="J60" s="115">
        <f t="shared" si="18"/>
        <v>42000</v>
      </c>
      <c r="K60" s="112">
        <v>0.3</v>
      </c>
      <c r="L60" s="17">
        <v>6156.76</v>
      </c>
      <c r="M60" s="17">
        <v>3493.37</v>
      </c>
      <c r="N60" s="241">
        <v>10520.69</v>
      </c>
      <c r="O60" s="688"/>
      <c r="P60" s="688"/>
      <c r="Q60" s="688"/>
      <c r="R60" s="702">
        <f t="shared" si="19"/>
        <v>20170.82</v>
      </c>
      <c r="S60" s="688">
        <f t="shared" si="20"/>
        <v>6051.246</v>
      </c>
      <c r="T60" s="103" t="s">
        <v>643</v>
      </c>
      <c r="U60" s="39">
        <v>2</v>
      </c>
    </row>
    <row r="61" spans="2:21" ht="30.75">
      <c r="B61" s="94" t="s">
        <v>416</v>
      </c>
      <c r="C61" s="16" t="s">
        <v>605</v>
      </c>
      <c r="D61" s="17">
        <v>0</v>
      </c>
      <c r="E61" s="17">
        <v>0</v>
      </c>
      <c r="F61" s="17">
        <v>0</v>
      </c>
      <c r="G61" s="17"/>
      <c r="H61" s="17"/>
      <c r="I61" s="17"/>
      <c r="J61" s="115">
        <f t="shared" si="18"/>
        <v>0</v>
      </c>
      <c r="K61" s="112">
        <v>0.5</v>
      </c>
      <c r="L61" s="17">
        <v>0</v>
      </c>
      <c r="M61" s="17">
        <v>0</v>
      </c>
      <c r="N61" s="112">
        <v>0</v>
      </c>
      <c r="O61" s="688"/>
      <c r="P61" s="688"/>
      <c r="Q61" s="688"/>
      <c r="R61" s="702">
        <f t="shared" si="19"/>
        <v>0</v>
      </c>
      <c r="S61" s="688">
        <f t="shared" si="20"/>
        <v>0</v>
      </c>
      <c r="T61" s="103" t="s">
        <v>886</v>
      </c>
      <c r="U61" s="39">
        <v>2</v>
      </c>
    </row>
    <row r="62" spans="2:21" ht="108">
      <c r="B62" s="94" t="s">
        <v>417</v>
      </c>
      <c r="C62" s="16" t="s">
        <v>606</v>
      </c>
      <c r="D62" s="17">
        <v>21000</v>
      </c>
      <c r="E62" s="17">
        <v>27000</v>
      </c>
      <c r="F62" s="17">
        <v>11000</v>
      </c>
      <c r="G62" s="17"/>
      <c r="H62" s="17"/>
      <c r="I62" s="17"/>
      <c r="J62" s="115">
        <f t="shared" si="18"/>
        <v>59000</v>
      </c>
      <c r="K62" s="112">
        <v>0.3</v>
      </c>
      <c r="L62" s="17">
        <v>25533.98</v>
      </c>
      <c r="M62" s="17">
        <v>19656.34</v>
      </c>
      <c r="N62" s="723">
        <v>11257</v>
      </c>
      <c r="O62" s="688"/>
      <c r="P62" s="688"/>
      <c r="Q62" s="688"/>
      <c r="R62" s="702">
        <f t="shared" si="19"/>
        <v>56447.32</v>
      </c>
      <c r="S62" s="688">
        <f t="shared" si="20"/>
        <v>16934.196</v>
      </c>
      <c r="T62" s="103" t="s">
        <v>888</v>
      </c>
      <c r="U62" s="39">
        <v>2</v>
      </c>
    </row>
    <row r="63" spans="2:21" ht="61.5">
      <c r="B63" s="94" t="s">
        <v>418</v>
      </c>
      <c r="C63" s="16" t="s">
        <v>607</v>
      </c>
      <c r="D63" s="18">
        <v>0</v>
      </c>
      <c r="E63" s="18">
        <v>11000</v>
      </c>
      <c r="F63" s="18">
        <v>11000</v>
      </c>
      <c r="G63" s="17"/>
      <c r="H63" s="17"/>
      <c r="I63" s="17"/>
      <c r="J63" s="115">
        <f t="shared" si="18"/>
        <v>22000</v>
      </c>
      <c r="K63" s="112">
        <v>0.3</v>
      </c>
      <c r="L63" s="17">
        <v>0</v>
      </c>
      <c r="M63" s="17">
        <v>9036.81</v>
      </c>
      <c r="N63" s="241">
        <v>10602.89</v>
      </c>
      <c r="O63" s="688"/>
      <c r="P63" s="688"/>
      <c r="Q63" s="688"/>
      <c r="R63" s="702">
        <f t="shared" si="19"/>
        <v>19639.699999999997</v>
      </c>
      <c r="S63" s="688">
        <f t="shared" si="20"/>
        <v>5891.909999999999</v>
      </c>
      <c r="T63" s="103" t="s">
        <v>644</v>
      </c>
      <c r="U63" s="39">
        <v>2</v>
      </c>
    </row>
    <row r="64" spans="2:20" ht="61.5">
      <c r="B64" s="94" t="s">
        <v>419</v>
      </c>
      <c r="C64" s="642" t="s">
        <v>897</v>
      </c>
      <c r="D64" s="662">
        <v>66600.5</v>
      </c>
      <c r="E64" s="662">
        <f>66112.5-22000</f>
        <v>44112.5</v>
      </c>
      <c r="F64" s="662">
        <f>66112.5-22000</f>
        <v>44112.5</v>
      </c>
      <c r="G64" s="606"/>
      <c r="H64" s="606"/>
      <c r="I64" s="606"/>
      <c r="J64" s="115">
        <f t="shared" si="18"/>
        <v>154825.5</v>
      </c>
      <c r="K64" s="639">
        <v>0.7</v>
      </c>
      <c r="L64" s="688">
        <v>0</v>
      </c>
      <c r="M64" s="688">
        <v>0</v>
      </c>
      <c r="N64" s="688">
        <v>0</v>
      </c>
      <c r="O64" s="688"/>
      <c r="P64" s="688"/>
      <c r="Q64" s="688"/>
      <c r="R64" s="705">
        <f t="shared" si="19"/>
        <v>0</v>
      </c>
      <c r="S64" s="691">
        <f t="shared" si="20"/>
        <v>0</v>
      </c>
      <c r="T64" s="640" t="s">
        <v>645</v>
      </c>
    </row>
    <row r="65" spans="2:20" ht="46.5">
      <c r="B65" s="94" t="s">
        <v>420</v>
      </c>
      <c r="C65" s="642" t="s">
        <v>900</v>
      </c>
      <c r="D65" s="663">
        <v>40000</v>
      </c>
      <c r="E65" s="663">
        <v>25000</v>
      </c>
      <c r="F65" s="663">
        <v>25000</v>
      </c>
      <c r="G65" s="606"/>
      <c r="H65" s="606"/>
      <c r="I65" s="606"/>
      <c r="J65" s="115">
        <f t="shared" si="18"/>
        <v>90000</v>
      </c>
      <c r="K65" s="639">
        <v>0.3</v>
      </c>
      <c r="L65" s="688">
        <v>2955.74</v>
      </c>
      <c r="M65" s="688">
        <v>0</v>
      </c>
      <c r="N65" s="688">
        <v>0</v>
      </c>
      <c r="O65" s="688"/>
      <c r="P65" s="688"/>
      <c r="Q65" s="688"/>
      <c r="R65" s="705">
        <f t="shared" si="19"/>
        <v>2955.74</v>
      </c>
      <c r="S65" s="691">
        <f t="shared" si="20"/>
        <v>886.7219999999999</v>
      </c>
      <c r="T65" s="640" t="s">
        <v>937</v>
      </c>
    </row>
    <row r="66" spans="1:20" ht="61.5">
      <c r="A66" s="40"/>
      <c r="B66" s="94" t="s">
        <v>895</v>
      </c>
      <c r="C66" s="642" t="s">
        <v>899</v>
      </c>
      <c r="D66" s="664">
        <v>41000</v>
      </c>
      <c r="E66" s="664">
        <f>34000-4000</f>
        <v>30000</v>
      </c>
      <c r="F66" s="664">
        <f>34000-4000</f>
        <v>30000</v>
      </c>
      <c r="G66" s="606"/>
      <c r="H66" s="606"/>
      <c r="I66" s="606"/>
      <c r="J66" s="115">
        <f t="shared" si="18"/>
        <v>101000</v>
      </c>
      <c r="K66" s="639">
        <v>0.3</v>
      </c>
      <c r="L66" s="664">
        <v>0</v>
      </c>
      <c r="M66" s="693">
        <v>7963.68</v>
      </c>
      <c r="N66" s="664">
        <v>0</v>
      </c>
      <c r="O66" s="606"/>
      <c r="P66" s="693"/>
      <c r="Q66" s="606"/>
      <c r="R66" s="705">
        <f t="shared" si="19"/>
        <v>7963.68</v>
      </c>
      <c r="S66" s="691">
        <f t="shared" si="20"/>
        <v>2389.104</v>
      </c>
      <c r="T66" s="640" t="s">
        <v>645</v>
      </c>
    </row>
    <row r="67" spans="2:20" s="40" customFormat="1" ht="61.5">
      <c r="B67" s="94" t="s">
        <v>896</v>
      </c>
      <c r="C67" s="642" t="s">
        <v>898</v>
      </c>
      <c r="D67" s="664">
        <v>40000</v>
      </c>
      <c r="E67" s="664">
        <v>25000</v>
      </c>
      <c r="F67" s="664">
        <v>25000</v>
      </c>
      <c r="G67" s="606"/>
      <c r="H67" s="606"/>
      <c r="I67" s="606"/>
      <c r="J67" s="115">
        <f t="shared" si="18"/>
        <v>90000</v>
      </c>
      <c r="K67" s="639">
        <v>0.3</v>
      </c>
      <c r="L67" s="664">
        <v>0</v>
      </c>
      <c r="M67" s="664">
        <v>0</v>
      </c>
      <c r="N67" s="664">
        <v>0</v>
      </c>
      <c r="O67" s="606"/>
      <c r="P67" s="693"/>
      <c r="Q67" s="606"/>
      <c r="R67" s="705">
        <f t="shared" si="19"/>
        <v>0</v>
      </c>
      <c r="S67" s="691">
        <f t="shared" si="20"/>
        <v>0</v>
      </c>
      <c r="T67" s="640" t="s">
        <v>645</v>
      </c>
    </row>
    <row r="68" spans="1:20" s="40" customFormat="1" ht="15">
      <c r="A68" s="39"/>
      <c r="B68" s="39"/>
      <c r="C68" s="95" t="s">
        <v>520</v>
      </c>
      <c r="D68" s="19">
        <f aca="true" t="shared" si="21" ref="D68:J68">SUM(D58:D67)</f>
        <v>238600.5</v>
      </c>
      <c r="E68" s="19">
        <f t="shared" si="21"/>
        <v>203112.5</v>
      </c>
      <c r="F68" s="19">
        <f t="shared" si="21"/>
        <v>182412.5</v>
      </c>
      <c r="G68" s="19">
        <f t="shared" si="21"/>
        <v>0</v>
      </c>
      <c r="H68" s="19">
        <f t="shared" si="21"/>
        <v>16500</v>
      </c>
      <c r="I68" s="19">
        <f t="shared" si="21"/>
        <v>0</v>
      </c>
      <c r="J68" s="22">
        <f t="shared" si="21"/>
        <v>640625.5</v>
      </c>
      <c r="K68" s="19">
        <f>(K58*J58)+(K59*J59)+(K60*J60)+(K61*J61)+(K62*J62)+(K63*J63)+(K64*J64)+(K65*J65)+(K66*J66)+(K67*J67)</f>
        <v>254117.84999999998</v>
      </c>
      <c r="L68" s="704">
        <f aca="true" t="shared" si="22" ref="L68:R68">SUM(L58:L67)</f>
        <v>58871.299999999996</v>
      </c>
      <c r="M68" s="704">
        <f t="shared" si="22"/>
        <v>55807.659999999996</v>
      </c>
      <c r="N68" s="704">
        <f t="shared" si="22"/>
        <v>57926.869999999995</v>
      </c>
      <c r="O68" s="704">
        <f t="shared" si="22"/>
        <v>0</v>
      </c>
      <c r="P68" s="704">
        <f t="shared" si="22"/>
        <v>4500</v>
      </c>
      <c r="Q68" s="704">
        <f t="shared" si="22"/>
        <v>0</v>
      </c>
      <c r="R68" s="704">
        <f t="shared" si="22"/>
        <v>177105.82999999996</v>
      </c>
      <c r="S68" s="19">
        <f>SUM(S58:S67)</f>
        <v>53131.74899999999</v>
      </c>
      <c r="T68" s="104"/>
    </row>
    <row r="69" spans="2:20" ht="15">
      <c r="B69" s="93" t="s">
        <v>421</v>
      </c>
      <c r="C69" s="776" t="s">
        <v>609</v>
      </c>
      <c r="D69" s="776"/>
      <c r="E69" s="776"/>
      <c r="F69" s="776"/>
      <c r="G69" s="776"/>
      <c r="H69" s="776"/>
      <c r="I69" s="776"/>
      <c r="J69" s="776"/>
      <c r="K69" s="776"/>
      <c r="L69" s="776"/>
      <c r="M69" s="776"/>
      <c r="N69" s="776"/>
      <c r="O69" s="776"/>
      <c r="P69" s="776"/>
      <c r="Q69" s="776"/>
      <c r="R69" s="776"/>
      <c r="S69" s="776"/>
      <c r="T69" s="776"/>
    </row>
    <row r="70" spans="2:21" ht="61.5">
      <c r="B70" s="94" t="s">
        <v>422</v>
      </c>
      <c r="C70" s="16" t="s">
        <v>608</v>
      </c>
      <c r="D70" s="17">
        <v>6000</v>
      </c>
      <c r="E70" s="17">
        <v>0</v>
      </c>
      <c r="F70" s="17">
        <v>4700</v>
      </c>
      <c r="G70" s="17"/>
      <c r="H70" s="17">
        <v>0</v>
      </c>
      <c r="I70" s="17"/>
      <c r="J70" s="115">
        <f aca="true" t="shared" si="23" ref="J70:J77">SUM(D70:I70)</f>
        <v>10700</v>
      </c>
      <c r="K70" s="112">
        <v>0.3</v>
      </c>
      <c r="L70" s="615">
        <v>0</v>
      </c>
      <c r="M70" s="724">
        <v>0</v>
      </c>
      <c r="N70" s="732">
        <v>4693.32</v>
      </c>
      <c r="O70" s="688"/>
      <c r="P70" s="688"/>
      <c r="Q70" s="688"/>
      <c r="R70" s="702">
        <f aca="true" t="shared" si="24" ref="R70:R77">SUM(L70:Q70)</f>
        <v>4693.32</v>
      </c>
      <c r="S70" s="688">
        <f aca="true" t="shared" si="25" ref="S70:S76">R70*K70</f>
        <v>1407.9959999999999</v>
      </c>
      <c r="T70" s="103" t="s">
        <v>645</v>
      </c>
      <c r="U70" s="39">
        <v>2</v>
      </c>
    </row>
    <row r="71" spans="2:21" ht="61.5">
      <c r="B71" s="94" t="s">
        <v>423</v>
      </c>
      <c r="C71" s="16" t="s">
        <v>619</v>
      </c>
      <c r="D71" s="17">
        <v>0</v>
      </c>
      <c r="E71" s="615">
        <v>16000</v>
      </c>
      <c r="F71" s="615">
        <v>16000</v>
      </c>
      <c r="G71" s="17"/>
      <c r="H71" s="17">
        <v>5000</v>
      </c>
      <c r="I71" s="17"/>
      <c r="J71" s="115">
        <f t="shared" si="23"/>
        <v>37000</v>
      </c>
      <c r="K71" s="112">
        <v>0.3</v>
      </c>
      <c r="L71" s="732">
        <v>0</v>
      </c>
      <c r="M71" s="732">
        <v>18402.69</v>
      </c>
      <c r="N71" s="733">
        <v>31003.96</v>
      </c>
      <c r="O71" s="688"/>
      <c r="P71" s="688">
        <v>5000</v>
      </c>
      <c r="Q71" s="688"/>
      <c r="R71" s="702">
        <f t="shared" si="24"/>
        <v>54406.649999999994</v>
      </c>
      <c r="S71" s="688">
        <f t="shared" si="25"/>
        <v>16321.994999999997</v>
      </c>
      <c r="T71" s="103" t="s">
        <v>643</v>
      </c>
      <c r="U71" s="39">
        <v>2</v>
      </c>
    </row>
    <row r="72" spans="2:21" ht="77.25">
      <c r="B72" s="94" t="s">
        <v>424</v>
      </c>
      <c r="C72" s="16" t="s">
        <v>611</v>
      </c>
      <c r="D72" s="17">
        <v>8000</v>
      </c>
      <c r="E72" s="615">
        <v>0</v>
      </c>
      <c r="F72" s="615">
        <v>16000</v>
      </c>
      <c r="G72" s="17"/>
      <c r="H72" s="17"/>
      <c r="I72" s="17"/>
      <c r="J72" s="115">
        <f t="shared" si="23"/>
        <v>24000</v>
      </c>
      <c r="K72" s="112">
        <v>0.3</v>
      </c>
      <c r="L72" s="732">
        <v>7978.29</v>
      </c>
      <c r="M72" s="112">
        <v>0</v>
      </c>
      <c r="N72" s="732">
        <v>15411.79</v>
      </c>
      <c r="O72" s="688"/>
      <c r="P72" s="688"/>
      <c r="Q72" s="688"/>
      <c r="R72" s="702">
        <f t="shared" si="24"/>
        <v>23390.08</v>
      </c>
      <c r="S72" s="688">
        <f t="shared" si="25"/>
        <v>7017.024</v>
      </c>
      <c r="T72" s="103" t="s">
        <v>646</v>
      </c>
      <c r="U72" s="39">
        <v>2</v>
      </c>
    </row>
    <row r="73" spans="2:21" ht="77.25">
      <c r="B73" s="94" t="s">
        <v>425</v>
      </c>
      <c r="C73" s="16" t="s">
        <v>612</v>
      </c>
      <c r="D73" s="17">
        <v>8000</v>
      </c>
      <c r="E73" s="615">
        <v>16000</v>
      </c>
      <c r="F73" s="615">
        <v>16000</v>
      </c>
      <c r="G73" s="17"/>
      <c r="H73" s="17"/>
      <c r="I73" s="17"/>
      <c r="J73" s="115">
        <f t="shared" si="23"/>
        <v>40000</v>
      </c>
      <c r="K73" s="112">
        <v>0.3</v>
      </c>
      <c r="L73" s="732">
        <v>6496.66</v>
      </c>
      <c r="M73" s="732">
        <v>14419.53</v>
      </c>
      <c r="N73" s="733">
        <v>11751.37</v>
      </c>
      <c r="O73" s="688"/>
      <c r="P73" s="688"/>
      <c r="Q73" s="688"/>
      <c r="R73" s="702">
        <f t="shared" si="24"/>
        <v>32667.560000000005</v>
      </c>
      <c r="S73" s="688">
        <f t="shared" si="25"/>
        <v>9800.268000000002</v>
      </c>
      <c r="T73" s="103" t="s">
        <v>647</v>
      </c>
      <c r="U73" s="39">
        <v>4</v>
      </c>
    </row>
    <row r="74" spans="2:20" ht="30.75">
      <c r="B74" s="94" t="s">
        <v>426</v>
      </c>
      <c r="C74" s="645" t="s">
        <v>901</v>
      </c>
      <c r="D74" s="663">
        <v>10000</v>
      </c>
      <c r="E74" s="663">
        <v>10000</v>
      </c>
      <c r="F74" s="663">
        <v>10000</v>
      </c>
      <c r="G74" s="606"/>
      <c r="H74" s="606"/>
      <c r="I74" s="606"/>
      <c r="J74" s="115">
        <f t="shared" si="23"/>
        <v>30000</v>
      </c>
      <c r="K74" s="639">
        <v>0.3</v>
      </c>
      <c r="L74" s="688">
        <v>0</v>
      </c>
      <c r="M74" s="688">
        <v>0</v>
      </c>
      <c r="N74" s="688">
        <v>0</v>
      </c>
      <c r="O74" s="688"/>
      <c r="P74" s="688"/>
      <c r="Q74" s="688"/>
      <c r="R74" s="705">
        <f t="shared" si="24"/>
        <v>0</v>
      </c>
      <c r="S74" s="691">
        <f t="shared" si="25"/>
        <v>0</v>
      </c>
      <c r="T74" s="640"/>
    </row>
    <row r="75" spans="2:20" ht="30.75">
      <c r="B75" s="94" t="s">
        <v>427</v>
      </c>
      <c r="C75" s="645" t="s">
        <v>902</v>
      </c>
      <c r="D75" s="664">
        <v>15000</v>
      </c>
      <c r="E75" s="664">
        <f>15000-5000</f>
        <v>10000</v>
      </c>
      <c r="F75" s="664">
        <f>15000-5000</f>
        <v>10000</v>
      </c>
      <c r="G75" s="606"/>
      <c r="H75" s="606"/>
      <c r="I75" s="606"/>
      <c r="J75" s="115">
        <f t="shared" si="23"/>
        <v>35000</v>
      </c>
      <c r="K75" s="639"/>
      <c r="L75" s="688">
        <v>0</v>
      </c>
      <c r="M75" s="688">
        <v>0</v>
      </c>
      <c r="N75" s="688">
        <v>0</v>
      </c>
      <c r="O75" s="688"/>
      <c r="P75" s="688"/>
      <c r="Q75" s="688"/>
      <c r="R75" s="705">
        <f t="shared" si="24"/>
        <v>0</v>
      </c>
      <c r="S75" s="691">
        <f t="shared" si="25"/>
        <v>0</v>
      </c>
      <c r="T75" s="640"/>
    </row>
    <row r="76" spans="2:20" ht="61.5">
      <c r="B76" s="94" t="s">
        <v>428</v>
      </c>
      <c r="C76" s="645" t="s">
        <v>903</v>
      </c>
      <c r="D76" s="664">
        <v>20000</v>
      </c>
      <c r="E76" s="664">
        <f>20000-5000</f>
        <v>15000</v>
      </c>
      <c r="F76" s="664">
        <f>20000-5000</f>
        <v>15000</v>
      </c>
      <c r="G76" s="606"/>
      <c r="H76" s="606"/>
      <c r="I76" s="606"/>
      <c r="J76" s="115">
        <f t="shared" si="23"/>
        <v>50000</v>
      </c>
      <c r="K76" s="643">
        <v>0.3</v>
      </c>
      <c r="L76" s="688">
        <v>21621.37</v>
      </c>
      <c r="M76" s="688">
        <v>9831.4</v>
      </c>
      <c r="N76" s="688">
        <v>8404.25</v>
      </c>
      <c r="O76" s="688"/>
      <c r="P76" s="688"/>
      <c r="Q76" s="688"/>
      <c r="R76" s="705">
        <f t="shared" si="24"/>
        <v>39857.02</v>
      </c>
      <c r="S76" s="691">
        <f t="shared" si="25"/>
        <v>11957.105999999998</v>
      </c>
      <c r="T76" s="640" t="s">
        <v>643</v>
      </c>
    </row>
    <row r="77" spans="2:20" ht="15">
      <c r="B77" s="94" t="s">
        <v>429</v>
      </c>
      <c r="C77" s="637"/>
      <c r="D77" s="18"/>
      <c r="E77" s="18"/>
      <c r="F77" s="18"/>
      <c r="G77" s="18"/>
      <c r="H77" s="18"/>
      <c r="I77" s="18"/>
      <c r="J77" s="115">
        <f t="shared" si="23"/>
        <v>0</v>
      </c>
      <c r="K77" s="113"/>
      <c r="L77" s="688"/>
      <c r="M77" s="688"/>
      <c r="N77" s="688"/>
      <c r="O77" s="688"/>
      <c r="P77" s="688"/>
      <c r="Q77" s="688"/>
      <c r="R77" s="702">
        <f t="shared" si="24"/>
        <v>0</v>
      </c>
      <c r="S77" s="113"/>
      <c r="T77" s="104"/>
    </row>
    <row r="78" spans="3:20" ht="15">
      <c r="C78" s="95" t="s">
        <v>520</v>
      </c>
      <c r="D78" s="22">
        <f aca="true" t="shared" si="26" ref="D78:J78">SUM(D70:D77)</f>
        <v>67000</v>
      </c>
      <c r="E78" s="22">
        <f t="shared" si="26"/>
        <v>67000</v>
      </c>
      <c r="F78" s="22">
        <f t="shared" si="26"/>
        <v>87700</v>
      </c>
      <c r="G78" s="22">
        <f t="shared" si="26"/>
        <v>0</v>
      </c>
      <c r="H78" s="22">
        <f t="shared" si="26"/>
        <v>5000</v>
      </c>
      <c r="I78" s="22">
        <f t="shared" si="26"/>
        <v>0</v>
      </c>
      <c r="J78" s="22">
        <f t="shared" si="26"/>
        <v>226700</v>
      </c>
      <c r="K78" s="19">
        <f>(K70*J70)+(K71*J71)+(K72*J72)+(K73*J73)+(K74*J74)+(K75*J75)+(K76*J76)+(K77*J77)</f>
        <v>57510</v>
      </c>
      <c r="L78" s="704">
        <f aca="true" t="shared" si="27" ref="L78:R78">SUM(L70:L77)</f>
        <v>36096.32</v>
      </c>
      <c r="M78" s="704">
        <f t="shared" si="27"/>
        <v>42653.62</v>
      </c>
      <c r="N78" s="704">
        <f t="shared" si="27"/>
        <v>71264.69</v>
      </c>
      <c r="O78" s="704">
        <f t="shared" si="27"/>
        <v>0</v>
      </c>
      <c r="P78" s="704">
        <f t="shared" si="27"/>
        <v>5000</v>
      </c>
      <c r="Q78" s="704">
        <f t="shared" si="27"/>
        <v>0</v>
      </c>
      <c r="R78" s="704">
        <f t="shared" si="27"/>
        <v>155014.62999999998</v>
      </c>
      <c r="S78" s="19">
        <f>SUM(S70:S77)</f>
        <v>46504.389</v>
      </c>
      <c r="T78" s="104"/>
    </row>
    <row r="79" spans="2:20" ht="15">
      <c r="B79" s="93" t="s">
        <v>430</v>
      </c>
      <c r="C79" s="776" t="s">
        <v>924</v>
      </c>
      <c r="D79" s="775"/>
      <c r="E79" s="775"/>
      <c r="F79" s="775"/>
      <c r="G79" s="775"/>
      <c r="H79" s="775"/>
      <c r="I79" s="775"/>
      <c r="J79" s="775"/>
      <c r="K79" s="775"/>
      <c r="L79" s="775"/>
      <c r="M79" s="775"/>
      <c r="N79" s="775"/>
      <c r="O79" s="775"/>
      <c r="P79" s="775"/>
      <c r="Q79" s="775"/>
      <c r="R79" s="775"/>
      <c r="S79" s="775"/>
      <c r="T79" s="775"/>
    </row>
    <row r="80" spans="2:20" ht="30.75">
      <c r="B80" s="94" t="s">
        <v>431</v>
      </c>
      <c r="C80" s="645" t="s">
        <v>925</v>
      </c>
      <c r="D80" s="664">
        <v>15000</v>
      </c>
      <c r="E80" s="664">
        <f>14544-6000</f>
        <v>8544</v>
      </c>
      <c r="F80" s="664">
        <f>14544-6000</f>
        <v>8544</v>
      </c>
      <c r="G80" s="17"/>
      <c r="H80" s="17"/>
      <c r="I80" s="17"/>
      <c r="J80" s="115">
        <f>SUM(D80:I80)</f>
        <v>32088</v>
      </c>
      <c r="K80" s="639">
        <v>0.3</v>
      </c>
      <c r="L80" s="664"/>
      <c r="M80" s="664"/>
      <c r="N80" s="664"/>
      <c r="O80" s="17"/>
      <c r="P80" s="615"/>
      <c r="Q80" s="17"/>
      <c r="R80" s="702">
        <f>SUM(L80:Q80)</f>
        <v>0</v>
      </c>
      <c r="S80" s="688">
        <f>R80*K80</f>
        <v>0</v>
      </c>
      <c r="T80" s="103"/>
    </row>
    <row r="81" spans="2:20" ht="46.5">
      <c r="B81" s="94" t="s">
        <v>432</v>
      </c>
      <c r="C81" s="645" t="s">
        <v>926</v>
      </c>
      <c r="D81" s="664">
        <v>15000</v>
      </c>
      <c r="E81" s="664">
        <f>15000-6000</f>
        <v>9000</v>
      </c>
      <c r="F81" s="664">
        <f>15000-6000</f>
        <v>9000</v>
      </c>
      <c r="G81" s="17"/>
      <c r="H81" s="17"/>
      <c r="I81" s="17"/>
      <c r="J81" s="115">
        <f>SUM(D81:I81)</f>
        <v>33000</v>
      </c>
      <c r="K81" s="112">
        <v>0.3</v>
      </c>
      <c r="L81" s="664"/>
      <c r="M81" s="664"/>
      <c r="N81" s="664"/>
      <c r="O81" s="17"/>
      <c r="P81" s="615"/>
      <c r="Q81" s="17"/>
      <c r="R81" s="702">
        <f>SUM(L81:Q81)</f>
        <v>0</v>
      </c>
      <c r="S81" s="688">
        <f>R81*K81</f>
        <v>0</v>
      </c>
      <c r="T81" s="103"/>
    </row>
    <row r="82" spans="2:20" ht="46.5">
      <c r="B82" s="94" t="s">
        <v>433</v>
      </c>
      <c r="C82" s="645" t="s">
        <v>927</v>
      </c>
      <c r="D82" s="664">
        <v>15000</v>
      </c>
      <c r="E82" s="664">
        <f>15000-5000</f>
        <v>10000</v>
      </c>
      <c r="F82" s="664">
        <f>15000-5000</f>
        <v>10000</v>
      </c>
      <c r="G82" s="17"/>
      <c r="H82" s="17"/>
      <c r="I82" s="17"/>
      <c r="J82" s="115">
        <f>SUM(D82:I82)</f>
        <v>35000</v>
      </c>
      <c r="K82" s="112">
        <v>0.3</v>
      </c>
      <c r="L82" s="664"/>
      <c r="M82" s="664"/>
      <c r="N82" s="664"/>
      <c r="O82" s="17"/>
      <c r="P82" s="615"/>
      <c r="Q82" s="17"/>
      <c r="R82" s="702">
        <f>SUM(L82:Q82)</f>
        <v>0</v>
      </c>
      <c r="S82" s="688">
        <f>R82*K82</f>
        <v>0</v>
      </c>
      <c r="T82" s="103"/>
    </row>
    <row r="83" spans="3:20" ht="15">
      <c r="C83" s="95" t="s">
        <v>520</v>
      </c>
      <c r="D83" s="22">
        <f aca="true" t="shared" si="28" ref="D83:J83">SUM(D80:D82)</f>
        <v>45000</v>
      </c>
      <c r="E83" s="22">
        <f t="shared" si="28"/>
        <v>27544</v>
      </c>
      <c r="F83" s="22">
        <f t="shared" si="28"/>
        <v>27544</v>
      </c>
      <c r="G83" s="22">
        <f t="shared" si="28"/>
        <v>0</v>
      </c>
      <c r="H83" s="22">
        <f t="shared" si="28"/>
        <v>0</v>
      </c>
      <c r="I83" s="22">
        <f t="shared" si="28"/>
        <v>0</v>
      </c>
      <c r="J83" s="22">
        <f t="shared" si="28"/>
        <v>100088</v>
      </c>
      <c r="K83" s="19">
        <f>(K80*J80)+(K81*J81)+(K82*J82)</f>
        <v>30026.4</v>
      </c>
      <c r="L83" s="704">
        <f aca="true" t="shared" si="29" ref="L83:R83">SUM(L80:L82)</f>
        <v>0</v>
      </c>
      <c r="M83" s="704">
        <f t="shared" si="29"/>
        <v>0</v>
      </c>
      <c r="N83" s="704">
        <f t="shared" si="29"/>
        <v>0</v>
      </c>
      <c r="O83" s="704">
        <f t="shared" si="29"/>
        <v>0</v>
      </c>
      <c r="P83" s="704">
        <f t="shared" si="29"/>
        <v>0</v>
      </c>
      <c r="Q83" s="704">
        <f t="shared" si="29"/>
        <v>0</v>
      </c>
      <c r="R83" s="704">
        <f t="shared" si="29"/>
        <v>0</v>
      </c>
      <c r="S83" s="19">
        <f>SUM(S80:S82)</f>
        <v>0</v>
      </c>
      <c r="T83" s="104"/>
    </row>
    <row r="84" spans="2:20" ht="15">
      <c r="B84" s="93" t="s">
        <v>434</v>
      </c>
      <c r="C84" s="775"/>
      <c r="D84" s="775"/>
      <c r="E84" s="775"/>
      <c r="F84" s="775"/>
      <c r="G84" s="775"/>
      <c r="H84" s="775"/>
      <c r="I84" s="775"/>
      <c r="J84" s="775"/>
      <c r="K84" s="775"/>
      <c r="L84" s="775"/>
      <c r="M84" s="775"/>
      <c r="N84" s="775"/>
      <c r="O84" s="775"/>
      <c r="P84" s="775"/>
      <c r="Q84" s="775"/>
      <c r="R84" s="775"/>
      <c r="S84" s="775"/>
      <c r="T84" s="775"/>
    </row>
    <row r="85" spans="2:20" ht="15">
      <c r="B85" s="94" t="s">
        <v>435</v>
      </c>
      <c r="C85" s="16"/>
      <c r="D85" s="17"/>
      <c r="E85" s="17"/>
      <c r="F85" s="17"/>
      <c r="G85" s="17"/>
      <c r="H85" s="17"/>
      <c r="I85" s="17"/>
      <c r="J85" s="115">
        <f aca="true" t="shared" si="30" ref="J85:J92">SUM(D85:I85)</f>
        <v>0</v>
      </c>
      <c r="K85" s="112"/>
      <c r="L85" s="17"/>
      <c r="M85" s="17"/>
      <c r="N85" s="17"/>
      <c r="O85" s="17"/>
      <c r="P85" s="615"/>
      <c r="Q85" s="17"/>
      <c r="R85" s="702">
        <f aca="true" t="shared" si="31" ref="R85:R92">SUM(L85:Q85)</f>
        <v>0</v>
      </c>
      <c r="S85" s="112"/>
      <c r="T85" s="103"/>
    </row>
    <row r="86" spans="2:20" ht="15">
      <c r="B86" s="94" t="s">
        <v>436</v>
      </c>
      <c r="C86" s="16"/>
      <c r="D86" s="17"/>
      <c r="E86" s="17"/>
      <c r="F86" s="17"/>
      <c r="G86" s="17"/>
      <c r="H86" s="17"/>
      <c r="I86" s="17"/>
      <c r="J86" s="115">
        <f t="shared" si="30"/>
        <v>0</v>
      </c>
      <c r="K86" s="112"/>
      <c r="L86" s="17"/>
      <c r="M86" s="17"/>
      <c r="N86" s="17"/>
      <c r="O86" s="17"/>
      <c r="P86" s="615"/>
      <c r="Q86" s="17"/>
      <c r="R86" s="702">
        <f t="shared" si="31"/>
        <v>0</v>
      </c>
      <c r="S86" s="112"/>
      <c r="T86" s="103"/>
    </row>
    <row r="87" spans="2:20" ht="15">
      <c r="B87" s="94" t="s">
        <v>437</v>
      </c>
      <c r="C87" s="16"/>
      <c r="D87" s="17"/>
      <c r="E87" s="17"/>
      <c r="F87" s="17"/>
      <c r="G87" s="17"/>
      <c r="H87" s="17"/>
      <c r="I87" s="17"/>
      <c r="J87" s="115">
        <f t="shared" si="30"/>
        <v>0</v>
      </c>
      <c r="K87" s="112"/>
      <c r="L87" s="17"/>
      <c r="M87" s="17"/>
      <c r="N87" s="17"/>
      <c r="O87" s="17"/>
      <c r="P87" s="615"/>
      <c r="Q87" s="17"/>
      <c r="R87" s="702">
        <f t="shared" si="31"/>
        <v>0</v>
      </c>
      <c r="S87" s="112"/>
      <c r="T87" s="103"/>
    </row>
    <row r="88" spans="2:20" ht="15">
      <c r="B88" s="94" t="s">
        <v>438</v>
      </c>
      <c r="C88" s="16"/>
      <c r="D88" s="17"/>
      <c r="E88" s="17"/>
      <c r="F88" s="17"/>
      <c r="G88" s="17"/>
      <c r="H88" s="17"/>
      <c r="I88" s="17"/>
      <c r="J88" s="115">
        <f t="shared" si="30"/>
        <v>0</v>
      </c>
      <c r="K88" s="112"/>
      <c r="L88" s="17"/>
      <c r="M88" s="17"/>
      <c r="N88" s="17"/>
      <c r="O88" s="17"/>
      <c r="P88" s="615"/>
      <c r="Q88" s="17"/>
      <c r="R88" s="702">
        <f t="shared" si="31"/>
        <v>0</v>
      </c>
      <c r="S88" s="112"/>
      <c r="T88" s="103"/>
    </row>
    <row r="89" spans="2:20" ht="15">
      <c r="B89" s="94" t="s">
        <v>439</v>
      </c>
      <c r="C89" s="16"/>
      <c r="D89" s="17"/>
      <c r="E89" s="17"/>
      <c r="F89" s="17"/>
      <c r="G89" s="17"/>
      <c r="H89" s="17"/>
      <c r="I89" s="17"/>
      <c r="J89" s="115">
        <f t="shared" si="30"/>
        <v>0</v>
      </c>
      <c r="K89" s="112"/>
      <c r="L89" s="17"/>
      <c r="M89" s="17"/>
      <c r="N89" s="17"/>
      <c r="O89" s="17"/>
      <c r="P89" s="615"/>
      <c r="Q89" s="17"/>
      <c r="R89" s="702">
        <f t="shared" si="31"/>
        <v>0</v>
      </c>
      <c r="S89" s="112"/>
      <c r="T89" s="103"/>
    </row>
    <row r="90" spans="2:20" ht="15">
      <c r="B90" s="94" t="s">
        <v>440</v>
      </c>
      <c r="C90" s="16"/>
      <c r="D90" s="17"/>
      <c r="E90" s="17"/>
      <c r="F90" s="17"/>
      <c r="G90" s="17"/>
      <c r="H90" s="17"/>
      <c r="I90" s="17"/>
      <c r="J90" s="115">
        <f t="shared" si="30"/>
        <v>0</v>
      </c>
      <c r="K90" s="112"/>
      <c r="L90" s="17"/>
      <c r="M90" s="17"/>
      <c r="N90" s="17"/>
      <c r="O90" s="17"/>
      <c r="P90" s="615"/>
      <c r="Q90" s="17"/>
      <c r="R90" s="702">
        <f t="shared" si="31"/>
        <v>0</v>
      </c>
      <c r="S90" s="112"/>
      <c r="T90" s="103"/>
    </row>
    <row r="91" spans="2:20" ht="15">
      <c r="B91" s="94" t="s">
        <v>441</v>
      </c>
      <c r="C91" s="637"/>
      <c r="D91" s="18"/>
      <c r="E91" s="18"/>
      <c r="F91" s="18"/>
      <c r="G91" s="18"/>
      <c r="H91" s="18"/>
      <c r="I91" s="18"/>
      <c r="J91" s="115">
        <f t="shared" si="30"/>
        <v>0</v>
      </c>
      <c r="K91" s="113"/>
      <c r="L91" s="17"/>
      <c r="M91" s="17"/>
      <c r="N91" s="17"/>
      <c r="O91" s="17"/>
      <c r="P91" s="615"/>
      <c r="Q91" s="17"/>
      <c r="R91" s="702">
        <f t="shared" si="31"/>
        <v>0</v>
      </c>
      <c r="S91" s="113"/>
      <c r="T91" s="104"/>
    </row>
    <row r="92" spans="2:20" ht="15">
      <c r="B92" s="94" t="s">
        <v>442</v>
      </c>
      <c r="C92" s="637"/>
      <c r="D92" s="18"/>
      <c r="E92" s="18"/>
      <c r="F92" s="18"/>
      <c r="G92" s="18"/>
      <c r="H92" s="18"/>
      <c r="I92" s="18"/>
      <c r="J92" s="115">
        <f t="shared" si="30"/>
        <v>0</v>
      </c>
      <c r="K92" s="113"/>
      <c r="L92" s="17"/>
      <c r="M92" s="17"/>
      <c r="N92" s="17"/>
      <c r="O92" s="17"/>
      <c r="P92" s="615"/>
      <c r="Q92" s="17"/>
      <c r="R92" s="702">
        <f t="shared" si="31"/>
        <v>0</v>
      </c>
      <c r="S92" s="113"/>
      <c r="T92" s="104"/>
    </row>
    <row r="93" spans="3:20" ht="15">
      <c r="C93" s="95" t="s">
        <v>520</v>
      </c>
      <c r="D93" s="19">
        <f aca="true" t="shared" si="32" ref="D93:J93">SUM(D85:D92)</f>
        <v>0</v>
      </c>
      <c r="E93" s="19">
        <f t="shared" si="32"/>
        <v>0</v>
      </c>
      <c r="F93" s="19">
        <f t="shared" si="32"/>
        <v>0</v>
      </c>
      <c r="G93" s="19">
        <f t="shared" si="32"/>
        <v>0</v>
      </c>
      <c r="H93" s="19">
        <f t="shared" si="32"/>
        <v>0</v>
      </c>
      <c r="I93" s="19">
        <f t="shared" si="32"/>
        <v>0</v>
      </c>
      <c r="J93" s="19">
        <f t="shared" si="32"/>
        <v>0</v>
      </c>
      <c r="K93" s="19">
        <f>(K85*J85)+(K86*J86)+(K87*J87)+(K88*J88)+(K89*J89)+(K90*J90)+(K91*J91)+(K92*J92)</f>
        <v>0</v>
      </c>
      <c r="L93" s="703">
        <f>SUM(L85:L92)</f>
        <v>0</v>
      </c>
      <c r="M93" s="703">
        <f aca="true" t="shared" si="33" ref="M93:R93">SUM(M85:M92)</f>
        <v>0</v>
      </c>
      <c r="N93" s="703">
        <f t="shared" si="33"/>
        <v>0</v>
      </c>
      <c r="O93" s="703">
        <f t="shared" si="33"/>
        <v>0</v>
      </c>
      <c r="P93" s="703">
        <f t="shared" si="33"/>
        <v>0</v>
      </c>
      <c r="Q93" s="703">
        <f t="shared" si="33"/>
        <v>0</v>
      </c>
      <c r="R93" s="703">
        <f t="shared" si="33"/>
        <v>0</v>
      </c>
      <c r="S93" s="19">
        <f>(S85*R85)+(S86*R86)+(S87*R87)+(S88*R88)+(S89*R89)+(S90*R90)+(S91*R91)+(S92*R92)</f>
        <v>0</v>
      </c>
      <c r="T93" s="104"/>
    </row>
    <row r="94" spans="2:20" ht="15">
      <c r="B94" s="6"/>
      <c r="C94" s="12"/>
      <c r="D94" s="23"/>
      <c r="E94" s="23"/>
      <c r="F94" s="23"/>
      <c r="G94" s="23"/>
      <c r="H94" s="23"/>
      <c r="I94" s="23"/>
      <c r="J94" s="23"/>
      <c r="K94" s="23"/>
      <c r="L94" s="23"/>
      <c r="M94" s="23"/>
      <c r="N94" s="23"/>
      <c r="O94" s="23"/>
      <c r="P94" s="23"/>
      <c r="Q94" s="23"/>
      <c r="R94" s="23"/>
      <c r="S94" s="23"/>
      <c r="T94" s="12"/>
    </row>
    <row r="95" spans="2:20" ht="15">
      <c r="B95" s="95" t="s">
        <v>443</v>
      </c>
      <c r="C95" s="776" t="s">
        <v>585</v>
      </c>
      <c r="D95" s="776"/>
      <c r="E95" s="776"/>
      <c r="F95" s="776"/>
      <c r="G95" s="776"/>
      <c r="H95" s="776"/>
      <c r="I95" s="776"/>
      <c r="J95" s="776"/>
      <c r="K95" s="776"/>
      <c r="L95" s="776"/>
      <c r="M95" s="776"/>
      <c r="N95" s="776"/>
      <c r="O95" s="776"/>
      <c r="P95" s="776"/>
      <c r="Q95" s="776"/>
      <c r="R95" s="776"/>
      <c r="S95" s="776"/>
      <c r="T95" s="776"/>
    </row>
    <row r="96" spans="2:20" ht="15">
      <c r="B96" s="93" t="s">
        <v>444</v>
      </c>
      <c r="C96" s="776" t="s">
        <v>586</v>
      </c>
      <c r="D96" s="776"/>
      <c r="E96" s="776"/>
      <c r="F96" s="776"/>
      <c r="G96" s="776"/>
      <c r="H96" s="776"/>
      <c r="I96" s="776"/>
      <c r="J96" s="776"/>
      <c r="K96" s="776"/>
      <c r="L96" s="776"/>
      <c r="M96" s="776"/>
      <c r="N96" s="776"/>
      <c r="O96" s="776"/>
      <c r="P96" s="776"/>
      <c r="Q96" s="776"/>
      <c r="R96" s="776"/>
      <c r="S96" s="776"/>
      <c r="T96" s="776"/>
    </row>
    <row r="97" spans="2:20" ht="61.5">
      <c r="B97" s="94" t="s">
        <v>445</v>
      </c>
      <c r="C97" s="16" t="s">
        <v>600</v>
      </c>
      <c r="D97" s="17"/>
      <c r="E97" s="17"/>
      <c r="F97" s="17"/>
      <c r="G97" s="17">
        <v>60000.263999999996</v>
      </c>
      <c r="H97" s="17">
        <v>70000</v>
      </c>
      <c r="I97" s="17">
        <v>43000</v>
      </c>
      <c r="J97" s="115">
        <f aca="true" t="shared" si="34" ref="J97:J103">SUM(D97:I97)</f>
        <v>173000.264</v>
      </c>
      <c r="K97" s="112">
        <v>0.1</v>
      </c>
      <c r="L97" s="687"/>
      <c r="M97" s="687"/>
      <c r="N97" s="687"/>
      <c r="O97" s="689">
        <v>90516.98</v>
      </c>
      <c r="P97" s="689">
        <v>50829</v>
      </c>
      <c r="Q97" s="688">
        <v>15000</v>
      </c>
      <c r="R97" s="702">
        <f aca="true" t="shared" si="35" ref="R97:R108">SUM(L97:Q97)</f>
        <v>156345.97999999998</v>
      </c>
      <c r="S97" s="688">
        <f aca="true" t="shared" si="36" ref="S97:S108">R97*K97</f>
        <v>15634.597999999998</v>
      </c>
      <c r="T97" s="103" t="s">
        <v>889</v>
      </c>
    </row>
    <row r="98" spans="2:20" ht="15">
      <c r="B98" s="94" t="s">
        <v>446</v>
      </c>
      <c r="C98" s="16" t="s">
        <v>602</v>
      </c>
      <c r="D98" s="17"/>
      <c r="E98" s="17"/>
      <c r="F98" s="17"/>
      <c r="G98" s="17">
        <v>70025</v>
      </c>
      <c r="H98" s="17">
        <v>80000</v>
      </c>
      <c r="I98" s="17">
        <v>35656.9851052902</v>
      </c>
      <c r="J98" s="115">
        <f t="shared" si="34"/>
        <v>185681.9851052902</v>
      </c>
      <c r="K98" s="112">
        <v>0.5</v>
      </c>
      <c r="L98" s="687"/>
      <c r="M98" s="687"/>
      <c r="N98" s="687"/>
      <c r="O98" s="689">
        <v>76338.51</v>
      </c>
      <c r="P98" s="689">
        <v>80000</v>
      </c>
      <c r="Q98" s="683">
        <v>35000</v>
      </c>
      <c r="R98" s="702">
        <f t="shared" si="35"/>
        <v>191338.51</v>
      </c>
      <c r="S98" s="688">
        <f t="shared" si="36"/>
        <v>95669.255</v>
      </c>
      <c r="T98" s="103" t="s">
        <v>878</v>
      </c>
    </row>
    <row r="99" spans="2:20" ht="15">
      <c r="B99" s="94" t="s">
        <v>447</v>
      </c>
      <c r="C99" s="16" t="s">
        <v>601</v>
      </c>
      <c r="D99" s="17"/>
      <c r="E99" s="17"/>
      <c r="F99" s="17"/>
      <c r="G99" s="17">
        <v>39824.000000000015</v>
      </c>
      <c r="H99" s="17">
        <v>43000</v>
      </c>
      <c r="I99" s="17">
        <v>45454.5454545454</v>
      </c>
      <c r="J99" s="115">
        <f t="shared" si="34"/>
        <v>128278.54545454541</v>
      </c>
      <c r="K99" s="112"/>
      <c r="L99" s="687"/>
      <c r="M99" s="687"/>
      <c r="N99" s="687"/>
      <c r="O99" s="689">
        <v>42849.71</v>
      </c>
      <c r="P99" s="689">
        <v>24202</v>
      </c>
      <c r="Q99" s="688">
        <v>45454.54545454545</v>
      </c>
      <c r="R99" s="702">
        <f t="shared" si="35"/>
        <v>112506.25545454543</v>
      </c>
      <c r="S99" s="688">
        <f t="shared" si="36"/>
        <v>0</v>
      </c>
      <c r="T99" s="103" t="s">
        <v>878</v>
      </c>
    </row>
    <row r="100" spans="2:20" ht="30.75">
      <c r="B100" s="94" t="s">
        <v>448</v>
      </c>
      <c r="C100" s="16" t="s">
        <v>587</v>
      </c>
      <c r="D100" s="17"/>
      <c r="E100" s="17"/>
      <c r="F100" s="17"/>
      <c r="G100" s="17">
        <v>20000</v>
      </c>
      <c r="H100" s="729">
        <v>12000</v>
      </c>
      <c r="I100" s="17">
        <v>35656.9851052902</v>
      </c>
      <c r="J100" s="115">
        <f t="shared" si="34"/>
        <v>67656.9851052902</v>
      </c>
      <c r="K100" s="112"/>
      <c r="L100" s="687"/>
      <c r="M100" s="687"/>
      <c r="N100" s="687"/>
      <c r="O100" s="689">
        <v>37000</v>
      </c>
      <c r="P100" s="689">
        <v>19174</v>
      </c>
      <c r="Q100" s="688">
        <v>15000</v>
      </c>
      <c r="R100" s="702">
        <f t="shared" si="35"/>
        <v>71174</v>
      </c>
      <c r="S100" s="688">
        <f t="shared" si="36"/>
        <v>0</v>
      </c>
      <c r="T100" s="103" t="s">
        <v>878</v>
      </c>
    </row>
    <row r="101" spans="2:20" ht="46.5">
      <c r="B101" s="94" t="s">
        <v>449</v>
      </c>
      <c r="C101" s="16" t="s">
        <v>613</v>
      </c>
      <c r="D101" s="17"/>
      <c r="E101" s="17"/>
      <c r="F101" s="17"/>
      <c r="G101" s="17">
        <v>10000</v>
      </c>
      <c r="H101" s="17">
        <v>3000</v>
      </c>
      <c r="I101" s="17">
        <v>8541.242937853107</v>
      </c>
      <c r="J101" s="115">
        <f t="shared" si="34"/>
        <v>21541.24293785311</v>
      </c>
      <c r="K101" s="112">
        <v>0.3</v>
      </c>
      <c r="L101" s="687"/>
      <c r="M101" s="687"/>
      <c r="N101" s="687"/>
      <c r="O101" s="689">
        <f>5046.29+5000</f>
        <v>10046.29</v>
      </c>
      <c r="P101" s="689">
        <v>3000</v>
      </c>
      <c r="Q101" s="688">
        <v>7200</v>
      </c>
      <c r="R101" s="702">
        <f t="shared" si="35"/>
        <v>20246.29</v>
      </c>
      <c r="S101" s="688">
        <f t="shared" si="36"/>
        <v>6073.887</v>
      </c>
      <c r="T101" s="103" t="s">
        <v>879</v>
      </c>
    </row>
    <row r="102" spans="2:20" ht="30.75">
      <c r="B102" s="94" t="s">
        <v>450</v>
      </c>
      <c r="C102" s="16" t="s">
        <v>614</v>
      </c>
      <c r="D102" s="17"/>
      <c r="E102" s="17"/>
      <c r="F102" s="17"/>
      <c r="G102" s="17">
        <v>10000</v>
      </c>
      <c r="H102" s="17">
        <v>3000</v>
      </c>
      <c r="I102" s="17">
        <v>33898.30508474576</v>
      </c>
      <c r="J102" s="115">
        <f t="shared" si="34"/>
        <v>46898.30508474576</v>
      </c>
      <c r="K102" s="112">
        <v>0.3</v>
      </c>
      <c r="L102" s="687"/>
      <c r="M102" s="687"/>
      <c r="N102" s="687"/>
      <c r="O102" s="689">
        <v>10000</v>
      </c>
      <c r="P102" s="689">
        <v>3000</v>
      </c>
      <c r="Q102" s="688">
        <v>45623.635336415</v>
      </c>
      <c r="R102" s="702">
        <f t="shared" si="35"/>
        <v>58623.635336415</v>
      </c>
      <c r="S102" s="688">
        <f t="shared" si="36"/>
        <v>17587.090600924497</v>
      </c>
      <c r="T102" s="103" t="s">
        <v>879</v>
      </c>
    </row>
    <row r="103" spans="2:20" ht="30.75">
      <c r="B103" s="94" t="s">
        <v>451</v>
      </c>
      <c r="C103" s="16" t="s">
        <v>615</v>
      </c>
      <c r="D103" s="17"/>
      <c r="E103" s="17"/>
      <c r="F103" s="17"/>
      <c r="G103" s="18">
        <v>40446</v>
      </c>
      <c r="H103" s="17">
        <v>12000</v>
      </c>
      <c r="I103" s="18">
        <v>5674.545454545455</v>
      </c>
      <c r="J103" s="115">
        <f t="shared" si="34"/>
        <v>58120.545454545456</v>
      </c>
      <c r="K103" s="113">
        <v>1</v>
      </c>
      <c r="L103" s="687"/>
      <c r="M103" s="687"/>
      <c r="N103" s="687"/>
      <c r="O103" s="689">
        <v>44092.87</v>
      </c>
      <c r="P103" s="689">
        <v>15558</v>
      </c>
      <c r="Q103" s="688">
        <v>5674.54545454545</v>
      </c>
      <c r="R103" s="702">
        <f t="shared" si="35"/>
        <v>65325.41545454545</v>
      </c>
      <c r="S103" s="688">
        <f t="shared" si="36"/>
        <v>65325.41545454545</v>
      </c>
      <c r="T103" s="103" t="s">
        <v>878</v>
      </c>
    </row>
    <row r="104" spans="2:20" ht="61.5">
      <c r="B104" s="94" t="s">
        <v>452</v>
      </c>
      <c r="C104" s="16" t="s">
        <v>616</v>
      </c>
      <c r="D104" s="17"/>
      <c r="E104" s="17"/>
      <c r="F104" s="17"/>
      <c r="G104" s="18">
        <v>10000</v>
      </c>
      <c r="H104" s="17">
        <v>4000</v>
      </c>
      <c r="I104" s="17">
        <v>20000</v>
      </c>
      <c r="J104" s="115">
        <f>SUM(D104:I104)</f>
        <v>34000</v>
      </c>
      <c r="K104" s="113">
        <v>0.3</v>
      </c>
      <c r="L104" s="687"/>
      <c r="M104" s="687"/>
      <c r="N104" s="687"/>
      <c r="O104" s="689">
        <v>8240.92</v>
      </c>
      <c r="P104" s="689">
        <v>4000</v>
      </c>
      <c r="Q104" s="689">
        <v>20000</v>
      </c>
      <c r="R104" s="702">
        <f t="shared" si="35"/>
        <v>32240.92</v>
      </c>
      <c r="S104" s="688">
        <f t="shared" si="36"/>
        <v>9672.276</v>
      </c>
      <c r="T104" s="103" t="s">
        <v>879</v>
      </c>
    </row>
    <row r="105" spans="2:20" ht="77.25">
      <c r="B105" s="94" t="s">
        <v>904</v>
      </c>
      <c r="C105" s="645" t="s">
        <v>908</v>
      </c>
      <c r="D105" s="606"/>
      <c r="E105" s="606"/>
      <c r="F105" s="606"/>
      <c r="G105" s="693">
        <v>41000</v>
      </c>
      <c r="H105" s="606">
        <v>28000</v>
      </c>
      <c r="I105" s="609">
        <v>30000</v>
      </c>
      <c r="J105" s="115">
        <f>SUM(D105:I105)</f>
        <v>99000</v>
      </c>
      <c r="K105" s="643">
        <v>0.3</v>
      </c>
      <c r="L105" s="606"/>
      <c r="M105" s="606"/>
      <c r="N105" s="606"/>
      <c r="O105" s="728">
        <v>38000</v>
      </c>
      <c r="P105" s="693">
        <v>10000</v>
      </c>
      <c r="Q105" s="652">
        <v>20000</v>
      </c>
      <c r="R105" s="705">
        <f t="shared" si="35"/>
        <v>68000</v>
      </c>
      <c r="S105" s="691">
        <f t="shared" si="36"/>
        <v>20400</v>
      </c>
      <c r="T105" s="640" t="s">
        <v>946</v>
      </c>
    </row>
    <row r="106" spans="2:20" ht="46.5">
      <c r="B106" s="94" t="s">
        <v>905</v>
      </c>
      <c r="C106" s="645" t="s">
        <v>909</v>
      </c>
      <c r="D106" s="606"/>
      <c r="E106" s="606"/>
      <c r="F106" s="606"/>
      <c r="G106" s="693">
        <v>33000</v>
      </c>
      <c r="H106" s="606">
        <v>21000</v>
      </c>
      <c r="I106" s="609">
        <v>25000</v>
      </c>
      <c r="J106" s="115">
        <f>SUM(D106:I106)</f>
        <v>79000</v>
      </c>
      <c r="K106" s="643"/>
      <c r="L106" s="606"/>
      <c r="M106" s="606"/>
      <c r="N106" s="606"/>
      <c r="O106" s="728">
        <v>33000</v>
      </c>
      <c r="P106" s="693">
        <v>10418</v>
      </c>
      <c r="Q106" s="652">
        <v>20000</v>
      </c>
      <c r="R106" s="705">
        <f t="shared" si="35"/>
        <v>63418</v>
      </c>
      <c r="S106" s="691">
        <f t="shared" si="36"/>
        <v>0</v>
      </c>
      <c r="T106" s="640" t="s">
        <v>938</v>
      </c>
    </row>
    <row r="107" spans="2:20" ht="46.5">
      <c r="B107" s="94" t="s">
        <v>906</v>
      </c>
      <c r="C107" s="645" t="s">
        <v>910</v>
      </c>
      <c r="D107" s="606"/>
      <c r="E107" s="606"/>
      <c r="F107" s="606"/>
      <c r="G107" s="693">
        <v>25000</v>
      </c>
      <c r="H107" s="606">
        <v>13000</v>
      </c>
      <c r="I107" s="609">
        <v>25000</v>
      </c>
      <c r="J107" s="115">
        <f>SUM(D107:I107)</f>
        <v>63000</v>
      </c>
      <c r="K107" s="643"/>
      <c r="L107" s="606"/>
      <c r="M107" s="606"/>
      <c r="N107" s="606"/>
      <c r="O107" s="728">
        <f>25000-703</f>
        <v>24297</v>
      </c>
      <c r="P107" s="728"/>
      <c r="Q107" s="652">
        <v>20000</v>
      </c>
      <c r="R107" s="705">
        <f t="shared" si="35"/>
        <v>44297</v>
      </c>
      <c r="S107" s="691">
        <f t="shared" si="36"/>
        <v>0</v>
      </c>
      <c r="T107" s="640" t="s">
        <v>939</v>
      </c>
    </row>
    <row r="108" spans="2:20" ht="30.75">
      <c r="B108" s="94" t="s">
        <v>907</v>
      </c>
      <c r="C108" s="645" t="s">
        <v>911</v>
      </c>
      <c r="D108" s="606"/>
      <c r="E108" s="606"/>
      <c r="F108" s="606"/>
      <c r="G108" s="693">
        <v>25000</v>
      </c>
      <c r="H108" s="606">
        <v>13000</v>
      </c>
      <c r="I108" s="609">
        <v>20000</v>
      </c>
      <c r="J108" s="115">
        <f>SUM(D108:I108)</f>
        <v>58000</v>
      </c>
      <c r="K108" s="643">
        <v>0.3</v>
      </c>
      <c r="L108" s="606"/>
      <c r="M108" s="606"/>
      <c r="N108" s="606"/>
      <c r="O108" s="728">
        <v>15000</v>
      </c>
      <c r="P108" s="728"/>
      <c r="Q108" s="652">
        <v>15000</v>
      </c>
      <c r="R108" s="705">
        <f t="shared" si="35"/>
        <v>30000</v>
      </c>
      <c r="S108" s="691">
        <f t="shared" si="36"/>
        <v>9000</v>
      </c>
      <c r="T108" s="640" t="s">
        <v>938</v>
      </c>
    </row>
    <row r="109" spans="2:20" ht="15">
      <c r="B109" s="94"/>
      <c r="C109" s="16"/>
      <c r="D109" s="17"/>
      <c r="E109" s="17"/>
      <c r="F109" s="17"/>
      <c r="G109" s="18"/>
      <c r="H109" s="17"/>
      <c r="I109" s="17"/>
      <c r="J109" s="115"/>
      <c r="K109" s="113"/>
      <c r="L109" s="17"/>
      <c r="M109" s="17"/>
      <c r="N109" s="17"/>
      <c r="O109" s="18"/>
      <c r="P109" s="615"/>
      <c r="Q109" s="17"/>
      <c r="R109" s="702"/>
      <c r="S109" s="113"/>
      <c r="T109" s="103"/>
    </row>
    <row r="110" spans="3:20" ht="15">
      <c r="C110" s="95" t="s">
        <v>520</v>
      </c>
      <c r="D110" s="19">
        <f aca="true" t="shared" si="37" ref="D110:J110">SUM(D97:D109)</f>
        <v>0</v>
      </c>
      <c r="E110" s="19">
        <f t="shared" si="37"/>
        <v>0</v>
      </c>
      <c r="F110" s="19">
        <f t="shared" si="37"/>
        <v>0</v>
      </c>
      <c r="G110" s="19">
        <f>SUM(G97:G109)</f>
        <v>384295.264</v>
      </c>
      <c r="H110" s="19">
        <f t="shared" si="37"/>
        <v>302000</v>
      </c>
      <c r="I110" s="19">
        <f t="shared" si="37"/>
        <v>327882.60914227006</v>
      </c>
      <c r="J110" s="22">
        <f t="shared" si="37"/>
        <v>1014177.87314227</v>
      </c>
      <c r="K110" s="692">
        <f>(K97*J97)+(K98*J98)+(K99*J99)+(K100*J100)+(K101*J101)+(K102*J102)+(K103*J103)+(K104*J104)+(K105*J105)+(K108*J108)</f>
        <v>246093.4288139702</v>
      </c>
      <c r="L110" s="704">
        <f aca="true" t="shared" si="38" ref="L110:S110">SUM(L97:L109)</f>
        <v>0</v>
      </c>
      <c r="M110" s="704">
        <f t="shared" si="38"/>
        <v>0</v>
      </c>
      <c r="N110" s="704">
        <f t="shared" si="38"/>
        <v>0</v>
      </c>
      <c r="O110" s="704">
        <f t="shared" si="38"/>
        <v>429382.27999999997</v>
      </c>
      <c r="P110" s="704">
        <f>SUM(P97:P109)</f>
        <v>220181</v>
      </c>
      <c r="Q110" s="704">
        <f t="shared" si="38"/>
        <v>263952.72624550585</v>
      </c>
      <c r="R110" s="704">
        <f t="shared" si="38"/>
        <v>913516.0062455059</v>
      </c>
      <c r="S110" s="19">
        <f t="shared" si="38"/>
        <v>239362.52205546998</v>
      </c>
      <c r="T110" s="104"/>
    </row>
    <row r="111" spans="2:20" ht="15">
      <c r="B111" s="93" t="s">
        <v>453</v>
      </c>
      <c r="C111" s="776" t="s">
        <v>883</v>
      </c>
      <c r="D111" s="776"/>
      <c r="E111" s="776"/>
      <c r="F111" s="776"/>
      <c r="G111" s="776"/>
      <c r="H111" s="776"/>
      <c r="I111" s="776"/>
      <c r="J111" s="776"/>
      <c r="K111" s="776"/>
      <c r="L111" s="776"/>
      <c r="M111" s="776"/>
      <c r="N111" s="776"/>
      <c r="O111" s="776"/>
      <c r="P111" s="776"/>
      <c r="Q111" s="776"/>
      <c r="R111" s="776"/>
      <c r="S111" s="776"/>
      <c r="T111" s="776"/>
    </row>
    <row r="112" spans="2:20" ht="46.5">
      <c r="B112" s="94" t="s">
        <v>454</v>
      </c>
      <c r="C112" s="16" t="s">
        <v>589</v>
      </c>
      <c r="D112" s="17"/>
      <c r="E112" s="17"/>
      <c r="F112" s="17"/>
      <c r="G112" s="17">
        <v>13750</v>
      </c>
      <c r="H112" s="17">
        <v>12000</v>
      </c>
      <c r="I112" s="17">
        <v>3636.363636363636</v>
      </c>
      <c r="J112" s="115">
        <f aca="true" t="shared" si="39" ref="J112:J121">SUM(D112:I112)</f>
        <v>29386.363636363636</v>
      </c>
      <c r="K112" s="112">
        <v>0.3</v>
      </c>
      <c r="L112" s="687"/>
      <c r="M112" s="687"/>
      <c r="N112" s="687"/>
      <c r="O112" s="686">
        <v>12401.070000000002</v>
      </c>
      <c r="P112" s="688">
        <v>12000</v>
      </c>
      <c r="Q112" s="683"/>
      <c r="R112" s="702">
        <f aca="true" t="shared" si="40" ref="R112:R121">SUM(L112:Q112)</f>
        <v>24401.07</v>
      </c>
      <c r="S112" s="688">
        <f aca="true" t="shared" si="41" ref="S112:S121">R112*K112</f>
        <v>7320.321</v>
      </c>
      <c r="T112" s="103" t="s">
        <v>880</v>
      </c>
    </row>
    <row r="113" spans="2:20" ht="46.5">
      <c r="B113" s="94" t="s">
        <v>455</v>
      </c>
      <c r="C113" s="16" t="s">
        <v>617</v>
      </c>
      <c r="D113" s="17"/>
      <c r="E113" s="17"/>
      <c r="F113" s="17"/>
      <c r="G113" s="17">
        <v>13750</v>
      </c>
      <c r="H113" s="17">
        <v>12000</v>
      </c>
      <c r="I113" s="17">
        <v>0</v>
      </c>
      <c r="J113" s="115">
        <f t="shared" si="39"/>
        <v>25750</v>
      </c>
      <c r="K113" s="112"/>
      <c r="L113" s="687"/>
      <c r="M113" s="687"/>
      <c r="N113" s="687"/>
      <c r="O113" s="686">
        <v>16350.869999999999</v>
      </c>
      <c r="P113" s="688">
        <v>12000</v>
      </c>
      <c r="Q113" s="683"/>
      <c r="R113" s="702">
        <f t="shared" si="40"/>
        <v>28350.87</v>
      </c>
      <c r="S113" s="688">
        <f t="shared" si="41"/>
        <v>0</v>
      </c>
      <c r="T113" s="103" t="s">
        <v>880</v>
      </c>
    </row>
    <row r="114" spans="2:20" ht="46.5">
      <c r="B114" s="94" t="s">
        <v>456</v>
      </c>
      <c r="C114" s="16" t="s">
        <v>590</v>
      </c>
      <c r="D114" s="17"/>
      <c r="E114" s="17"/>
      <c r="F114" s="17"/>
      <c r="G114" s="17">
        <v>15000</v>
      </c>
      <c r="H114" s="17">
        <v>2000</v>
      </c>
      <c r="I114" s="17">
        <v>13500</v>
      </c>
      <c r="J114" s="115">
        <f t="shared" si="39"/>
        <v>30500</v>
      </c>
      <c r="K114" s="112">
        <v>1</v>
      </c>
      <c r="L114" s="687"/>
      <c r="M114" s="687"/>
      <c r="N114" s="687"/>
      <c r="O114" s="686">
        <v>14664.34</v>
      </c>
      <c r="P114" s="688">
        <v>2000</v>
      </c>
      <c r="Q114" s="683">
        <v>12073</v>
      </c>
      <c r="R114" s="702">
        <f t="shared" si="40"/>
        <v>28737.34</v>
      </c>
      <c r="S114" s="688">
        <f t="shared" si="41"/>
        <v>28737.34</v>
      </c>
      <c r="T114" s="103" t="s">
        <v>880</v>
      </c>
    </row>
    <row r="115" spans="2:20" ht="46.5">
      <c r="B115" s="94" t="s">
        <v>457</v>
      </c>
      <c r="C115" s="16" t="s">
        <v>592</v>
      </c>
      <c r="D115" s="17"/>
      <c r="E115" s="17"/>
      <c r="F115" s="17"/>
      <c r="G115" s="17">
        <v>16500</v>
      </c>
      <c r="H115" s="17">
        <v>6000</v>
      </c>
      <c r="I115" s="17">
        <v>1000</v>
      </c>
      <c r="J115" s="115">
        <f t="shared" si="39"/>
        <v>23500</v>
      </c>
      <c r="K115" s="112">
        <v>0.3</v>
      </c>
      <c r="L115" s="687"/>
      <c r="M115" s="687"/>
      <c r="N115" s="687"/>
      <c r="O115" s="686">
        <f>7665.64+9562</f>
        <v>17227.64</v>
      </c>
      <c r="P115" s="688">
        <v>6000</v>
      </c>
      <c r="Q115" s="683">
        <v>1000</v>
      </c>
      <c r="R115" s="702">
        <f t="shared" si="40"/>
        <v>24227.64</v>
      </c>
      <c r="S115" s="688">
        <f t="shared" si="41"/>
        <v>7268.2919999999995</v>
      </c>
      <c r="T115" s="103" t="s">
        <v>880</v>
      </c>
    </row>
    <row r="116" spans="2:20" ht="46.5">
      <c r="B116" s="94" t="s">
        <v>458</v>
      </c>
      <c r="C116" s="16" t="s">
        <v>593</v>
      </c>
      <c r="D116" s="17"/>
      <c r="E116" s="17"/>
      <c r="F116" s="17"/>
      <c r="G116" s="17">
        <v>15000</v>
      </c>
      <c r="H116" s="17">
        <v>6000</v>
      </c>
      <c r="I116" s="17">
        <v>654.545454545455</v>
      </c>
      <c r="J116" s="115">
        <f t="shared" si="39"/>
        <v>21654.545454545456</v>
      </c>
      <c r="K116" s="112"/>
      <c r="L116" s="687"/>
      <c r="M116" s="687"/>
      <c r="N116" s="687"/>
      <c r="O116" s="686">
        <v>15000</v>
      </c>
      <c r="P116" s="688">
        <v>654.545454545455</v>
      </c>
      <c r="Q116" s="683">
        <v>654.545454545455</v>
      </c>
      <c r="R116" s="702">
        <f t="shared" si="40"/>
        <v>16309.090909090912</v>
      </c>
      <c r="S116" s="688">
        <f t="shared" si="41"/>
        <v>0</v>
      </c>
      <c r="T116" s="103" t="s">
        <v>880</v>
      </c>
    </row>
    <row r="117" spans="2:20" ht="46.5">
      <c r="B117" s="94" t="s">
        <v>459</v>
      </c>
      <c r="C117" s="16" t="s">
        <v>594</v>
      </c>
      <c r="D117" s="17"/>
      <c r="E117" s="17"/>
      <c r="F117" s="17"/>
      <c r="G117" s="17">
        <v>10999.640000000001</v>
      </c>
      <c r="H117" s="17">
        <v>6000</v>
      </c>
      <c r="I117" s="17">
        <v>8738.57627118644</v>
      </c>
      <c r="J117" s="115">
        <f t="shared" si="39"/>
        <v>25738.21627118644</v>
      </c>
      <c r="K117" s="112"/>
      <c r="L117" s="687"/>
      <c r="M117" s="687"/>
      <c r="N117" s="687"/>
      <c r="O117" s="686">
        <v>11905.68</v>
      </c>
      <c r="P117" s="688">
        <v>1</v>
      </c>
      <c r="Q117" s="683">
        <v>8738.57627118644</v>
      </c>
      <c r="R117" s="702">
        <f t="shared" si="40"/>
        <v>20645.25627118644</v>
      </c>
      <c r="S117" s="688">
        <f t="shared" si="41"/>
        <v>0</v>
      </c>
      <c r="T117" s="103" t="s">
        <v>880</v>
      </c>
    </row>
    <row r="118" spans="2:20" ht="30.75">
      <c r="B118" s="94" t="s">
        <v>460</v>
      </c>
      <c r="C118" s="16" t="s">
        <v>595</v>
      </c>
      <c r="D118" s="17"/>
      <c r="E118" s="17"/>
      <c r="F118" s="17"/>
      <c r="G118" s="17">
        <v>10000</v>
      </c>
      <c r="H118" s="17">
        <v>6000</v>
      </c>
      <c r="I118" s="17">
        <v>8541.24293785311</v>
      </c>
      <c r="J118" s="115">
        <f t="shared" si="39"/>
        <v>24541.24293785311</v>
      </c>
      <c r="K118" s="112">
        <v>0.3</v>
      </c>
      <c r="L118" s="687"/>
      <c r="M118" s="687"/>
      <c r="N118" s="687"/>
      <c r="O118" s="686">
        <f>8711.3+827.56</f>
        <v>9538.859999999999</v>
      </c>
      <c r="P118" s="688">
        <v>6000</v>
      </c>
      <c r="Q118" s="683">
        <v>8541.24293785311</v>
      </c>
      <c r="R118" s="702">
        <f t="shared" si="40"/>
        <v>24080.10293785311</v>
      </c>
      <c r="S118" s="688">
        <f t="shared" si="41"/>
        <v>7224.030881355932</v>
      </c>
      <c r="T118" s="103" t="s">
        <v>881</v>
      </c>
    </row>
    <row r="119" spans="2:20" ht="77.25">
      <c r="B119" s="94" t="s">
        <v>461</v>
      </c>
      <c r="C119" s="646" t="s">
        <v>914</v>
      </c>
      <c r="D119" s="606"/>
      <c r="E119" s="606"/>
      <c r="F119" s="606"/>
      <c r="G119" s="693">
        <v>32000</v>
      </c>
      <c r="H119" s="606">
        <v>29028</v>
      </c>
      <c r="I119" s="606">
        <v>20000</v>
      </c>
      <c r="J119" s="115">
        <f t="shared" si="39"/>
        <v>81028</v>
      </c>
      <c r="K119" s="639">
        <v>0.5</v>
      </c>
      <c r="L119" s="687"/>
      <c r="M119" s="687"/>
      <c r="N119" s="687"/>
      <c r="O119" s="686">
        <v>12067</v>
      </c>
      <c r="P119" s="691">
        <v>9728</v>
      </c>
      <c r="Q119" s="686"/>
      <c r="R119" s="705">
        <f t="shared" si="40"/>
        <v>21795</v>
      </c>
      <c r="S119" s="691">
        <f t="shared" si="41"/>
        <v>10897.5</v>
      </c>
      <c r="T119" s="640" t="s">
        <v>945</v>
      </c>
    </row>
    <row r="120" spans="2:20" ht="61.5">
      <c r="B120" s="94" t="s">
        <v>912</v>
      </c>
      <c r="C120" s="646" t="s">
        <v>915</v>
      </c>
      <c r="D120" s="606"/>
      <c r="E120" s="606"/>
      <c r="F120" s="606"/>
      <c r="G120" s="693">
        <v>31600</v>
      </c>
      <c r="H120" s="606">
        <v>44500</v>
      </c>
      <c r="I120" s="606">
        <v>15000</v>
      </c>
      <c r="J120" s="115">
        <f t="shared" si="39"/>
        <v>91100</v>
      </c>
      <c r="K120" s="639">
        <v>0.3</v>
      </c>
      <c r="L120" s="606"/>
      <c r="M120" s="606"/>
      <c r="N120" s="606"/>
      <c r="O120" s="728">
        <v>11600</v>
      </c>
      <c r="P120" s="693">
        <f>20419-4563</f>
        <v>15856</v>
      </c>
      <c r="Q120" s="727">
        <v>15000</v>
      </c>
      <c r="R120" s="705">
        <f t="shared" si="40"/>
        <v>42456</v>
      </c>
      <c r="S120" s="691">
        <f t="shared" si="41"/>
        <v>12736.8</v>
      </c>
      <c r="T120" s="640" t="s">
        <v>940</v>
      </c>
    </row>
    <row r="121" spans="2:20" ht="61.5">
      <c r="B121" s="94" t="s">
        <v>913</v>
      </c>
      <c r="C121" s="646" t="s">
        <v>916</v>
      </c>
      <c r="D121" s="606"/>
      <c r="E121" s="606"/>
      <c r="F121" s="606"/>
      <c r="G121" s="693">
        <v>23000</v>
      </c>
      <c r="H121" s="606">
        <v>77017</v>
      </c>
      <c r="I121" s="606">
        <v>65000</v>
      </c>
      <c r="J121" s="115">
        <f t="shared" si="39"/>
        <v>165017</v>
      </c>
      <c r="K121" s="643">
        <v>0.3</v>
      </c>
      <c r="L121" s="606"/>
      <c r="M121" s="606"/>
      <c r="N121" s="606"/>
      <c r="O121" s="728">
        <v>13000</v>
      </c>
      <c r="P121" s="728"/>
      <c r="Q121" s="727">
        <v>50000</v>
      </c>
      <c r="R121" s="705">
        <f t="shared" si="40"/>
        <v>63000</v>
      </c>
      <c r="S121" s="691">
        <f t="shared" si="41"/>
        <v>18900</v>
      </c>
      <c r="T121" s="644" t="s">
        <v>941</v>
      </c>
    </row>
    <row r="122" spans="3:20" ht="15">
      <c r="C122" s="95" t="s">
        <v>520</v>
      </c>
      <c r="D122" s="22">
        <f aca="true" t="shared" si="42" ref="D122:I122">SUM(D112:D121)</f>
        <v>0</v>
      </c>
      <c r="E122" s="22">
        <f t="shared" si="42"/>
        <v>0</v>
      </c>
      <c r="F122" s="22">
        <f t="shared" si="42"/>
        <v>0</v>
      </c>
      <c r="G122" s="22">
        <f>SUM(G112:G121)</f>
        <v>181599.64</v>
      </c>
      <c r="H122" s="22">
        <f>SUM(H112:H121)</f>
        <v>200545</v>
      </c>
      <c r="I122" s="22">
        <f t="shared" si="42"/>
        <v>136070.72829994865</v>
      </c>
      <c r="J122" s="22">
        <f>SUM(J112:J121)</f>
        <v>518215.36829994863</v>
      </c>
      <c r="K122" s="19">
        <f>(K112*J112)+(K113*J113)+(K114*J114)+(K115*J115)+(K116*J116)+(K117*J117)+(K118*J118)+(K119*J119)+(K120*J120)+(K121*J121)</f>
        <v>171077.38197226502</v>
      </c>
      <c r="L122" s="704">
        <f>SUM(L112:L121)</f>
        <v>0</v>
      </c>
      <c r="M122" s="704">
        <f aca="true" t="shared" si="43" ref="M122:R122">SUM(M112:M121)</f>
        <v>0</v>
      </c>
      <c r="N122" s="704">
        <f t="shared" si="43"/>
        <v>0</v>
      </c>
      <c r="O122" s="704">
        <f t="shared" si="43"/>
        <v>133755.46000000002</v>
      </c>
      <c r="P122" s="704">
        <f t="shared" si="43"/>
        <v>64239.545454545456</v>
      </c>
      <c r="Q122" s="704">
        <f>SUM(Q112:Q121)</f>
        <v>96007.364663585</v>
      </c>
      <c r="R122" s="704">
        <f t="shared" si="43"/>
        <v>294002.37011813046</v>
      </c>
      <c r="S122" s="19">
        <f>SUM(S112:S121)</f>
        <v>93084.28388135594</v>
      </c>
      <c r="T122" s="104"/>
    </row>
    <row r="123" spans="2:20" ht="15">
      <c r="B123" s="96" t="s">
        <v>462</v>
      </c>
      <c r="C123" s="776" t="s">
        <v>596</v>
      </c>
      <c r="D123" s="776"/>
      <c r="E123" s="776"/>
      <c r="F123" s="776"/>
      <c r="G123" s="776"/>
      <c r="H123" s="776"/>
      <c r="I123" s="776"/>
      <c r="J123" s="776"/>
      <c r="K123" s="776"/>
      <c r="L123" s="776"/>
      <c r="M123" s="776"/>
      <c r="N123" s="776"/>
      <c r="O123" s="776"/>
      <c r="P123" s="776"/>
      <c r="Q123" s="776"/>
      <c r="R123" s="776"/>
      <c r="S123" s="776"/>
      <c r="T123" s="776"/>
    </row>
    <row r="124" spans="2:20" ht="30.75">
      <c r="B124" s="94" t="s">
        <v>463</v>
      </c>
      <c r="C124" s="16" t="s">
        <v>597</v>
      </c>
      <c r="D124" s="17"/>
      <c r="E124" s="17"/>
      <c r="F124" s="17"/>
      <c r="G124" s="549">
        <v>12231.545171339563</v>
      </c>
      <c r="H124" s="17">
        <v>2000</v>
      </c>
      <c r="I124" s="17">
        <v>15000</v>
      </c>
      <c r="J124" s="115">
        <f aca="true" t="shared" si="44" ref="J124:J131">SUM(D124:I124)</f>
        <v>29231.545171339563</v>
      </c>
      <c r="K124" s="112">
        <v>0.3</v>
      </c>
      <c r="L124" s="687"/>
      <c r="M124" s="687"/>
      <c r="N124" s="687"/>
      <c r="O124" s="686">
        <v>8534.92</v>
      </c>
      <c r="P124" s="689">
        <v>2000</v>
      </c>
      <c r="Q124" s="686">
        <v>15000</v>
      </c>
      <c r="R124" s="702">
        <f aca="true" t="shared" si="45" ref="R124:R131">SUM(L124:Q124)</f>
        <v>25534.92</v>
      </c>
      <c r="S124" s="688">
        <f>R124*K124</f>
        <v>7660.475999999999</v>
      </c>
      <c r="T124" s="103"/>
    </row>
    <row r="125" spans="2:20" ht="30.75">
      <c r="B125" s="94" t="s">
        <v>464</v>
      </c>
      <c r="C125" s="16" t="s">
        <v>598</v>
      </c>
      <c r="D125" s="17"/>
      <c r="E125" s="17"/>
      <c r="F125" s="17"/>
      <c r="G125" s="549">
        <v>8172.666666666666</v>
      </c>
      <c r="H125" s="17">
        <v>3000</v>
      </c>
      <c r="I125" s="17">
        <v>15000</v>
      </c>
      <c r="J125" s="115">
        <f t="shared" si="44"/>
        <v>26172.666666666664</v>
      </c>
      <c r="K125" s="112">
        <v>0.3</v>
      </c>
      <c r="L125" s="687"/>
      <c r="M125" s="687"/>
      <c r="N125" s="687"/>
      <c r="O125" s="686">
        <v>6250</v>
      </c>
      <c r="P125" s="689">
        <v>3000</v>
      </c>
      <c r="Q125" s="686">
        <v>15000</v>
      </c>
      <c r="R125" s="702">
        <f t="shared" si="45"/>
        <v>24250</v>
      </c>
      <c r="S125" s="688">
        <f>R125*K125</f>
        <v>7275</v>
      </c>
      <c r="T125" s="103"/>
    </row>
    <row r="126" spans="2:20" ht="30.75">
      <c r="B126" s="94" t="s">
        <v>465</v>
      </c>
      <c r="C126" s="16" t="s">
        <v>599</v>
      </c>
      <c r="D126" s="17"/>
      <c r="E126" s="17"/>
      <c r="F126" s="17"/>
      <c r="G126" s="549">
        <v>8172.666666666666</v>
      </c>
      <c r="H126" s="17">
        <v>3000</v>
      </c>
      <c r="I126" s="17">
        <v>15000</v>
      </c>
      <c r="J126" s="115">
        <f t="shared" si="44"/>
        <v>26172.666666666664</v>
      </c>
      <c r="K126" s="112">
        <v>0.3</v>
      </c>
      <c r="L126" s="687"/>
      <c r="M126" s="687"/>
      <c r="N126" s="687"/>
      <c r="O126" s="686">
        <v>6431</v>
      </c>
      <c r="P126" s="689">
        <v>3000</v>
      </c>
      <c r="Q126" s="686">
        <v>15000</v>
      </c>
      <c r="R126" s="702">
        <f t="shared" si="45"/>
        <v>24431</v>
      </c>
      <c r="S126" s="688">
        <f>R126*K126</f>
        <v>7329.3</v>
      </c>
      <c r="T126" s="103"/>
    </row>
    <row r="127" spans="2:20" ht="61.5">
      <c r="B127" s="94" t="s">
        <v>466</v>
      </c>
      <c r="C127" s="646" t="s">
        <v>917</v>
      </c>
      <c r="D127" s="606"/>
      <c r="E127" s="606"/>
      <c r="F127" s="606"/>
      <c r="G127" s="693">
        <v>15690</v>
      </c>
      <c r="H127" s="606">
        <v>12000</v>
      </c>
      <c r="I127" s="606">
        <v>40000</v>
      </c>
      <c r="J127" s="115">
        <f t="shared" si="44"/>
        <v>67690</v>
      </c>
      <c r="K127" s="639">
        <v>0.3</v>
      </c>
      <c r="L127" s="606"/>
      <c r="M127" s="606"/>
      <c r="N127" s="606"/>
      <c r="O127" s="726">
        <v>15490</v>
      </c>
      <c r="P127" s="731"/>
      <c r="Q127" s="727">
        <v>38500</v>
      </c>
      <c r="R127" s="705">
        <f t="shared" si="45"/>
        <v>53990</v>
      </c>
      <c r="S127" s="691">
        <f>R127*K127</f>
        <v>16197</v>
      </c>
      <c r="T127" s="640" t="s">
        <v>944</v>
      </c>
    </row>
    <row r="128" spans="2:20" ht="46.5">
      <c r="B128" s="94" t="s">
        <v>467</v>
      </c>
      <c r="C128" s="646" t="s">
        <v>923</v>
      </c>
      <c r="D128" s="606"/>
      <c r="E128" s="606"/>
      <c r="F128" s="606"/>
      <c r="G128" s="693">
        <v>18720</v>
      </c>
      <c r="H128" s="606">
        <v>25000</v>
      </c>
      <c r="I128" s="606">
        <v>25000</v>
      </c>
      <c r="J128" s="115">
        <f t="shared" si="44"/>
        <v>68720</v>
      </c>
      <c r="K128" s="639">
        <v>0.3</v>
      </c>
      <c r="L128" s="606"/>
      <c r="M128" s="606"/>
      <c r="N128" s="606"/>
      <c r="O128" s="726">
        <v>6262</v>
      </c>
      <c r="P128" s="731"/>
      <c r="Q128" s="727">
        <v>5000</v>
      </c>
      <c r="R128" s="705">
        <f t="shared" si="45"/>
        <v>11262</v>
      </c>
      <c r="S128" s="691">
        <f>R128*K128</f>
        <v>3378.6</v>
      </c>
      <c r="T128" s="640" t="s">
        <v>942</v>
      </c>
    </row>
    <row r="129" spans="2:20" ht="15">
      <c r="B129" s="94" t="s">
        <v>468</v>
      </c>
      <c r="C129" s="16"/>
      <c r="D129" s="17"/>
      <c r="E129" s="17"/>
      <c r="F129" s="17"/>
      <c r="G129" s="17"/>
      <c r="H129" s="17"/>
      <c r="I129" s="17"/>
      <c r="J129" s="115">
        <f t="shared" si="44"/>
        <v>0</v>
      </c>
      <c r="K129" s="112"/>
      <c r="L129" s="17"/>
      <c r="M129" s="17"/>
      <c r="N129" s="17"/>
      <c r="O129" s="17"/>
      <c r="P129" s="615"/>
      <c r="Q129" s="17"/>
      <c r="R129" s="702">
        <f t="shared" si="45"/>
        <v>0</v>
      </c>
      <c r="S129" s="112"/>
      <c r="T129" s="103"/>
    </row>
    <row r="130" spans="2:20" ht="15">
      <c r="B130" s="94" t="s">
        <v>469</v>
      </c>
      <c r="C130" s="637"/>
      <c r="D130" s="17"/>
      <c r="E130" s="17"/>
      <c r="F130" s="17"/>
      <c r="G130" s="17"/>
      <c r="H130" s="17"/>
      <c r="I130" s="17"/>
      <c r="J130" s="115">
        <f t="shared" si="44"/>
        <v>0</v>
      </c>
      <c r="K130" s="113"/>
      <c r="L130" s="17"/>
      <c r="M130" s="17"/>
      <c r="N130" s="17"/>
      <c r="O130" s="17"/>
      <c r="P130" s="615"/>
      <c r="Q130" s="17"/>
      <c r="R130" s="702">
        <f t="shared" si="45"/>
        <v>0</v>
      </c>
      <c r="S130" s="113"/>
      <c r="T130" s="104"/>
    </row>
    <row r="131" spans="2:20" ht="15">
      <c r="B131" s="94" t="s">
        <v>470</v>
      </c>
      <c r="C131" s="637"/>
      <c r="D131" s="17"/>
      <c r="E131" s="17"/>
      <c r="F131" s="17"/>
      <c r="G131" s="17"/>
      <c r="H131" s="17"/>
      <c r="I131" s="17"/>
      <c r="J131" s="115">
        <f t="shared" si="44"/>
        <v>0</v>
      </c>
      <c r="K131" s="113"/>
      <c r="L131" s="17"/>
      <c r="M131" s="17"/>
      <c r="N131" s="17"/>
      <c r="O131" s="17"/>
      <c r="P131" s="615"/>
      <c r="Q131" s="17"/>
      <c r="R131" s="702">
        <f t="shared" si="45"/>
        <v>0</v>
      </c>
      <c r="S131" s="113"/>
      <c r="T131" s="104"/>
    </row>
    <row r="132" spans="3:20" ht="15">
      <c r="C132" s="95" t="s">
        <v>520</v>
      </c>
      <c r="D132" s="22">
        <f aca="true" t="shared" si="46" ref="D132:J132">SUM(D124:D131)</f>
        <v>0</v>
      </c>
      <c r="E132" s="22">
        <f t="shared" si="46"/>
        <v>0</v>
      </c>
      <c r="F132" s="22">
        <f t="shared" si="46"/>
        <v>0</v>
      </c>
      <c r="G132" s="22">
        <f>SUM(G124:G131)</f>
        <v>62986.878504672895</v>
      </c>
      <c r="H132" s="22">
        <f t="shared" si="46"/>
        <v>45000</v>
      </c>
      <c r="I132" s="22">
        <f t="shared" si="46"/>
        <v>110000</v>
      </c>
      <c r="J132" s="22">
        <f t="shared" si="46"/>
        <v>217986.8785046729</v>
      </c>
      <c r="K132" s="19">
        <f>(K124*J124)+(K125*J125)+(K126*J126)+(K127*J127)+(K128*J128)+(K129*J129)+(K130*J130)+(K131*J131)</f>
        <v>65396.063551401865</v>
      </c>
      <c r="L132" s="704">
        <f>SUM(L124:L131)</f>
        <v>0</v>
      </c>
      <c r="M132" s="704">
        <f aca="true" t="shared" si="47" ref="M132:R132">SUM(M124:M131)</f>
        <v>0</v>
      </c>
      <c r="N132" s="704">
        <f t="shared" si="47"/>
        <v>0</v>
      </c>
      <c r="O132" s="704">
        <f t="shared" si="47"/>
        <v>42967.92</v>
      </c>
      <c r="P132" s="704">
        <f t="shared" si="47"/>
        <v>8000</v>
      </c>
      <c r="Q132" s="704">
        <f t="shared" si="47"/>
        <v>88500</v>
      </c>
      <c r="R132" s="704">
        <f t="shared" si="47"/>
        <v>139467.91999999998</v>
      </c>
      <c r="S132" s="19">
        <f>SUM(S124:S131)</f>
        <v>41840.376</v>
      </c>
      <c r="T132" s="104"/>
    </row>
    <row r="133" spans="2:20" ht="15">
      <c r="B133" s="96" t="s">
        <v>471</v>
      </c>
      <c r="C133" s="776"/>
      <c r="D133" s="776"/>
      <c r="E133" s="776"/>
      <c r="F133" s="776"/>
      <c r="G133" s="776"/>
      <c r="H133" s="776"/>
      <c r="I133" s="776"/>
      <c r="J133" s="776"/>
      <c r="K133" s="776"/>
      <c r="L133" s="776"/>
      <c r="M133" s="776"/>
      <c r="N133" s="776"/>
      <c r="O133" s="776"/>
      <c r="P133" s="776"/>
      <c r="Q133" s="776"/>
      <c r="R133" s="776"/>
      <c r="S133" s="776"/>
      <c r="T133" s="776"/>
    </row>
    <row r="134" spans="2:20" ht="15">
      <c r="B134" s="94" t="s">
        <v>472</v>
      </c>
      <c r="C134" s="16"/>
      <c r="D134" s="17"/>
      <c r="E134" s="17"/>
      <c r="F134" s="17"/>
      <c r="G134" s="549"/>
      <c r="H134" s="17"/>
      <c r="I134" s="17"/>
      <c r="J134" s="115">
        <f aca="true" t="shared" si="48" ref="J134:J141">SUM(D134:I134)</f>
        <v>0</v>
      </c>
      <c r="K134" s="112"/>
      <c r="L134" s="17"/>
      <c r="M134" s="17"/>
      <c r="N134" s="17"/>
      <c r="O134" s="549"/>
      <c r="P134" s="730"/>
      <c r="Q134" s="17"/>
      <c r="R134" s="702">
        <f aca="true" t="shared" si="49" ref="R134:R141">SUM(L134:Q134)</f>
        <v>0</v>
      </c>
      <c r="S134" s="112"/>
      <c r="T134" s="103"/>
    </row>
    <row r="135" spans="2:20" ht="15">
      <c r="B135" s="94" t="s">
        <v>473</v>
      </c>
      <c r="C135" s="16"/>
      <c r="D135" s="17"/>
      <c r="E135" s="17"/>
      <c r="F135" s="17"/>
      <c r="G135" s="549"/>
      <c r="H135" s="17"/>
      <c r="I135" s="17"/>
      <c r="J135" s="115">
        <f t="shared" si="48"/>
        <v>0</v>
      </c>
      <c r="K135" s="112"/>
      <c r="L135" s="17"/>
      <c r="M135" s="17"/>
      <c r="N135" s="17"/>
      <c r="O135" s="549"/>
      <c r="P135" s="730"/>
      <c r="Q135" s="17"/>
      <c r="R135" s="702">
        <f t="shared" si="49"/>
        <v>0</v>
      </c>
      <c r="S135" s="112"/>
      <c r="T135" s="103"/>
    </row>
    <row r="136" spans="2:20" ht="15">
      <c r="B136" s="94" t="s">
        <v>474</v>
      </c>
      <c r="C136" s="16"/>
      <c r="D136" s="17"/>
      <c r="E136" s="17"/>
      <c r="F136" s="17"/>
      <c r="G136" s="549"/>
      <c r="H136" s="17"/>
      <c r="I136" s="17"/>
      <c r="J136" s="115">
        <f t="shared" si="48"/>
        <v>0</v>
      </c>
      <c r="K136" s="112"/>
      <c r="L136" s="17"/>
      <c r="M136" s="17"/>
      <c r="N136" s="17"/>
      <c r="O136" s="549"/>
      <c r="P136" s="730"/>
      <c r="Q136" s="17"/>
      <c r="R136" s="702">
        <f t="shared" si="49"/>
        <v>0</v>
      </c>
      <c r="S136" s="112"/>
      <c r="T136" s="103"/>
    </row>
    <row r="137" spans="2:20" ht="15">
      <c r="B137" s="94" t="s">
        <v>475</v>
      </c>
      <c r="C137" s="16"/>
      <c r="D137" s="17"/>
      <c r="E137" s="17"/>
      <c r="F137" s="17"/>
      <c r="G137" s="17"/>
      <c r="H137" s="17"/>
      <c r="I137" s="17"/>
      <c r="J137" s="115">
        <f t="shared" si="48"/>
        <v>0</v>
      </c>
      <c r="K137" s="112"/>
      <c r="L137" s="17"/>
      <c r="M137" s="17"/>
      <c r="N137" s="17"/>
      <c r="O137" s="17"/>
      <c r="P137" s="615"/>
      <c r="Q137" s="17"/>
      <c r="R137" s="702">
        <f t="shared" si="49"/>
        <v>0</v>
      </c>
      <c r="S137" s="112"/>
      <c r="T137" s="103"/>
    </row>
    <row r="138" spans="2:20" ht="15">
      <c r="B138" s="94" t="s">
        <v>476</v>
      </c>
      <c r="C138" s="16"/>
      <c r="D138" s="17"/>
      <c r="E138" s="17"/>
      <c r="F138" s="17"/>
      <c r="G138" s="17"/>
      <c r="H138" s="17"/>
      <c r="I138" s="17"/>
      <c r="J138" s="115">
        <f t="shared" si="48"/>
        <v>0</v>
      </c>
      <c r="K138" s="112"/>
      <c r="L138" s="17"/>
      <c r="M138" s="17"/>
      <c r="N138" s="17"/>
      <c r="O138" s="17"/>
      <c r="P138" s="615"/>
      <c r="Q138" s="17"/>
      <c r="R138" s="702">
        <f t="shared" si="49"/>
        <v>0</v>
      </c>
      <c r="S138" s="112"/>
      <c r="T138" s="103"/>
    </row>
    <row r="139" spans="2:20" ht="15">
      <c r="B139" s="94" t="s">
        <v>477</v>
      </c>
      <c r="C139" s="16"/>
      <c r="D139" s="17"/>
      <c r="E139" s="17"/>
      <c r="F139" s="17"/>
      <c r="G139" s="17"/>
      <c r="H139" s="17"/>
      <c r="I139" s="17"/>
      <c r="J139" s="115">
        <f t="shared" si="48"/>
        <v>0</v>
      </c>
      <c r="K139" s="112"/>
      <c r="L139" s="17"/>
      <c r="M139" s="17"/>
      <c r="N139" s="17"/>
      <c r="O139" s="17"/>
      <c r="P139" s="615"/>
      <c r="Q139" s="17"/>
      <c r="R139" s="702">
        <f t="shared" si="49"/>
        <v>0</v>
      </c>
      <c r="S139" s="112"/>
      <c r="T139" s="103"/>
    </row>
    <row r="140" spans="2:20" ht="15">
      <c r="B140" s="94" t="s">
        <v>478</v>
      </c>
      <c r="C140" s="637"/>
      <c r="D140" s="18"/>
      <c r="E140" s="18"/>
      <c r="F140" s="18"/>
      <c r="G140" s="18"/>
      <c r="H140" s="18"/>
      <c r="I140" s="18"/>
      <c r="J140" s="115">
        <f t="shared" si="48"/>
        <v>0</v>
      </c>
      <c r="K140" s="113"/>
      <c r="L140" s="17"/>
      <c r="M140" s="17"/>
      <c r="N140" s="17"/>
      <c r="O140" s="17"/>
      <c r="P140" s="615"/>
      <c r="Q140" s="17"/>
      <c r="R140" s="702">
        <f t="shared" si="49"/>
        <v>0</v>
      </c>
      <c r="S140" s="113"/>
      <c r="T140" s="104"/>
    </row>
    <row r="141" spans="2:20" ht="15">
      <c r="B141" s="94" t="s">
        <v>479</v>
      </c>
      <c r="C141" s="637"/>
      <c r="D141" s="18"/>
      <c r="E141" s="18"/>
      <c r="F141" s="18"/>
      <c r="G141" s="18"/>
      <c r="H141" s="18"/>
      <c r="I141" s="18"/>
      <c r="J141" s="115">
        <f t="shared" si="48"/>
        <v>0</v>
      </c>
      <c r="K141" s="113"/>
      <c r="L141" s="706"/>
      <c r="M141" s="706"/>
      <c r="N141" s="706"/>
      <c r="O141" s="706"/>
      <c r="P141" s="706"/>
      <c r="Q141" s="706"/>
      <c r="R141" s="702">
        <f t="shared" si="49"/>
        <v>0</v>
      </c>
      <c r="S141" s="113"/>
      <c r="T141" s="104"/>
    </row>
    <row r="142" spans="3:20" ht="15">
      <c r="C142" s="95" t="s">
        <v>520</v>
      </c>
      <c r="D142" s="19">
        <f aca="true" t="shared" si="50" ref="D142:J142">SUM(D134:D141)</f>
        <v>0</v>
      </c>
      <c r="E142" s="19">
        <f t="shared" si="50"/>
        <v>0</v>
      </c>
      <c r="F142" s="19">
        <f t="shared" si="50"/>
        <v>0</v>
      </c>
      <c r="G142" s="19">
        <f t="shared" si="50"/>
        <v>0</v>
      </c>
      <c r="H142" s="19">
        <f t="shared" si="50"/>
        <v>0</v>
      </c>
      <c r="I142" s="19">
        <f t="shared" si="50"/>
        <v>0</v>
      </c>
      <c r="J142" s="19">
        <f t="shared" si="50"/>
        <v>0</v>
      </c>
      <c r="K142" s="19">
        <f>(K134*J134)+(K135*J135)+(K136*J136)+(K137*J137)+(K138*J138)+(K139*J139)+(K140*J140)+(K141*J141)</f>
        <v>0</v>
      </c>
      <c r="L142" s="703">
        <f>SUM(L134:L141)</f>
        <v>0</v>
      </c>
      <c r="M142" s="703">
        <f aca="true" t="shared" si="51" ref="M142:R142">SUM(M134:M141)</f>
        <v>0</v>
      </c>
      <c r="N142" s="703">
        <f t="shared" si="51"/>
        <v>0</v>
      </c>
      <c r="O142" s="703">
        <f t="shared" si="51"/>
        <v>0</v>
      </c>
      <c r="P142" s="703">
        <f t="shared" si="51"/>
        <v>0</v>
      </c>
      <c r="Q142" s="703">
        <f t="shared" si="51"/>
        <v>0</v>
      </c>
      <c r="R142" s="703">
        <f t="shared" si="51"/>
        <v>0</v>
      </c>
      <c r="S142" s="19">
        <f>(S134*R134)+(S135*R135)+(S136*R136)+(S137*R137)+(S138*R138)+(S139*R139)+(S140*R140)+(S141*R141)</f>
        <v>0</v>
      </c>
      <c r="T142" s="104"/>
    </row>
    <row r="143" spans="2:20" ht="15">
      <c r="B143" s="6"/>
      <c r="C143" s="12"/>
      <c r="D143" s="23"/>
      <c r="E143" s="23"/>
      <c r="F143" s="23"/>
      <c r="G143" s="23"/>
      <c r="H143" s="23"/>
      <c r="I143" s="23"/>
      <c r="J143" s="23"/>
      <c r="K143" s="23"/>
      <c r="L143" s="23"/>
      <c r="M143" s="23"/>
      <c r="N143" s="23"/>
      <c r="O143" s="23"/>
      <c r="P143" s="23"/>
      <c r="Q143" s="23"/>
      <c r="R143" s="23"/>
      <c r="S143" s="23"/>
      <c r="T143" s="67"/>
    </row>
    <row r="144" spans="2:20" ht="15">
      <c r="B144" s="95" t="s">
        <v>480</v>
      </c>
      <c r="C144" s="792" t="s">
        <v>918</v>
      </c>
      <c r="D144" s="792"/>
      <c r="E144" s="792"/>
      <c r="F144" s="792"/>
      <c r="G144" s="792"/>
      <c r="H144" s="792"/>
      <c r="I144" s="792"/>
      <c r="J144" s="792"/>
      <c r="K144" s="792"/>
      <c r="L144" s="792"/>
      <c r="M144" s="792"/>
      <c r="N144" s="792"/>
      <c r="O144" s="792"/>
      <c r="P144" s="792"/>
      <c r="Q144" s="792"/>
      <c r="R144" s="792"/>
      <c r="S144" s="792"/>
      <c r="T144" s="792"/>
    </row>
    <row r="145" spans="2:20" ht="15">
      <c r="B145" s="93" t="s">
        <v>481</v>
      </c>
      <c r="C145" s="792" t="s">
        <v>919</v>
      </c>
      <c r="D145" s="792"/>
      <c r="E145" s="792"/>
      <c r="F145" s="792"/>
      <c r="G145" s="792"/>
      <c r="H145" s="792"/>
      <c r="I145" s="792"/>
      <c r="J145" s="792"/>
      <c r="K145" s="792"/>
      <c r="L145" s="792"/>
      <c r="M145" s="792"/>
      <c r="N145" s="792"/>
      <c r="O145" s="792"/>
      <c r="P145" s="792"/>
      <c r="Q145" s="792"/>
      <c r="R145" s="792"/>
      <c r="S145" s="792"/>
      <c r="T145" s="792"/>
    </row>
    <row r="146" spans="2:20" ht="30.75">
      <c r="B146" s="94" t="s">
        <v>482</v>
      </c>
      <c r="C146" s="646" t="s">
        <v>920</v>
      </c>
      <c r="D146" s="606"/>
      <c r="E146" s="606"/>
      <c r="F146" s="606"/>
      <c r="G146" s="693">
        <v>15000</v>
      </c>
      <c r="H146" s="606">
        <v>12000</v>
      </c>
      <c r="I146" s="606">
        <v>10000</v>
      </c>
      <c r="J146" s="115">
        <f>SUM(D146:I146)</f>
        <v>37000</v>
      </c>
      <c r="K146" s="639">
        <v>0.3</v>
      </c>
      <c r="L146" s="606"/>
      <c r="M146" s="606"/>
      <c r="N146" s="606"/>
      <c r="O146" s="606"/>
      <c r="P146" s="693"/>
      <c r="Q146" s="606"/>
      <c r="R146" s="705">
        <f>SUM(L146:Q146)</f>
        <v>0</v>
      </c>
      <c r="S146" s="691">
        <f>R146*K146</f>
        <v>0</v>
      </c>
      <c r="T146" s="640" t="s">
        <v>943</v>
      </c>
    </row>
    <row r="147" spans="2:20" ht="30.75">
      <c r="B147" s="94" t="s">
        <v>483</v>
      </c>
      <c r="C147" s="646" t="s">
        <v>921</v>
      </c>
      <c r="D147" s="606"/>
      <c r="E147" s="606"/>
      <c r="F147" s="606"/>
      <c r="G147" s="693">
        <v>15000</v>
      </c>
      <c r="H147" s="606">
        <v>10651.6</v>
      </c>
      <c r="I147" s="606">
        <v>10000</v>
      </c>
      <c r="J147" s="115">
        <f>SUM(D147:I147)</f>
        <v>35651.6</v>
      </c>
      <c r="K147" s="639">
        <v>0.3</v>
      </c>
      <c r="L147" s="606"/>
      <c r="M147" s="606"/>
      <c r="N147" s="606"/>
      <c r="O147" s="606"/>
      <c r="P147" s="693"/>
      <c r="Q147" s="606"/>
      <c r="R147" s="705">
        <f>SUM(L147:Q147)</f>
        <v>0</v>
      </c>
      <c r="S147" s="691">
        <f>R147*K147</f>
        <v>0</v>
      </c>
      <c r="T147" s="640" t="s">
        <v>943</v>
      </c>
    </row>
    <row r="148" spans="2:20" ht="61.5">
      <c r="B148" s="94" t="s">
        <v>484</v>
      </c>
      <c r="C148" s="646" t="s">
        <v>922</v>
      </c>
      <c r="D148" s="606"/>
      <c r="E148" s="606"/>
      <c r="F148" s="606"/>
      <c r="G148" s="693">
        <v>14000</v>
      </c>
      <c r="H148" s="606">
        <v>40563</v>
      </c>
      <c r="I148" s="606">
        <v>25000</v>
      </c>
      <c r="J148" s="115">
        <f>SUM(D148:I148)</f>
        <v>79563</v>
      </c>
      <c r="K148" s="639">
        <v>0.3</v>
      </c>
      <c r="L148" s="606"/>
      <c r="M148" s="606"/>
      <c r="N148" s="606"/>
      <c r="O148" s="606"/>
      <c r="P148" s="693"/>
      <c r="Q148" s="606"/>
      <c r="R148" s="705">
        <f>SUM(L148:Q148)</f>
        <v>0</v>
      </c>
      <c r="S148" s="691">
        <f>R148*K148</f>
        <v>0</v>
      </c>
      <c r="T148" s="640" t="s">
        <v>944</v>
      </c>
    </row>
    <row r="149" spans="3:20" ht="15">
      <c r="C149" s="95" t="s">
        <v>520</v>
      </c>
      <c r="D149" s="19">
        <f aca="true" t="shared" si="52" ref="D149:J149">SUM(D146:D148)</f>
        <v>0</v>
      </c>
      <c r="E149" s="19">
        <f t="shared" si="52"/>
        <v>0</v>
      </c>
      <c r="F149" s="19">
        <f t="shared" si="52"/>
        <v>0</v>
      </c>
      <c r="G149" s="19">
        <f>SUM(G146:G148)</f>
        <v>44000</v>
      </c>
      <c r="H149" s="19">
        <f t="shared" si="52"/>
        <v>63214.6</v>
      </c>
      <c r="I149" s="19">
        <f t="shared" si="52"/>
        <v>45000</v>
      </c>
      <c r="J149" s="22">
        <f t="shared" si="52"/>
        <v>152214.6</v>
      </c>
      <c r="K149" s="19">
        <f>(K146*J146)+(K147*J147)+(K148*J148)</f>
        <v>45664.38</v>
      </c>
      <c r="L149" s="707">
        <f aca="true" t="shared" si="53" ref="L149:R149">SUM(L146:L148)</f>
        <v>0</v>
      </c>
      <c r="M149" s="707">
        <f t="shared" si="53"/>
        <v>0</v>
      </c>
      <c r="N149" s="707">
        <f t="shared" si="53"/>
        <v>0</v>
      </c>
      <c r="O149" s="707">
        <f t="shared" si="53"/>
        <v>0</v>
      </c>
      <c r="P149" s="707">
        <f t="shared" si="53"/>
        <v>0</v>
      </c>
      <c r="Q149" s="707">
        <f t="shared" si="53"/>
        <v>0</v>
      </c>
      <c r="R149" s="707">
        <f t="shared" si="53"/>
        <v>0</v>
      </c>
      <c r="S149" s="647">
        <f>SUM(S146:S148)</f>
        <v>0</v>
      </c>
      <c r="T149" s="104"/>
    </row>
    <row r="150" spans="2:20" ht="15">
      <c r="B150" s="93" t="s">
        <v>485</v>
      </c>
      <c r="C150" s="775"/>
      <c r="D150" s="775"/>
      <c r="E150" s="775"/>
      <c r="F150" s="775"/>
      <c r="G150" s="775"/>
      <c r="H150" s="775"/>
      <c r="I150" s="775"/>
      <c r="J150" s="775"/>
      <c r="K150" s="775"/>
      <c r="L150" s="775"/>
      <c r="M150" s="775"/>
      <c r="N150" s="775"/>
      <c r="O150" s="775"/>
      <c r="P150" s="775"/>
      <c r="Q150" s="775"/>
      <c r="R150" s="775"/>
      <c r="S150" s="775"/>
      <c r="T150" s="775"/>
    </row>
    <row r="151" spans="2:20" ht="15">
      <c r="B151" s="94" t="s">
        <v>486</v>
      </c>
      <c r="C151" s="16"/>
      <c r="D151" s="17"/>
      <c r="E151" s="17"/>
      <c r="F151" s="17"/>
      <c r="G151" s="17"/>
      <c r="H151" s="17"/>
      <c r="I151" s="17"/>
      <c r="J151" s="115">
        <f aca="true" t="shared" si="54" ref="J151:J158">SUM(D151:I151)</f>
        <v>0</v>
      </c>
      <c r="K151" s="112"/>
      <c r="L151" s="17"/>
      <c r="M151" s="17"/>
      <c r="N151" s="17"/>
      <c r="O151" s="17"/>
      <c r="P151" s="615"/>
      <c r="Q151" s="17"/>
      <c r="R151" s="702">
        <f aca="true" t="shared" si="55" ref="R151:R158">SUM(L151:Q151)</f>
        <v>0</v>
      </c>
      <c r="S151" s="112"/>
      <c r="T151" s="103"/>
    </row>
    <row r="152" spans="2:20" ht="15">
      <c r="B152" s="94" t="s">
        <v>487</v>
      </c>
      <c r="C152" s="16"/>
      <c r="D152" s="17"/>
      <c r="E152" s="17"/>
      <c r="F152" s="17"/>
      <c r="G152" s="17"/>
      <c r="H152" s="17"/>
      <c r="I152" s="17"/>
      <c r="J152" s="115">
        <f t="shared" si="54"/>
        <v>0</v>
      </c>
      <c r="K152" s="112"/>
      <c r="L152" s="17"/>
      <c r="M152" s="17"/>
      <c r="N152" s="17"/>
      <c r="O152" s="17"/>
      <c r="P152" s="615"/>
      <c r="Q152" s="17"/>
      <c r="R152" s="702">
        <f t="shared" si="55"/>
        <v>0</v>
      </c>
      <c r="S152" s="112"/>
      <c r="T152" s="103"/>
    </row>
    <row r="153" spans="2:20" ht="15">
      <c r="B153" s="94" t="s">
        <v>488</v>
      </c>
      <c r="C153" s="16"/>
      <c r="D153" s="17"/>
      <c r="E153" s="17"/>
      <c r="F153" s="17"/>
      <c r="G153" s="17"/>
      <c r="H153" s="17"/>
      <c r="I153" s="17"/>
      <c r="J153" s="115">
        <f t="shared" si="54"/>
        <v>0</v>
      </c>
      <c r="K153" s="112"/>
      <c r="L153" s="17"/>
      <c r="M153" s="17"/>
      <c r="N153" s="17"/>
      <c r="O153" s="17"/>
      <c r="P153" s="615"/>
      <c r="Q153" s="17"/>
      <c r="R153" s="702">
        <f t="shared" si="55"/>
        <v>0</v>
      </c>
      <c r="S153" s="112"/>
      <c r="T153" s="103"/>
    </row>
    <row r="154" spans="2:20" ht="15">
      <c r="B154" s="94" t="s">
        <v>489</v>
      </c>
      <c r="C154" s="16"/>
      <c r="D154" s="17"/>
      <c r="E154" s="17"/>
      <c r="F154" s="17"/>
      <c r="G154" s="17"/>
      <c r="H154" s="17"/>
      <c r="I154" s="17"/>
      <c r="J154" s="115">
        <f t="shared" si="54"/>
        <v>0</v>
      </c>
      <c r="K154" s="112"/>
      <c r="L154" s="17"/>
      <c r="M154" s="17"/>
      <c r="N154" s="17"/>
      <c r="O154" s="17"/>
      <c r="P154" s="615"/>
      <c r="Q154" s="17"/>
      <c r="R154" s="702">
        <f t="shared" si="55"/>
        <v>0</v>
      </c>
      <c r="S154" s="112"/>
      <c r="T154" s="103"/>
    </row>
    <row r="155" spans="2:20" ht="15">
      <c r="B155" s="94" t="s">
        <v>490</v>
      </c>
      <c r="C155" s="16"/>
      <c r="D155" s="17"/>
      <c r="E155" s="17"/>
      <c r="F155" s="17"/>
      <c r="G155" s="17"/>
      <c r="H155" s="17"/>
      <c r="I155" s="17"/>
      <c r="J155" s="115">
        <f t="shared" si="54"/>
        <v>0</v>
      </c>
      <c r="K155" s="112"/>
      <c r="L155" s="17"/>
      <c r="M155" s="17"/>
      <c r="N155" s="17"/>
      <c r="O155" s="17"/>
      <c r="P155" s="615"/>
      <c r="Q155" s="17"/>
      <c r="R155" s="702">
        <f t="shared" si="55"/>
        <v>0</v>
      </c>
      <c r="S155" s="112"/>
      <c r="T155" s="103"/>
    </row>
    <row r="156" spans="2:20" ht="15">
      <c r="B156" s="94" t="s">
        <v>491</v>
      </c>
      <c r="C156" s="16"/>
      <c r="D156" s="17"/>
      <c r="E156" s="17"/>
      <c r="F156" s="17"/>
      <c r="G156" s="17"/>
      <c r="H156" s="17"/>
      <c r="I156" s="17"/>
      <c r="J156" s="115">
        <f t="shared" si="54"/>
        <v>0</v>
      </c>
      <c r="K156" s="112"/>
      <c r="L156" s="17"/>
      <c r="M156" s="17"/>
      <c r="N156" s="17"/>
      <c r="O156" s="17"/>
      <c r="P156" s="615"/>
      <c r="Q156" s="17"/>
      <c r="R156" s="702">
        <f t="shared" si="55"/>
        <v>0</v>
      </c>
      <c r="S156" s="112"/>
      <c r="T156" s="103"/>
    </row>
    <row r="157" spans="2:20" ht="15">
      <c r="B157" s="94" t="s">
        <v>492</v>
      </c>
      <c r="C157" s="637"/>
      <c r="D157" s="18"/>
      <c r="E157" s="18"/>
      <c r="F157" s="18"/>
      <c r="G157" s="18"/>
      <c r="H157" s="18"/>
      <c r="I157" s="18"/>
      <c r="J157" s="115">
        <f t="shared" si="54"/>
        <v>0</v>
      </c>
      <c r="K157" s="113"/>
      <c r="L157" s="17"/>
      <c r="M157" s="17"/>
      <c r="N157" s="17"/>
      <c r="O157" s="17"/>
      <c r="P157" s="615"/>
      <c r="Q157" s="17"/>
      <c r="R157" s="702">
        <f t="shared" si="55"/>
        <v>0</v>
      </c>
      <c r="S157" s="113"/>
      <c r="T157" s="104"/>
    </row>
    <row r="158" spans="2:20" ht="15">
      <c r="B158" s="94" t="s">
        <v>493</v>
      </c>
      <c r="C158" s="637"/>
      <c r="D158" s="18"/>
      <c r="E158" s="18"/>
      <c r="F158" s="18"/>
      <c r="G158" s="18"/>
      <c r="H158" s="18"/>
      <c r="I158" s="18"/>
      <c r="J158" s="115">
        <f t="shared" si="54"/>
        <v>0</v>
      </c>
      <c r="K158" s="113"/>
      <c r="L158" s="17"/>
      <c r="M158" s="17"/>
      <c r="N158" s="17"/>
      <c r="O158" s="17"/>
      <c r="P158" s="615"/>
      <c r="Q158" s="17"/>
      <c r="R158" s="702">
        <f t="shared" si="55"/>
        <v>0</v>
      </c>
      <c r="S158" s="113"/>
      <c r="T158" s="104"/>
    </row>
    <row r="159" spans="3:20" ht="15">
      <c r="C159" s="95" t="s">
        <v>520</v>
      </c>
      <c r="D159" s="22">
        <f aca="true" t="shared" si="56" ref="D159:J159">SUM(D151:D158)</f>
        <v>0</v>
      </c>
      <c r="E159" s="22">
        <f t="shared" si="56"/>
        <v>0</v>
      </c>
      <c r="F159" s="22">
        <f t="shared" si="56"/>
        <v>0</v>
      </c>
      <c r="G159" s="22">
        <f t="shared" si="56"/>
        <v>0</v>
      </c>
      <c r="H159" s="22">
        <f t="shared" si="56"/>
        <v>0</v>
      </c>
      <c r="I159" s="22">
        <f t="shared" si="56"/>
        <v>0</v>
      </c>
      <c r="J159" s="22">
        <f t="shared" si="56"/>
        <v>0</v>
      </c>
      <c r="K159" s="19">
        <f>(K151*J151)+(K152*J152)+(K153*J153)+(K154*J154)+(K155*J155)+(K156*J156)+(K157*J157)+(K158*J158)</f>
        <v>0</v>
      </c>
      <c r="L159" s="704">
        <f>SUM(L151:L158)</f>
        <v>0</v>
      </c>
      <c r="M159" s="704">
        <f aca="true" t="shared" si="57" ref="M159:R159">SUM(M151:M158)</f>
        <v>0</v>
      </c>
      <c r="N159" s="704">
        <f t="shared" si="57"/>
        <v>0</v>
      </c>
      <c r="O159" s="704">
        <f t="shared" si="57"/>
        <v>0</v>
      </c>
      <c r="P159" s="704">
        <f t="shared" si="57"/>
        <v>0</v>
      </c>
      <c r="Q159" s="704">
        <f t="shared" si="57"/>
        <v>0</v>
      </c>
      <c r="R159" s="704">
        <f t="shared" si="57"/>
        <v>0</v>
      </c>
      <c r="S159" s="19">
        <f>(S151*R151)+(S152*R152)+(S153*R153)+(S154*R154)+(S155*R155)+(S156*R156)+(S157*R157)+(S158*R158)</f>
        <v>0</v>
      </c>
      <c r="T159" s="104"/>
    </row>
    <row r="160" spans="2:20" ht="15">
      <c r="B160" s="93" t="s">
        <v>494</v>
      </c>
      <c r="C160" s="775"/>
      <c r="D160" s="775"/>
      <c r="E160" s="775"/>
      <c r="F160" s="775"/>
      <c r="G160" s="775"/>
      <c r="H160" s="775"/>
      <c r="I160" s="775"/>
      <c r="J160" s="775"/>
      <c r="K160" s="775"/>
      <c r="L160" s="775"/>
      <c r="M160" s="775"/>
      <c r="N160" s="775"/>
      <c r="O160" s="775"/>
      <c r="P160" s="775"/>
      <c r="Q160" s="775"/>
      <c r="R160" s="775"/>
      <c r="S160" s="775"/>
      <c r="T160" s="775"/>
    </row>
    <row r="161" spans="2:20" ht="15">
      <c r="B161" s="94" t="s">
        <v>495</v>
      </c>
      <c r="C161" s="16"/>
      <c r="D161" s="17"/>
      <c r="E161" s="17"/>
      <c r="F161" s="17"/>
      <c r="G161" s="17"/>
      <c r="H161" s="17"/>
      <c r="I161" s="17"/>
      <c r="J161" s="115">
        <f aca="true" t="shared" si="58" ref="J161:J168">SUM(D161:I161)</f>
        <v>0</v>
      </c>
      <c r="K161" s="112"/>
      <c r="L161" s="17"/>
      <c r="M161" s="17"/>
      <c r="N161" s="17"/>
      <c r="O161" s="17"/>
      <c r="P161" s="615"/>
      <c r="Q161" s="17"/>
      <c r="R161" s="702">
        <f aca="true" t="shared" si="59" ref="R161:R168">SUM(L161:Q161)</f>
        <v>0</v>
      </c>
      <c r="S161" s="112"/>
      <c r="T161" s="103"/>
    </row>
    <row r="162" spans="2:20" ht="15">
      <c r="B162" s="94" t="s">
        <v>496</v>
      </c>
      <c r="C162" s="16"/>
      <c r="D162" s="17"/>
      <c r="E162" s="17"/>
      <c r="F162" s="17"/>
      <c r="G162" s="17"/>
      <c r="H162" s="17"/>
      <c r="I162" s="17"/>
      <c r="J162" s="115">
        <f t="shared" si="58"/>
        <v>0</v>
      </c>
      <c r="K162" s="112"/>
      <c r="L162" s="17"/>
      <c r="M162" s="17"/>
      <c r="N162" s="17"/>
      <c r="O162" s="17"/>
      <c r="P162" s="615"/>
      <c r="Q162" s="17"/>
      <c r="R162" s="702">
        <f t="shared" si="59"/>
        <v>0</v>
      </c>
      <c r="S162" s="112"/>
      <c r="T162" s="103"/>
    </row>
    <row r="163" spans="2:20" ht="15">
      <c r="B163" s="94" t="s">
        <v>497</v>
      </c>
      <c r="C163" s="16"/>
      <c r="D163" s="17"/>
      <c r="E163" s="17"/>
      <c r="F163" s="17"/>
      <c r="G163" s="17"/>
      <c r="H163" s="17"/>
      <c r="I163" s="17"/>
      <c r="J163" s="115">
        <f t="shared" si="58"/>
        <v>0</v>
      </c>
      <c r="K163" s="112"/>
      <c r="L163" s="17"/>
      <c r="M163" s="17"/>
      <c r="N163" s="17"/>
      <c r="O163" s="17"/>
      <c r="P163" s="615"/>
      <c r="Q163" s="17"/>
      <c r="R163" s="702">
        <f t="shared" si="59"/>
        <v>0</v>
      </c>
      <c r="S163" s="112"/>
      <c r="T163" s="103"/>
    </row>
    <row r="164" spans="2:20" ht="15">
      <c r="B164" s="94" t="s">
        <v>498</v>
      </c>
      <c r="C164" s="16"/>
      <c r="D164" s="17"/>
      <c r="E164" s="17"/>
      <c r="F164" s="17"/>
      <c r="G164" s="17"/>
      <c r="H164" s="17"/>
      <c r="I164" s="17"/>
      <c r="J164" s="115">
        <f t="shared" si="58"/>
        <v>0</v>
      </c>
      <c r="K164" s="112"/>
      <c r="L164" s="17"/>
      <c r="M164" s="17"/>
      <c r="N164" s="17"/>
      <c r="O164" s="17"/>
      <c r="P164" s="615"/>
      <c r="Q164" s="17"/>
      <c r="R164" s="702">
        <f t="shared" si="59"/>
        <v>0</v>
      </c>
      <c r="S164" s="112"/>
      <c r="T164" s="103"/>
    </row>
    <row r="165" spans="2:20" ht="15">
      <c r="B165" s="94" t="s">
        <v>499</v>
      </c>
      <c r="C165" s="16"/>
      <c r="D165" s="17"/>
      <c r="E165" s="17"/>
      <c r="F165" s="17"/>
      <c r="G165" s="17"/>
      <c r="H165" s="17"/>
      <c r="I165" s="17"/>
      <c r="J165" s="115">
        <f t="shared" si="58"/>
        <v>0</v>
      </c>
      <c r="K165" s="112"/>
      <c r="L165" s="17"/>
      <c r="M165" s="17"/>
      <c r="N165" s="17"/>
      <c r="O165" s="17"/>
      <c r="P165" s="615"/>
      <c r="Q165" s="17"/>
      <c r="R165" s="702">
        <f t="shared" si="59"/>
        <v>0</v>
      </c>
      <c r="S165" s="112"/>
      <c r="T165" s="103"/>
    </row>
    <row r="166" spans="2:20" ht="15">
      <c r="B166" s="94" t="s">
        <v>500</v>
      </c>
      <c r="C166" s="16"/>
      <c r="D166" s="17"/>
      <c r="E166" s="17"/>
      <c r="F166" s="17"/>
      <c r="G166" s="17"/>
      <c r="H166" s="17"/>
      <c r="I166" s="17"/>
      <c r="J166" s="115">
        <f t="shared" si="58"/>
        <v>0</v>
      </c>
      <c r="K166" s="112"/>
      <c r="L166" s="17"/>
      <c r="M166" s="17"/>
      <c r="N166" s="17"/>
      <c r="O166" s="17"/>
      <c r="P166" s="615"/>
      <c r="Q166" s="17"/>
      <c r="R166" s="702">
        <f t="shared" si="59"/>
        <v>0</v>
      </c>
      <c r="S166" s="112"/>
      <c r="T166" s="103"/>
    </row>
    <row r="167" spans="2:20" ht="15">
      <c r="B167" s="94" t="s">
        <v>501</v>
      </c>
      <c r="C167" s="637"/>
      <c r="D167" s="18"/>
      <c r="E167" s="18"/>
      <c r="F167" s="18"/>
      <c r="G167" s="18"/>
      <c r="H167" s="18"/>
      <c r="I167" s="18"/>
      <c r="J167" s="115">
        <f t="shared" si="58"/>
        <v>0</v>
      </c>
      <c r="K167" s="113"/>
      <c r="L167" s="17"/>
      <c r="M167" s="17"/>
      <c r="N167" s="17"/>
      <c r="O167" s="17"/>
      <c r="P167" s="615"/>
      <c r="Q167" s="17"/>
      <c r="R167" s="702">
        <f t="shared" si="59"/>
        <v>0</v>
      </c>
      <c r="S167" s="113"/>
      <c r="T167" s="104"/>
    </row>
    <row r="168" spans="2:20" ht="15">
      <c r="B168" s="94" t="s">
        <v>502</v>
      </c>
      <c r="C168" s="637"/>
      <c r="D168" s="18"/>
      <c r="E168" s="18"/>
      <c r="F168" s="18"/>
      <c r="G168" s="18"/>
      <c r="H168" s="18"/>
      <c r="I168" s="18"/>
      <c r="J168" s="115">
        <f t="shared" si="58"/>
        <v>0</v>
      </c>
      <c r="K168" s="113"/>
      <c r="L168" s="17"/>
      <c r="M168" s="17"/>
      <c r="N168" s="17"/>
      <c r="O168" s="17"/>
      <c r="P168" s="615"/>
      <c r="Q168" s="17"/>
      <c r="R168" s="702">
        <f t="shared" si="59"/>
        <v>0</v>
      </c>
      <c r="S168" s="113"/>
      <c r="T168" s="104"/>
    </row>
    <row r="169" spans="3:20" ht="15">
      <c r="C169" s="95" t="s">
        <v>520</v>
      </c>
      <c r="D169" s="22">
        <f aca="true" t="shared" si="60" ref="D169:J169">SUM(D161:D168)</f>
        <v>0</v>
      </c>
      <c r="E169" s="22">
        <f t="shared" si="60"/>
        <v>0</v>
      </c>
      <c r="F169" s="22">
        <f t="shared" si="60"/>
        <v>0</v>
      </c>
      <c r="G169" s="22">
        <f t="shared" si="60"/>
        <v>0</v>
      </c>
      <c r="H169" s="22">
        <f t="shared" si="60"/>
        <v>0</v>
      </c>
      <c r="I169" s="22">
        <f t="shared" si="60"/>
        <v>0</v>
      </c>
      <c r="J169" s="22">
        <f t="shared" si="60"/>
        <v>0</v>
      </c>
      <c r="K169" s="19">
        <f>(K161*J161)+(K162*J162)+(K163*J163)+(K164*J164)+(K165*J165)+(K166*J166)+(K167*J167)+(K168*J168)</f>
        <v>0</v>
      </c>
      <c r="L169" s="704">
        <f>SUM(L161:L168)</f>
        <v>0</v>
      </c>
      <c r="M169" s="704">
        <f aca="true" t="shared" si="61" ref="M169:R169">SUM(M161:M168)</f>
        <v>0</v>
      </c>
      <c r="N169" s="704">
        <f t="shared" si="61"/>
        <v>0</v>
      </c>
      <c r="O169" s="704">
        <f t="shared" si="61"/>
        <v>0</v>
      </c>
      <c r="P169" s="704">
        <f t="shared" si="61"/>
        <v>0</v>
      </c>
      <c r="Q169" s="704">
        <f t="shared" si="61"/>
        <v>0</v>
      </c>
      <c r="R169" s="704">
        <f t="shared" si="61"/>
        <v>0</v>
      </c>
      <c r="S169" s="19">
        <f>(S161*R161)+(S162*R162)+(S163*R163)+(S164*R164)+(S165*R165)+(S166*R166)+(S167*R167)+(S168*R168)</f>
        <v>0</v>
      </c>
      <c r="T169" s="104"/>
    </row>
    <row r="170" spans="2:20" ht="15">
      <c r="B170" s="93" t="s">
        <v>503</v>
      </c>
      <c r="C170" s="775"/>
      <c r="D170" s="775"/>
      <c r="E170" s="775"/>
      <c r="F170" s="775"/>
      <c r="G170" s="775"/>
      <c r="H170" s="775"/>
      <c r="I170" s="775"/>
      <c r="J170" s="775"/>
      <c r="K170" s="775"/>
      <c r="L170" s="775"/>
      <c r="M170" s="775"/>
      <c r="N170" s="775"/>
      <c r="O170" s="775"/>
      <c r="P170" s="775"/>
      <c r="Q170" s="775"/>
      <c r="R170" s="775"/>
      <c r="S170" s="775"/>
      <c r="T170" s="775"/>
    </row>
    <row r="171" spans="2:20" ht="15">
      <c r="B171" s="94" t="s">
        <v>504</v>
      </c>
      <c r="C171" s="16"/>
      <c r="D171" s="17"/>
      <c r="E171" s="17"/>
      <c r="F171" s="17"/>
      <c r="G171" s="17"/>
      <c r="H171" s="17"/>
      <c r="I171" s="17"/>
      <c r="J171" s="115">
        <f aca="true" t="shared" si="62" ref="J171:J178">SUM(D171:I171)</f>
        <v>0</v>
      </c>
      <c r="K171" s="112"/>
      <c r="L171" s="17"/>
      <c r="M171" s="17"/>
      <c r="N171" s="17"/>
      <c r="O171" s="17"/>
      <c r="P171" s="615"/>
      <c r="Q171" s="17"/>
      <c r="R171" s="702">
        <f aca="true" t="shared" si="63" ref="R171:R178">SUM(L171:Q171)</f>
        <v>0</v>
      </c>
      <c r="S171" s="112"/>
      <c r="T171" s="103"/>
    </row>
    <row r="172" spans="2:20" ht="15">
      <c r="B172" s="94" t="s">
        <v>505</v>
      </c>
      <c r="C172" s="16"/>
      <c r="D172" s="17"/>
      <c r="E172" s="17"/>
      <c r="F172" s="17"/>
      <c r="G172" s="17"/>
      <c r="H172" s="17"/>
      <c r="I172" s="17"/>
      <c r="J172" s="115">
        <f t="shared" si="62"/>
        <v>0</v>
      </c>
      <c r="K172" s="112"/>
      <c r="L172" s="17"/>
      <c r="M172" s="17"/>
      <c r="N172" s="17"/>
      <c r="O172" s="17"/>
      <c r="P172" s="615"/>
      <c r="Q172" s="17"/>
      <c r="R172" s="702">
        <f t="shared" si="63"/>
        <v>0</v>
      </c>
      <c r="S172" s="112"/>
      <c r="T172" s="103"/>
    </row>
    <row r="173" spans="2:20" ht="15">
      <c r="B173" s="94" t="s">
        <v>506</v>
      </c>
      <c r="C173" s="16"/>
      <c r="D173" s="17"/>
      <c r="E173" s="17"/>
      <c r="F173" s="17"/>
      <c r="G173" s="17"/>
      <c r="H173" s="17"/>
      <c r="I173" s="17"/>
      <c r="J173" s="115">
        <f t="shared" si="62"/>
        <v>0</v>
      </c>
      <c r="K173" s="112"/>
      <c r="L173" s="17"/>
      <c r="M173" s="17"/>
      <c r="N173" s="17"/>
      <c r="O173" s="17"/>
      <c r="P173" s="615"/>
      <c r="Q173" s="17"/>
      <c r="R173" s="702">
        <f t="shared" si="63"/>
        <v>0</v>
      </c>
      <c r="S173" s="112"/>
      <c r="T173" s="103"/>
    </row>
    <row r="174" spans="2:20" ht="15">
      <c r="B174" s="94" t="s">
        <v>507</v>
      </c>
      <c r="C174" s="16"/>
      <c r="D174" s="17"/>
      <c r="E174" s="17"/>
      <c r="F174" s="17"/>
      <c r="G174" s="17"/>
      <c r="H174" s="17"/>
      <c r="I174" s="17"/>
      <c r="J174" s="115">
        <f t="shared" si="62"/>
        <v>0</v>
      </c>
      <c r="K174" s="112"/>
      <c r="L174" s="17"/>
      <c r="M174" s="17"/>
      <c r="N174" s="17"/>
      <c r="O174" s="17"/>
      <c r="P174" s="615"/>
      <c r="Q174" s="17"/>
      <c r="R174" s="702">
        <f t="shared" si="63"/>
        <v>0</v>
      </c>
      <c r="S174" s="112"/>
      <c r="T174" s="103"/>
    </row>
    <row r="175" spans="2:20" ht="15">
      <c r="B175" s="94" t="s">
        <v>508</v>
      </c>
      <c r="C175" s="16"/>
      <c r="D175" s="17"/>
      <c r="E175" s="17"/>
      <c r="F175" s="17"/>
      <c r="G175" s="17"/>
      <c r="H175" s="17"/>
      <c r="I175" s="17"/>
      <c r="J175" s="115">
        <f t="shared" si="62"/>
        <v>0</v>
      </c>
      <c r="K175" s="112"/>
      <c r="L175" s="17"/>
      <c r="M175" s="17"/>
      <c r="N175" s="17"/>
      <c r="O175" s="17"/>
      <c r="P175" s="615"/>
      <c r="Q175" s="17"/>
      <c r="R175" s="702">
        <f t="shared" si="63"/>
        <v>0</v>
      </c>
      <c r="S175" s="112"/>
      <c r="T175" s="103"/>
    </row>
    <row r="176" spans="2:20" ht="15">
      <c r="B176" s="94" t="s">
        <v>509</v>
      </c>
      <c r="C176" s="16"/>
      <c r="D176" s="17"/>
      <c r="E176" s="17"/>
      <c r="F176" s="17"/>
      <c r="G176" s="17"/>
      <c r="H176" s="17"/>
      <c r="I176" s="17"/>
      <c r="J176" s="115">
        <f t="shared" si="62"/>
        <v>0</v>
      </c>
      <c r="K176" s="112"/>
      <c r="L176" s="17"/>
      <c r="M176" s="17"/>
      <c r="N176" s="17"/>
      <c r="O176" s="17"/>
      <c r="P176" s="615"/>
      <c r="Q176" s="17"/>
      <c r="R176" s="702">
        <f t="shared" si="63"/>
        <v>0</v>
      </c>
      <c r="S176" s="112"/>
      <c r="T176" s="103"/>
    </row>
    <row r="177" spans="2:20" ht="15">
      <c r="B177" s="94" t="s">
        <v>510</v>
      </c>
      <c r="C177" s="637"/>
      <c r="D177" s="18"/>
      <c r="E177" s="18"/>
      <c r="F177" s="18"/>
      <c r="G177" s="18"/>
      <c r="H177" s="18"/>
      <c r="I177" s="18"/>
      <c r="J177" s="115">
        <f t="shared" si="62"/>
        <v>0</v>
      </c>
      <c r="K177" s="113"/>
      <c r="L177" s="17"/>
      <c r="M177" s="17"/>
      <c r="N177" s="17"/>
      <c r="O177" s="17"/>
      <c r="P177" s="615"/>
      <c r="Q177" s="17"/>
      <c r="R177" s="702">
        <f t="shared" si="63"/>
        <v>0</v>
      </c>
      <c r="S177" s="113"/>
      <c r="T177" s="104"/>
    </row>
    <row r="178" spans="2:20" ht="15">
      <c r="B178" s="94" t="s">
        <v>511</v>
      </c>
      <c r="C178" s="637"/>
      <c r="D178" s="18"/>
      <c r="E178" s="18"/>
      <c r="F178" s="18"/>
      <c r="G178" s="18"/>
      <c r="H178" s="18"/>
      <c r="I178" s="18"/>
      <c r="J178" s="115">
        <f t="shared" si="62"/>
        <v>0</v>
      </c>
      <c r="K178" s="113"/>
      <c r="L178" s="17"/>
      <c r="M178" s="17"/>
      <c r="N178" s="17"/>
      <c r="O178" s="17"/>
      <c r="P178" s="615"/>
      <c r="Q178" s="17"/>
      <c r="R178" s="702">
        <f t="shared" si="63"/>
        <v>0</v>
      </c>
      <c r="S178" s="113"/>
      <c r="T178" s="104"/>
    </row>
    <row r="179" spans="3:20" ht="15">
      <c r="C179" s="95" t="s">
        <v>520</v>
      </c>
      <c r="D179" s="19">
        <f aca="true" t="shared" si="64" ref="D179:J179">SUM(D171:D178)</f>
        <v>0</v>
      </c>
      <c r="E179" s="19">
        <f t="shared" si="64"/>
        <v>0</v>
      </c>
      <c r="F179" s="19">
        <f t="shared" si="64"/>
        <v>0</v>
      </c>
      <c r="G179" s="19">
        <f t="shared" si="64"/>
        <v>0</v>
      </c>
      <c r="H179" s="19">
        <f t="shared" si="64"/>
        <v>0</v>
      </c>
      <c r="I179" s="19">
        <f t="shared" si="64"/>
        <v>0</v>
      </c>
      <c r="J179" s="19">
        <f t="shared" si="64"/>
        <v>0</v>
      </c>
      <c r="K179" s="19">
        <f>(K171*J171)+(K172*J172)+(K173*J173)+(K174*J174)+(K175*J175)+(K176*J176)+(K177*J177)+(K178*J178)</f>
        <v>0</v>
      </c>
      <c r="L179" s="703">
        <f>SUM(L171:L178)</f>
        <v>0</v>
      </c>
      <c r="M179" s="703">
        <f aca="true" t="shared" si="65" ref="M179:R179">SUM(M171:M178)</f>
        <v>0</v>
      </c>
      <c r="N179" s="703">
        <f t="shared" si="65"/>
        <v>0</v>
      </c>
      <c r="O179" s="703">
        <f t="shared" si="65"/>
        <v>0</v>
      </c>
      <c r="P179" s="703">
        <f t="shared" si="65"/>
        <v>0</v>
      </c>
      <c r="Q179" s="703">
        <f t="shared" si="65"/>
        <v>0</v>
      </c>
      <c r="R179" s="703">
        <f t="shared" si="65"/>
        <v>0</v>
      </c>
      <c r="S179" s="19">
        <f>(S171*R171)+(S172*R172)+(S173*R173)+(S174*R174)+(S175*R175)+(S176*R176)+(S177*R177)+(S178*R178)</f>
        <v>0</v>
      </c>
      <c r="T179" s="104"/>
    </row>
    <row r="180" spans="2:20" ht="15">
      <c r="B180" s="6"/>
      <c r="C180" s="12"/>
      <c r="D180" s="23"/>
      <c r="E180" s="23"/>
      <c r="F180" s="23"/>
      <c r="G180" s="23"/>
      <c r="H180" s="23"/>
      <c r="I180" s="23"/>
      <c r="J180" s="23"/>
      <c r="K180" s="23"/>
      <c r="L180" s="23"/>
      <c r="M180" s="23"/>
      <c r="N180" s="23"/>
      <c r="O180" s="23"/>
      <c r="P180" s="23"/>
      <c r="Q180" s="23"/>
      <c r="R180" s="23"/>
      <c r="S180" s="23"/>
      <c r="T180" s="12"/>
    </row>
    <row r="181" spans="2:20" ht="15">
      <c r="B181" s="6"/>
      <c r="C181" s="12"/>
      <c r="D181" s="23"/>
      <c r="E181" s="23"/>
      <c r="F181" s="23"/>
      <c r="G181" s="23"/>
      <c r="H181" s="23"/>
      <c r="I181" s="23"/>
      <c r="J181" s="23"/>
      <c r="K181" s="23"/>
      <c r="L181" s="23"/>
      <c r="M181" s="23"/>
      <c r="N181" s="23"/>
      <c r="O181" s="23"/>
      <c r="P181" s="23"/>
      <c r="Q181" s="23"/>
      <c r="R181" s="23"/>
      <c r="S181" s="23"/>
      <c r="T181" s="12"/>
    </row>
    <row r="182" spans="2:20" ht="75.75" customHeight="1">
      <c r="B182" s="95" t="s">
        <v>512</v>
      </c>
      <c r="C182" s="15"/>
      <c r="D182" s="654">
        <v>336448.5981308411</v>
      </c>
      <c r="E182" s="654">
        <v>100000</v>
      </c>
      <c r="F182" s="654">
        <v>100000</v>
      </c>
      <c r="G182" s="654">
        <f>188910.435028249+179170</f>
        <v>368080.435028249</v>
      </c>
      <c r="H182" s="654">
        <v>109407</v>
      </c>
      <c r="I182" s="654">
        <f>45715.0725+46191.93</f>
        <v>91907.0025</v>
      </c>
      <c r="J182" s="106">
        <f aca="true" t="shared" si="66" ref="J182:J187">SUM(D182:I182)</f>
        <v>1105843.03565909</v>
      </c>
      <c r="K182" s="114">
        <v>0.3</v>
      </c>
      <c r="L182" s="684">
        <v>276948.98</v>
      </c>
      <c r="M182" s="685">
        <v>74941.29</v>
      </c>
      <c r="N182" s="684">
        <v>71307.33</v>
      </c>
      <c r="O182" s="686">
        <v>225146</v>
      </c>
      <c r="P182" s="691">
        <v>53857</v>
      </c>
      <c r="Q182" s="686">
        <v>69556</v>
      </c>
      <c r="R182" s="708">
        <f aca="true" t="shared" si="67" ref="R182:R187">SUM(L182:Q182)</f>
        <v>771756.6</v>
      </c>
      <c r="S182" s="683">
        <f aca="true" t="shared" si="68" ref="S182:S187">R182*K182</f>
        <v>231526.97999999998</v>
      </c>
      <c r="T182" s="108"/>
    </row>
    <row r="183" spans="2:20" ht="46.5">
      <c r="B183" s="95" t="s">
        <v>513</v>
      </c>
      <c r="C183" s="15"/>
      <c r="D183" s="654">
        <v>72827.10280373831</v>
      </c>
      <c r="E183" s="654">
        <v>60245</v>
      </c>
      <c r="F183" s="654">
        <v>60245</v>
      </c>
      <c r="G183" s="654">
        <f>30423.3333333333+74937.678</f>
        <v>105361.0113333333</v>
      </c>
      <c r="H183" s="654">
        <v>45500</v>
      </c>
      <c r="I183" s="654">
        <f>38392.3333333333+36868.8176635514</f>
        <v>75261.15099688471</v>
      </c>
      <c r="J183" s="106">
        <f t="shared" si="66"/>
        <v>419439.26513395633</v>
      </c>
      <c r="K183" s="114">
        <v>0.3</v>
      </c>
      <c r="L183" s="684">
        <v>53967.5</v>
      </c>
      <c r="M183" s="684">
        <v>41101</v>
      </c>
      <c r="N183" s="684">
        <v>42663.35</v>
      </c>
      <c r="O183" s="686">
        <v>87464</v>
      </c>
      <c r="P183" s="691">
        <v>59842</v>
      </c>
      <c r="Q183" s="679">
        <f>65000-1723.09090909082</f>
        <v>63276.90909090918</v>
      </c>
      <c r="R183" s="708">
        <f t="shared" si="67"/>
        <v>348314.75909090915</v>
      </c>
      <c r="S183" s="683">
        <f t="shared" si="68"/>
        <v>104494.42772727275</v>
      </c>
      <c r="T183" s="108"/>
    </row>
    <row r="184" spans="2:20" ht="15">
      <c r="B184" s="760" t="s">
        <v>514</v>
      </c>
      <c r="C184" s="109" t="s">
        <v>934</v>
      </c>
      <c r="D184" s="654">
        <v>65000</v>
      </c>
      <c r="E184" s="654">
        <v>45500</v>
      </c>
      <c r="F184" s="654">
        <v>45500</v>
      </c>
      <c r="G184" s="654">
        <f>40000+40088</f>
        <v>80088</v>
      </c>
      <c r="H184" s="654">
        <f>28955</f>
        <v>28955</v>
      </c>
      <c r="I184" s="654">
        <f>15000+15000</f>
        <v>30000</v>
      </c>
      <c r="J184" s="106">
        <f t="shared" si="66"/>
        <v>295043</v>
      </c>
      <c r="K184" s="114">
        <v>0.3</v>
      </c>
      <c r="L184" s="684">
        <v>32540.16</v>
      </c>
      <c r="M184" s="684">
        <v>7931.55</v>
      </c>
      <c r="N184" s="725">
        <v>14049.35</v>
      </c>
      <c r="O184" s="686">
        <v>20000</v>
      </c>
      <c r="P184" s="688">
        <v>31677.7476635514</v>
      </c>
      <c r="Q184" s="686">
        <v>15000</v>
      </c>
      <c r="R184" s="708">
        <f t="shared" si="67"/>
        <v>121198.8076635514</v>
      </c>
      <c r="S184" s="683">
        <f t="shared" si="68"/>
        <v>36359.64229906542</v>
      </c>
      <c r="T184" s="108"/>
    </row>
    <row r="185" spans="2:20" ht="15">
      <c r="B185" s="761"/>
      <c r="C185" s="109" t="s">
        <v>935</v>
      </c>
      <c r="D185" s="654"/>
      <c r="E185" s="654"/>
      <c r="F185" s="654"/>
      <c r="G185" s="698">
        <v>36000</v>
      </c>
      <c r="H185" s="654"/>
      <c r="I185" s="654"/>
      <c r="J185" s="106">
        <f t="shared" si="66"/>
        <v>36000</v>
      </c>
      <c r="K185" s="114">
        <v>0.5</v>
      </c>
      <c r="L185" s="241">
        <v>0</v>
      </c>
      <c r="M185" s="684">
        <v>0</v>
      </c>
      <c r="N185" s="684">
        <v>0</v>
      </c>
      <c r="O185" s="686">
        <v>21000</v>
      </c>
      <c r="P185" s="688">
        <v>25667</v>
      </c>
      <c r="Q185" s="686">
        <v>12500</v>
      </c>
      <c r="R185" s="708">
        <f t="shared" si="67"/>
        <v>59167</v>
      </c>
      <c r="S185" s="683">
        <f t="shared" si="68"/>
        <v>29583.5</v>
      </c>
      <c r="T185" s="108"/>
    </row>
    <row r="186" spans="2:20" ht="15">
      <c r="B186" s="656" t="s">
        <v>928</v>
      </c>
      <c r="C186" s="109"/>
      <c r="D186" s="654">
        <v>10000</v>
      </c>
      <c r="E186" s="654">
        <v>5000</v>
      </c>
      <c r="F186" s="654">
        <v>5000</v>
      </c>
      <c r="G186" s="657"/>
      <c r="H186" s="31">
        <v>0</v>
      </c>
      <c r="I186" s="654">
        <v>0</v>
      </c>
      <c r="J186" s="106">
        <f t="shared" si="66"/>
        <v>20000</v>
      </c>
      <c r="K186" s="114"/>
      <c r="L186" s="654">
        <v>0</v>
      </c>
      <c r="M186" s="654">
        <v>0</v>
      </c>
      <c r="N186" s="654">
        <v>0</v>
      </c>
      <c r="O186" s="657"/>
      <c r="P186" s="657"/>
      <c r="Q186" s="31"/>
      <c r="R186" s="708">
        <f t="shared" si="67"/>
        <v>0</v>
      </c>
      <c r="S186" s="683">
        <f t="shared" si="68"/>
        <v>0</v>
      </c>
      <c r="T186" s="108"/>
    </row>
    <row r="187" spans="2:20" ht="47.25" customHeight="1">
      <c r="B187" s="110" t="s">
        <v>515</v>
      </c>
      <c r="C187" s="15"/>
      <c r="D187" s="679">
        <v>10000</v>
      </c>
      <c r="E187" s="679">
        <v>5000</v>
      </c>
      <c r="F187" s="679">
        <v>5000</v>
      </c>
      <c r="G187" s="654">
        <f>11000+35000</f>
        <v>46000</v>
      </c>
      <c r="H187" s="654">
        <v>25000</v>
      </c>
      <c r="I187" s="654">
        <f>12500+12500</f>
        <v>25000</v>
      </c>
      <c r="J187" s="106">
        <f t="shared" si="66"/>
        <v>116000</v>
      </c>
      <c r="K187" s="114">
        <v>0.3</v>
      </c>
      <c r="L187" s="679">
        <v>10036.68</v>
      </c>
      <c r="M187" s="679">
        <v>5000</v>
      </c>
      <c r="N187" s="679">
        <v>5000</v>
      </c>
      <c r="O187" s="654"/>
      <c r="P187" s="698"/>
      <c r="Q187" s="654"/>
      <c r="R187" s="708">
        <f t="shared" si="67"/>
        <v>20036.68</v>
      </c>
      <c r="S187" s="683">
        <f t="shared" si="68"/>
        <v>6011.004</v>
      </c>
      <c r="T187" s="108"/>
    </row>
    <row r="188" spans="2:20" ht="15">
      <c r="B188" s="6"/>
      <c r="C188" s="111" t="s">
        <v>521</v>
      </c>
      <c r="D188" s="116">
        <f aca="true" t="shared" si="69" ref="D188:J188">SUM(D182:D187)</f>
        <v>494275.7009345794</v>
      </c>
      <c r="E188" s="116">
        <f t="shared" si="69"/>
        <v>215745</v>
      </c>
      <c r="F188" s="116">
        <f t="shared" si="69"/>
        <v>215745</v>
      </c>
      <c r="G188" s="116">
        <f t="shared" si="69"/>
        <v>635529.4463615823</v>
      </c>
      <c r="H188" s="116">
        <f t="shared" si="69"/>
        <v>208862</v>
      </c>
      <c r="I188" s="116">
        <f t="shared" si="69"/>
        <v>222168.1534968847</v>
      </c>
      <c r="J188" s="116">
        <f t="shared" si="69"/>
        <v>1992325.3007930461</v>
      </c>
      <c r="K188" s="19">
        <f>(K182*J182)+(K183*J183)+(K184*J184)+(K185*J185)+(K187*J187)</f>
        <v>598897.5902379139</v>
      </c>
      <c r="L188" s="709">
        <f aca="true" t="shared" si="70" ref="L188:R188">SUM(L182:L187)</f>
        <v>373493.31999999995</v>
      </c>
      <c r="M188" s="709">
        <f t="shared" si="70"/>
        <v>128973.84</v>
      </c>
      <c r="N188" s="709">
        <f t="shared" si="70"/>
        <v>133020.03</v>
      </c>
      <c r="O188" s="709">
        <f t="shared" si="70"/>
        <v>353610</v>
      </c>
      <c r="P188" s="709">
        <f t="shared" si="70"/>
        <v>171043.7476635514</v>
      </c>
      <c r="Q188" s="709">
        <f t="shared" si="70"/>
        <v>160332.90909090918</v>
      </c>
      <c r="R188" s="709">
        <f t="shared" si="70"/>
        <v>1320473.8467544604</v>
      </c>
      <c r="S188" s="19">
        <f>SUM(S182:S187)</f>
        <v>407975.55402633816</v>
      </c>
      <c r="T188" s="15"/>
    </row>
    <row r="189" spans="2:20" ht="15">
      <c r="B189" s="6"/>
      <c r="C189" s="12"/>
      <c r="D189" s="23"/>
      <c r="E189" s="23"/>
      <c r="F189" s="23"/>
      <c r="G189" s="23"/>
      <c r="H189" s="23"/>
      <c r="I189" s="23"/>
      <c r="J189" s="23"/>
      <c r="K189" s="23"/>
      <c r="L189" s="23"/>
      <c r="M189" s="23"/>
      <c r="N189" s="23"/>
      <c r="O189" s="23"/>
      <c r="P189" s="23"/>
      <c r="Q189" s="23"/>
      <c r="R189" s="23"/>
      <c r="S189" s="23"/>
      <c r="T189" s="12"/>
    </row>
    <row r="190" spans="2:20" ht="15">
      <c r="B190" s="6"/>
      <c r="C190" s="12"/>
      <c r="D190" s="23"/>
      <c r="E190" s="23"/>
      <c r="F190" s="23"/>
      <c r="G190" s="23"/>
      <c r="H190" s="23"/>
      <c r="I190" s="23"/>
      <c r="J190" s="23"/>
      <c r="K190" s="23"/>
      <c r="L190" s="23"/>
      <c r="M190" s="23"/>
      <c r="N190" s="23"/>
      <c r="O190" s="23"/>
      <c r="P190" s="23"/>
      <c r="Q190" s="23"/>
      <c r="R190" s="23"/>
      <c r="S190" s="23"/>
      <c r="T190" s="12"/>
    </row>
    <row r="191" spans="2:20" ht="15">
      <c r="B191" s="6"/>
      <c r="C191" s="12"/>
      <c r="D191" s="23"/>
      <c r="E191" s="23"/>
      <c r="F191" s="23"/>
      <c r="G191" s="23"/>
      <c r="H191" s="23"/>
      <c r="I191" s="23"/>
      <c r="J191" s="23"/>
      <c r="K191" s="23"/>
      <c r="L191" s="23"/>
      <c r="M191" s="23"/>
      <c r="N191" s="23"/>
      <c r="O191" s="23"/>
      <c r="P191" s="23"/>
      <c r="Q191" s="23"/>
      <c r="R191" s="23"/>
      <c r="S191" s="696"/>
      <c r="T191" s="12"/>
    </row>
    <row r="192" spans="2:20" ht="15">
      <c r="B192" s="6"/>
      <c r="C192" s="12"/>
      <c r="D192" s="23"/>
      <c r="E192" s="23"/>
      <c r="F192" s="23"/>
      <c r="G192" s="23"/>
      <c r="H192" s="23"/>
      <c r="I192" s="23"/>
      <c r="J192" s="23"/>
      <c r="K192" s="23"/>
      <c r="L192" s="23"/>
      <c r="M192" s="23"/>
      <c r="N192" s="23"/>
      <c r="O192" s="23"/>
      <c r="P192" s="23"/>
      <c r="Q192" s="23"/>
      <c r="R192" s="23"/>
      <c r="S192" s="697">
        <f>+S191/D214</f>
        <v>0</v>
      </c>
      <c r="T192" s="12"/>
    </row>
    <row r="193" spans="2:20" ht="15">
      <c r="B193" s="6"/>
      <c r="C193" s="12"/>
      <c r="D193" s="23"/>
      <c r="E193" s="23"/>
      <c r="F193" s="23"/>
      <c r="G193" s="23"/>
      <c r="H193" s="23"/>
      <c r="I193" s="23"/>
      <c r="J193" s="23"/>
      <c r="K193" s="23"/>
      <c r="L193" s="23"/>
      <c r="M193" s="23"/>
      <c r="N193" s="23"/>
      <c r="O193" s="23"/>
      <c r="P193" s="23"/>
      <c r="Q193" s="23"/>
      <c r="R193" s="23"/>
      <c r="S193" s="23"/>
      <c r="T193" s="12"/>
    </row>
    <row r="194" spans="2:20" ht="15">
      <c r="B194" s="6"/>
      <c r="C194" s="12"/>
      <c r="D194" s="23"/>
      <c r="E194" s="23"/>
      <c r="F194" s="23"/>
      <c r="G194" s="23"/>
      <c r="H194" s="23"/>
      <c r="I194" s="23"/>
      <c r="J194" s="23"/>
      <c r="K194" s="23"/>
      <c r="L194" s="23"/>
      <c r="M194" s="23"/>
      <c r="N194" s="23"/>
      <c r="O194" s="23"/>
      <c r="P194" s="23"/>
      <c r="Q194" s="23"/>
      <c r="R194" s="23"/>
      <c r="S194" s="23"/>
      <c r="T194" s="12"/>
    </row>
    <row r="195" spans="2:20" ht="15.75" thickBot="1">
      <c r="B195" s="6"/>
      <c r="C195" s="12"/>
      <c r="D195" s="23"/>
      <c r="E195" s="23"/>
      <c r="F195" s="23"/>
      <c r="G195" s="23"/>
      <c r="H195" s="23"/>
      <c r="I195" s="23"/>
      <c r="J195" s="23"/>
      <c r="K195" s="23"/>
      <c r="L195" s="23"/>
      <c r="M195" s="23"/>
      <c r="N195" s="23"/>
      <c r="O195" s="23"/>
      <c r="P195" s="23"/>
      <c r="Q195" s="23"/>
      <c r="R195" s="23"/>
      <c r="S195" s="23"/>
      <c r="T195" s="23"/>
    </row>
    <row r="196" spans="2:20" ht="15">
      <c r="B196" s="6"/>
      <c r="C196" s="787" t="s">
        <v>534</v>
      </c>
      <c r="D196" s="788"/>
      <c r="E196" s="788"/>
      <c r="F196" s="788"/>
      <c r="G196" s="788"/>
      <c r="H196" s="788"/>
      <c r="I196" s="788"/>
      <c r="J196" s="789"/>
      <c r="K196" s="14"/>
      <c r="L196" s="710">
        <f>L196:O196</f>
        <v>0</v>
      </c>
      <c r="M196" s="711"/>
      <c r="N196" s="711"/>
      <c r="O196" s="711"/>
      <c r="P196" s="711"/>
      <c r="Q196" s="711"/>
      <c r="R196" s="712"/>
      <c r="S196" s="23"/>
      <c r="T196" s="23"/>
    </row>
    <row r="197" spans="2:20" ht="30.75">
      <c r="B197" s="6"/>
      <c r="C197" s="765"/>
      <c r="D197" s="19" t="s">
        <v>524</v>
      </c>
      <c r="E197" s="19" t="s">
        <v>525</v>
      </c>
      <c r="F197" s="19" t="s">
        <v>526</v>
      </c>
      <c r="G197" s="19" t="s">
        <v>620</v>
      </c>
      <c r="H197" s="19" t="s">
        <v>621</v>
      </c>
      <c r="I197" s="19" t="s">
        <v>622</v>
      </c>
      <c r="J197" s="767" t="s">
        <v>13</v>
      </c>
      <c r="K197" s="12"/>
      <c r="L197" s="713"/>
      <c r="M197" s="703" t="s">
        <v>525</v>
      </c>
      <c r="N197" s="703" t="s">
        <v>526</v>
      </c>
      <c r="O197" s="703" t="s">
        <v>620</v>
      </c>
      <c r="P197" s="703" t="s">
        <v>621</v>
      </c>
      <c r="Q197" s="703" t="s">
        <v>622</v>
      </c>
      <c r="R197" s="790" t="s">
        <v>13</v>
      </c>
      <c r="S197" s="23"/>
      <c r="T197" s="23"/>
    </row>
    <row r="198" spans="2:20" ht="15">
      <c r="B198" s="6"/>
      <c r="C198" s="766"/>
      <c r="D198" s="99" t="str">
        <f>D13</f>
        <v>OIM BURKINA FASO</v>
      </c>
      <c r="E198" s="99" t="str">
        <f>E13</f>
        <v>OIM NIGER</v>
      </c>
      <c r="F198" s="99" t="str">
        <f>F13</f>
        <v>OIM MALI</v>
      </c>
      <c r="G198" s="99" t="s">
        <v>656</v>
      </c>
      <c r="H198" s="99" t="s">
        <v>657</v>
      </c>
      <c r="I198" s="99" t="s">
        <v>658</v>
      </c>
      <c r="J198" s="768"/>
      <c r="K198" s="12"/>
      <c r="L198" s="714" t="str">
        <f>L13</f>
        <v>OIM BURKINA FASO</v>
      </c>
      <c r="M198" s="715" t="str">
        <f>M13</f>
        <v>OIM NIGER</v>
      </c>
      <c r="N198" s="715" t="str">
        <f>N13</f>
        <v>OIM MALI</v>
      </c>
      <c r="O198" s="716" t="s">
        <v>656</v>
      </c>
      <c r="P198" s="716" t="s">
        <v>951</v>
      </c>
      <c r="Q198" s="716" t="s">
        <v>950</v>
      </c>
      <c r="R198" s="791"/>
      <c r="S198" s="23"/>
      <c r="T198" s="23"/>
    </row>
    <row r="199" spans="2:20" ht="30.75">
      <c r="B199" s="24"/>
      <c r="C199" s="566" t="s">
        <v>522</v>
      </c>
      <c r="D199" s="562">
        <f>SUM(D24,D34,D44,D54,D68,D78,D83,D93,D110,D122,D132,D142,D149,D159,D169,D179,D182,D183,D184,D185:D186,D187)</f>
        <v>1241495.3271028036</v>
      </c>
      <c r="E199" s="562">
        <f>SUM(E24,E34,E44,E54,E68,E78,E83,E93,E110,E122,E132,E142,E149,E159,E169,E179,E182,E183,E184,E185:E186,E187)</f>
        <v>687663.5514018692</v>
      </c>
      <c r="F199" s="562">
        <f>SUM(F24,F34,F44,F54,F68,F78,F83,F93,F110,F122,F132,F142,F149,F159,F169,F179,F182,F183,F184,F185:F186,F187)</f>
        <v>687663.5514018692</v>
      </c>
      <c r="G199" s="562">
        <f>SUM(G24,G34,G44,G54,G68,G78,G83,G93,G110,G122,G132,G142,G149,G159,G169,G179,G182,G183,G184,G185:G185,G187)</f>
        <v>1308411.2288662554</v>
      </c>
      <c r="H199" s="562">
        <f>SUM(H24,H34,H44,H54,H68,H78,H83,H93,H110,H122,H132,H142,H149,H159,H169,H179,H182,H183,H184,H185:H185,H187)</f>
        <v>841121.6</v>
      </c>
      <c r="I199" s="562">
        <f>SUM(I24,I34,I44,I54,I68,I78,I83,I93,I110,I122,I132,I142,I149,I159,I169,I179,I182,I183,I184,I185:I185,I187)</f>
        <v>841121.4909391034</v>
      </c>
      <c r="J199" s="567">
        <f>SUM(D199:I199)</f>
        <v>5607476.7497119</v>
      </c>
      <c r="K199" s="566" t="s">
        <v>522</v>
      </c>
      <c r="L199" s="717">
        <f>SUM(L24,L34,L44,L54,L68,L78,L83,L93,L110,L122,L132,L142,L149,L159,L169,L179,L182,L183,L184,L185,L186,L187)</f>
        <v>745784.05</v>
      </c>
      <c r="M199" s="717">
        <f>SUM(M24,M34,M44,M54,M68,M78,M83,M93,M110,M122,M132,M142,M149,M159,M169,M179,M182,M183,M184,M185,M186,M187)</f>
        <v>338421.99</v>
      </c>
      <c r="N199" s="717">
        <f>SUM(N24,N34,N44,N54,N68,N78,N83,N93,N110,N122,N132,N142,N149,N159,N169,N179,N182,N183,N184,N185,N186,N187)</f>
        <v>396478.92</v>
      </c>
      <c r="O199" s="718">
        <f>SUM(O24,O34,O44,O54,O68,O78,O83,O93,O110,O122,O132,O142,O149,O159,O169,O179,O182,O183,O184,O185,O187)</f>
        <v>959715.66</v>
      </c>
      <c r="P199" s="718">
        <f>SUM(P24,P34,P44,P54,P68,P78,P83,P93,P110,P122,P132,P142,P149,P159,P169,P179,P182,P183,P184,P185,P187)</f>
        <v>472964.2931180969</v>
      </c>
      <c r="Q199" s="718">
        <f>SUM(Q24,Q34,Q44,Q54,Q68,Q78,Q83,Q93,Q110,Q122,Q132,Q142,Q149,Q159,Q169,Q179,Q182,Q183,Q184,Q185,Q187)</f>
        <v>608793</v>
      </c>
      <c r="R199" s="719">
        <f>SUM(L199:Q199)</f>
        <v>3522157.913118097</v>
      </c>
      <c r="S199" s="23"/>
      <c r="T199" s="23"/>
    </row>
    <row r="200" spans="2:20" ht="15">
      <c r="B200" s="4"/>
      <c r="C200" s="566" t="s">
        <v>523</v>
      </c>
      <c r="D200" s="562">
        <f aca="true" t="shared" si="71" ref="D200:J200">D199*0.07</f>
        <v>86904.67289719626</v>
      </c>
      <c r="E200" s="562">
        <f t="shared" si="71"/>
        <v>48136.448598130846</v>
      </c>
      <c r="F200" s="562">
        <f t="shared" si="71"/>
        <v>48136.448598130846</v>
      </c>
      <c r="G200" s="562">
        <f t="shared" si="71"/>
        <v>91588.78602063788</v>
      </c>
      <c r="H200" s="562">
        <f t="shared" si="71"/>
        <v>58878.512</v>
      </c>
      <c r="I200" s="562">
        <f t="shared" si="71"/>
        <v>58878.504365737244</v>
      </c>
      <c r="J200" s="567">
        <f t="shared" si="71"/>
        <v>392523.372479833</v>
      </c>
      <c r="K200" s="566" t="s">
        <v>523</v>
      </c>
      <c r="L200" s="717">
        <f>L199*0.07</f>
        <v>52204.88350000001</v>
      </c>
      <c r="M200" s="718">
        <f>M199*0.07</f>
        <v>23689.5393</v>
      </c>
      <c r="N200" s="718">
        <f>N199*0.07</f>
        <v>27753.524400000002</v>
      </c>
      <c r="O200" s="718">
        <v>53583</v>
      </c>
      <c r="P200" s="718">
        <v>29779</v>
      </c>
      <c r="Q200" s="718">
        <v>24673</v>
      </c>
      <c r="R200" s="719">
        <f>SUM(L200:Q200)</f>
        <v>211682.94720000002</v>
      </c>
      <c r="S200" s="23"/>
      <c r="T200" s="23"/>
    </row>
    <row r="201" spans="2:20" ht="15.75" thickBot="1">
      <c r="B201" s="4"/>
      <c r="C201" s="569" t="s">
        <v>13</v>
      </c>
      <c r="D201" s="550">
        <f aca="true" t="shared" si="72" ref="D201:J201">SUM(D199:D200)</f>
        <v>1328400</v>
      </c>
      <c r="E201" s="550">
        <f t="shared" si="72"/>
        <v>735800</v>
      </c>
      <c r="F201" s="550">
        <f t="shared" si="72"/>
        <v>735800</v>
      </c>
      <c r="G201" s="550">
        <f t="shared" si="72"/>
        <v>1400000.0148868933</v>
      </c>
      <c r="H201" s="550">
        <f t="shared" si="72"/>
        <v>900000.112</v>
      </c>
      <c r="I201" s="550">
        <f t="shared" si="72"/>
        <v>899999.9953048406</v>
      </c>
      <c r="J201" s="570">
        <f t="shared" si="72"/>
        <v>6000000.122191733</v>
      </c>
      <c r="K201" s="568" t="s">
        <v>13</v>
      </c>
      <c r="L201" s="720">
        <f aca="true" t="shared" si="73" ref="L201:R201">SUM(L199:L200)</f>
        <v>797988.9335</v>
      </c>
      <c r="M201" s="720">
        <f t="shared" si="73"/>
        <v>362111.5293</v>
      </c>
      <c r="N201" s="720">
        <f t="shared" si="73"/>
        <v>424232.4444</v>
      </c>
      <c r="O201" s="721">
        <f t="shared" si="73"/>
        <v>1013298.66</v>
      </c>
      <c r="P201" s="721">
        <f t="shared" si="73"/>
        <v>502743.2931180969</v>
      </c>
      <c r="Q201" s="721">
        <f t="shared" si="73"/>
        <v>633466</v>
      </c>
      <c r="R201" s="722">
        <f t="shared" si="73"/>
        <v>3733840.860318097</v>
      </c>
      <c r="S201" s="23"/>
      <c r="T201" s="23"/>
    </row>
    <row r="202" spans="2:20" ht="15">
      <c r="B202" s="4"/>
      <c r="C202" s="571"/>
      <c r="D202" s="571"/>
      <c r="E202" s="571"/>
      <c r="F202" s="571"/>
      <c r="G202" s="571"/>
      <c r="H202" s="571"/>
      <c r="I202" s="571"/>
      <c r="J202" s="571"/>
      <c r="K202" s="571"/>
      <c r="L202" s="694">
        <f>+L201/D201</f>
        <v>0.6007143431948209</v>
      </c>
      <c r="M202" s="694">
        <f>+M201/E201</f>
        <v>0.492133092280511</v>
      </c>
      <c r="N202" s="694">
        <f>+N201/F201</f>
        <v>0.5765594514813808</v>
      </c>
      <c r="O202" s="694">
        <f>+O201/G201</f>
        <v>0.7237847494464955</v>
      </c>
      <c r="P202" s="694">
        <f>+P201/H201</f>
        <v>0.5586035895049943</v>
      </c>
      <c r="Q202" s="694">
        <f>+Q201/H201</f>
        <v>0.7038510235207616</v>
      </c>
      <c r="R202" s="694">
        <f>+R201/J201</f>
        <v>0.6223067973795585</v>
      </c>
      <c r="S202" s="571"/>
      <c r="T202" s="3"/>
    </row>
    <row r="203" spans="2:20" s="40" customFormat="1" ht="15.75" thickBot="1">
      <c r="B203" s="12"/>
      <c r="C203" s="572"/>
      <c r="D203" s="572"/>
      <c r="E203" s="572"/>
      <c r="F203" s="572"/>
      <c r="G203" s="572"/>
      <c r="H203" s="572"/>
      <c r="I203" s="572"/>
      <c r="J203" s="572"/>
      <c r="K203" s="572"/>
      <c r="L203" s="695"/>
      <c r="M203" s="695"/>
      <c r="N203" s="695"/>
      <c r="O203" s="695"/>
      <c r="P203" s="695"/>
      <c r="Q203" s="695"/>
      <c r="R203" s="695"/>
      <c r="S203" s="572"/>
      <c r="T203" s="14"/>
    </row>
    <row r="204" spans="2:20" ht="15" customHeight="1">
      <c r="B204" s="1"/>
      <c r="C204" s="773" t="s">
        <v>527</v>
      </c>
      <c r="D204" s="774"/>
      <c r="E204" s="774"/>
      <c r="F204" s="774"/>
      <c r="G204" s="774"/>
      <c r="H204" s="774"/>
      <c r="I204" s="774"/>
      <c r="J204" s="774"/>
      <c r="K204" s="580"/>
      <c r="L204" s="572"/>
      <c r="M204" s="572"/>
      <c r="N204" s="572"/>
      <c r="O204" s="572"/>
      <c r="P204" s="572"/>
      <c r="Q204" s="572"/>
      <c r="R204" s="572"/>
      <c r="S204" s="572"/>
      <c r="T204" s="14"/>
    </row>
    <row r="205" spans="2:22" ht="30.75">
      <c r="B205" s="1"/>
      <c r="C205" s="573"/>
      <c r="D205" s="574" t="s">
        <v>524</v>
      </c>
      <c r="E205" s="574" t="s">
        <v>525</v>
      </c>
      <c r="F205" s="574" t="s">
        <v>526</v>
      </c>
      <c r="G205" s="574" t="s">
        <v>620</v>
      </c>
      <c r="H205" s="574" t="s">
        <v>621</v>
      </c>
      <c r="I205" s="574" t="s">
        <v>622</v>
      </c>
      <c r="J205" s="769" t="s">
        <v>13</v>
      </c>
      <c r="K205" s="785" t="s">
        <v>10</v>
      </c>
      <c r="L205" s="572"/>
      <c r="M205" s="572"/>
      <c r="N205" s="572"/>
      <c r="O205" s="572"/>
      <c r="P205" s="572"/>
      <c r="Q205" s="572"/>
      <c r="R205" s="572"/>
      <c r="S205" s="572"/>
      <c r="T205" s="14"/>
      <c r="V205" s="548"/>
    </row>
    <row r="206" spans="2:20" ht="15">
      <c r="B206" s="1"/>
      <c r="C206" s="573"/>
      <c r="D206" s="575" t="str">
        <f>D13</f>
        <v>OIM BURKINA FASO</v>
      </c>
      <c r="E206" s="575" t="str">
        <f>E13</f>
        <v>OIM NIGER</v>
      </c>
      <c r="F206" s="575" t="str">
        <f>F13</f>
        <v>OIM MALI</v>
      </c>
      <c r="G206" s="99" t="s">
        <v>656</v>
      </c>
      <c r="H206" s="99" t="s">
        <v>657</v>
      </c>
      <c r="I206" s="99" t="s">
        <v>658</v>
      </c>
      <c r="J206" s="770"/>
      <c r="K206" s="786"/>
      <c r="L206" s="572"/>
      <c r="M206" s="572"/>
      <c r="N206" s="572"/>
      <c r="O206" s="572"/>
      <c r="P206" s="572"/>
      <c r="Q206" s="572"/>
      <c r="R206" s="572"/>
      <c r="S206" s="572"/>
      <c r="T206" s="14"/>
    </row>
    <row r="207" spans="2:20" ht="15">
      <c r="B207" s="1"/>
      <c r="C207" s="576" t="s">
        <v>528</v>
      </c>
      <c r="D207" s="560">
        <v>232469.99867</v>
      </c>
      <c r="E207" s="560">
        <v>128765.00161</v>
      </c>
      <c r="F207" s="560">
        <v>128765.00161</v>
      </c>
      <c r="G207" s="560">
        <v>244999.97879941246</v>
      </c>
      <c r="H207" s="560">
        <v>157500</v>
      </c>
      <c r="I207" s="560">
        <v>157499.99835669424</v>
      </c>
      <c r="J207" s="577">
        <f>SUM(D207:I207)</f>
        <v>1049999.9790461068</v>
      </c>
      <c r="K207" s="633">
        <v>0.35</v>
      </c>
      <c r="L207" s="572"/>
      <c r="M207" s="572"/>
      <c r="N207" s="572"/>
      <c r="O207" s="572"/>
      <c r="P207" s="572"/>
      <c r="Q207" s="572"/>
      <c r="R207" s="572"/>
      <c r="S207" s="572"/>
      <c r="T207" s="14"/>
    </row>
    <row r="208" spans="2:20" ht="15">
      <c r="B208" s="762"/>
      <c r="C208" s="578" t="s">
        <v>529</v>
      </c>
      <c r="D208" s="561">
        <v>232469.99867</v>
      </c>
      <c r="E208" s="561">
        <v>128765.00161</v>
      </c>
      <c r="F208" s="561">
        <v>128765.00161</v>
      </c>
      <c r="G208" s="561">
        <v>244999.97879941246</v>
      </c>
      <c r="H208" s="561">
        <v>157500</v>
      </c>
      <c r="I208" s="561">
        <v>157499.99835669424</v>
      </c>
      <c r="J208" s="577">
        <f>SUM(D208:I208)</f>
        <v>1049999.9790461068</v>
      </c>
      <c r="K208" s="634">
        <v>0.35</v>
      </c>
      <c r="L208" s="572"/>
      <c r="M208" s="572"/>
      <c r="N208" s="572"/>
      <c r="O208" s="572"/>
      <c r="P208" s="572"/>
      <c r="Q208" s="572"/>
      <c r="R208" s="572"/>
      <c r="S208" s="572"/>
      <c r="T208" s="14"/>
    </row>
    <row r="209" spans="2:20" ht="15">
      <c r="B209" s="762"/>
      <c r="C209" s="578" t="s">
        <v>929</v>
      </c>
      <c r="D209" s="561">
        <v>199259.99886000002</v>
      </c>
      <c r="E209" s="561">
        <v>110370.00138000002</v>
      </c>
      <c r="F209" s="561">
        <v>110370.00138000002</v>
      </c>
      <c r="G209" s="561">
        <v>209999.98182806783</v>
      </c>
      <c r="H209" s="561">
        <v>135000</v>
      </c>
      <c r="I209" s="561">
        <v>134999.99859145223</v>
      </c>
      <c r="J209" s="577">
        <f>SUM(D209:I209)</f>
        <v>899999.9820395202</v>
      </c>
      <c r="K209" s="635">
        <v>0.3</v>
      </c>
      <c r="L209" s="572"/>
      <c r="M209" s="572"/>
      <c r="N209" s="572"/>
      <c r="O209" s="572"/>
      <c r="P209" s="572"/>
      <c r="Q209" s="572"/>
      <c r="R209" s="572"/>
      <c r="S209" s="572"/>
      <c r="T209" s="14"/>
    </row>
    <row r="210" spans="2:20" ht="15">
      <c r="B210" s="762"/>
      <c r="C210" s="578" t="s">
        <v>930</v>
      </c>
      <c r="D210" s="561">
        <v>464940.00265999994</v>
      </c>
      <c r="E210" s="561">
        <v>257529.99677999996</v>
      </c>
      <c r="F210" s="561">
        <v>257529.99677999996</v>
      </c>
      <c r="G210" s="561">
        <v>490000.05282200035</v>
      </c>
      <c r="H210" s="561">
        <v>315000.07839999994</v>
      </c>
      <c r="I210" s="561">
        <v>314999.9999999999</v>
      </c>
      <c r="J210" s="577">
        <f>SUM(D210:I210)</f>
        <v>2100000.127442</v>
      </c>
      <c r="K210" s="635"/>
      <c r="L210" s="572"/>
      <c r="M210" s="572"/>
      <c r="N210" s="572"/>
      <c r="O210" s="572"/>
      <c r="P210" s="572"/>
      <c r="Q210" s="572"/>
      <c r="R210" s="572"/>
      <c r="S210" s="572"/>
      <c r="T210" s="14"/>
    </row>
    <row r="211" spans="2:20" ht="15">
      <c r="B211" s="762"/>
      <c r="C211" s="578" t="s">
        <v>931</v>
      </c>
      <c r="D211" s="561">
        <v>199260.00113999998</v>
      </c>
      <c r="E211" s="561">
        <v>110369.99861999998</v>
      </c>
      <c r="F211" s="561">
        <v>110369.99861999998</v>
      </c>
      <c r="G211" s="561">
        <v>210000.02263800017</v>
      </c>
      <c r="H211" s="561">
        <v>135000.0336</v>
      </c>
      <c r="I211" s="561">
        <v>134999.99999999997</v>
      </c>
      <c r="J211" s="577">
        <f>SUM(D211:I211)</f>
        <v>900000.054618</v>
      </c>
      <c r="K211" s="635"/>
      <c r="L211" s="572"/>
      <c r="M211" s="572"/>
      <c r="N211" s="572"/>
      <c r="O211" s="572"/>
      <c r="P211" s="572"/>
      <c r="Q211" s="572"/>
      <c r="R211" s="572"/>
      <c r="S211" s="572"/>
      <c r="T211" s="14"/>
    </row>
    <row r="212" spans="2:20" ht="15.75" thickBot="1">
      <c r="B212" s="762"/>
      <c r="C212" s="569" t="s">
        <v>13</v>
      </c>
      <c r="D212" s="550">
        <f aca="true" t="shared" si="74" ref="D212:J212">SUM(D207:D211)</f>
        <v>1328400</v>
      </c>
      <c r="E212" s="550">
        <f t="shared" si="74"/>
        <v>735800</v>
      </c>
      <c r="F212" s="550">
        <f t="shared" si="74"/>
        <v>735800</v>
      </c>
      <c r="G212" s="550">
        <f t="shared" si="74"/>
        <v>1400000.0148868933</v>
      </c>
      <c r="H212" s="550">
        <f t="shared" si="74"/>
        <v>900000.112</v>
      </c>
      <c r="I212" s="550">
        <f t="shared" si="74"/>
        <v>899999.9953048406</v>
      </c>
      <c r="J212" s="550">
        <f t="shared" si="74"/>
        <v>6000000.122191734</v>
      </c>
      <c r="K212" s="636">
        <f>SUM(K207:K209)</f>
        <v>1</v>
      </c>
      <c r="L212" s="572"/>
      <c r="M212" s="572"/>
      <c r="N212" s="572"/>
      <c r="O212" s="572"/>
      <c r="P212" s="572"/>
      <c r="Q212" s="572"/>
      <c r="R212" s="572"/>
      <c r="S212" s="572"/>
      <c r="T212" s="14"/>
    </row>
    <row r="213" spans="2:20" ht="15.75" thickBot="1">
      <c r="B213" s="762"/>
      <c r="C213" s="2"/>
      <c r="D213" s="7"/>
      <c r="E213" s="7"/>
      <c r="F213" s="7"/>
      <c r="G213" s="7"/>
      <c r="H213" s="7"/>
      <c r="I213" s="7"/>
      <c r="J213" s="7"/>
      <c r="K213" s="7"/>
      <c r="L213" s="572"/>
      <c r="M213" s="572"/>
      <c r="N213" s="572"/>
      <c r="O213" s="572"/>
      <c r="P213" s="572"/>
      <c r="Q213" s="572"/>
      <c r="R213" s="572"/>
      <c r="S213" s="572"/>
      <c r="T213" s="14"/>
    </row>
    <row r="214" spans="2:19" ht="15">
      <c r="B214" s="762"/>
      <c r="C214" s="579" t="s">
        <v>530</v>
      </c>
      <c r="D214" s="580">
        <f>(+K24+K34+K68+K78+K83+K110+K122+K132+K149+K188)*1.07</f>
        <v>1810788.8876958396</v>
      </c>
      <c r="E214" s="34"/>
      <c r="F214" s="34"/>
      <c r="G214" s="34"/>
      <c r="H214" s="34"/>
      <c r="I214" s="147"/>
      <c r="J214" s="34"/>
      <c r="K214" s="7"/>
      <c r="S214" s="7"/>
    </row>
    <row r="215" spans="2:10" ht="15">
      <c r="B215" s="762"/>
      <c r="C215" s="581" t="s">
        <v>531</v>
      </c>
      <c r="D215" s="98">
        <f>D214/J201</f>
        <v>0.3017981418031003</v>
      </c>
      <c r="E215" s="43"/>
      <c r="F215" s="43"/>
      <c r="G215" s="43"/>
      <c r="H215" s="43"/>
      <c r="I215" s="43"/>
      <c r="J215" s="43"/>
    </row>
    <row r="216" spans="2:10" ht="14.25">
      <c r="B216" s="762"/>
      <c r="C216" s="771"/>
      <c r="D216" s="772"/>
      <c r="E216" s="44"/>
      <c r="F216" s="44"/>
      <c r="G216" s="44"/>
      <c r="H216" s="44"/>
      <c r="I216" s="44"/>
      <c r="J216" s="44"/>
    </row>
    <row r="217" spans="2:10" ht="15">
      <c r="B217" s="762"/>
      <c r="C217" s="581" t="s">
        <v>532</v>
      </c>
      <c r="D217" s="582">
        <f>SUM(L184:Q185)</f>
        <v>180365.80766355142</v>
      </c>
      <c r="E217" s="45"/>
      <c r="F217" s="45"/>
      <c r="G217" s="45"/>
      <c r="H217" s="45"/>
      <c r="I217" s="45"/>
      <c r="J217" s="45"/>
    </row>
    <row r="218" spans="2:10" ht="15">
      <c r="B218" s="762"/>
      <c r="C218" s="97" t="s">
        <v>533</v>
      </c>
      <c r="D218" s="678">
        <f>D217/R201</f>
        <v>0.04830570300422111</v>
      </c>
      <c r="E218" s="45"/>
      <c r="F218" s="45"/>
      <c r="G218" s="665"/>
      <c r="H218" s="45"/>
      <c r="I218" s="45"/>
      <c r="J218" s="45"/>
    </row>
    <row r="219" spans="2:10" ht="15" thickBot="1">
      <c r="B219" s="762"/>
      <c r="C219" s="763" t="s">
        <v>575</v>
      </c>
      <c r="D219" s="764"/>
      <c r="E219" s="35"/>
      <c r="F219" s="35"/>
      <c r="G219" s="35"/>
      <c r="H219" s="35"/>
      <c r="I219" s="35"/>
      <c r="J219" s="35"/>
    </row>
    <row r="220" ht="14.25">
      <c r="B220" s="762"/>
    </row>
    <row r="221" ht="14.25">
      <c r="B221" s="762"/>
    </row>
    <row r="222" ht="14.25">
      <c r="B222" s="762"/>
    </row>
    <row r="223" ht="14.25">
      <c r="B223" s="762"/>
    </row>
    <row r="224" ht="14.25">
      <c r="B224" s="762"/>
    </row>
  </sheetData>
  <sheetProtection/>
  <mergeCells count="33">
    <mergeCell ref="C170:T170"/>
    <mergeCell ref="K205:K206"/>
    <mergeCell ref="C196:J196"/>
    <mergeCell ref="R197:R198"/>
    <mergeCell ref="C96:T96"/>
    <mergeCell ref="C111:T111"/>
    <mergeCell ref="C144:T144"/>
    <mergeCell ref="C133:T133"/>
    <mergeCell ref="C150:T150"/>
    <mergeCell ref="C145:T145"/>
    <mergeCell ref="C123:T123"/>
    <mergeCell ref="C160:T160"/>
    <mergeCell ref="C69:T69"/>
    <mergeCell ref="C79:T79"/>
    <mergeCell ref="C84:T84"/>
    <mergeCell ref="C95:T95"/>
    <mergeCell ref="C45:T45"/>
    <mergeCell ref="C56:T56"/>
    <mergeCell ref="C57:T57"/>
    <mergeCell ref="B6:U6"/>
    <mergeCell ref="B2:E2"/>
    <mergeCell ref="B9:S9"/>
    <mergeCell ref="C25:T25"/>
    <mergeCell ref="C15:T15"/>
    <mergeCell ref="C35:T35"/>
    <mergeCell ref="B184:B185"/>
    <mergeCell ref="B208:B224"/>
    <mergeCell ref="C219:D219"/>
    <mergeCell ref="C197:C198"/>
    <mergeCell ref="J197:J198"/>
    <mergeCell ref="J205:J206"/>
    <mergeCell ref="C216:D216"/>
    <mergeCell ref="C204:J204"/>
  </mergeCells>
  <conditionalFormatting sqref="D215">
    <cfRule type="cellIs" priority="48" dxfId="31" operator="lessThan">
      <formula>0.15</formula>
    </cfRule>
  </conditionalFormatting>
  <conditionalFormatting sqref="D218">
    <cfRule type="cellIs" priority="46" dxfId="31" operator="lessThan">
      <formula>0.05</formula>
    </cfRule>
  </conditionalFormatting>
  <conditionalFormatting sqref="K212">
    <cfRule type="cellIs" priority="3" dxfId="31" operator="greaterThan">
      <formula>1</formula>
    </cfRule>
  </conditionalFormatting>
  <dataValidations count="7">
    <dataValidation allowBlank="1" showInputMessage="1" showErrorMessage="1" prompt="Insert *text* description of Output here" sqref="C15 C25 C35 C45 C57 C69 C79 C84 C96 C111 C170 C133 C145 C150 C160 C123"/>
    <dataValidation allowBlank="1" showInputMessage="1" showErrorMessage="1" prompt="Insert *text* description of Activity here" sqref="C115 C171 C36 C46 C58 C70 C124 C85 C97 C112 C161 C134 C146 C151"/>
    <dataValidation allowBlank="1" showInputMessage="1" showErrorMessage="1" prompt="Insert name of recipient agency here &#10;" sqref="D13:J13 L13:R13"/>
    <dataValidation allowBlank="1" showInputMessage="1" showErrorMessage="1" prompt="% Towards Gender Equality and Women's Empowerment Must be Higher than 15%&#10;" sqref="D215:J215"/>
    <dataValidation allowBlank="1" showInputMessage="1" showErrorMessage="1" prompt="M&amp;E Budget Cannot be Less than 5%&#10;" sqref="D218:J218"/>
    <dataValidation allowBlank="1" showErrorMessage="1" prompt="% Towards Gender Equality and Women's Empowerment Must be Higher than 15%&#10;" sqref="D217:J217"/>
    <dataValidation allowBlank="1" showInputMessage="1" showErrorMessage="1" prompt="Insert *text* description of Outcome here" sqref="C144:T144 C95:T95 C56:T56 C14:T14"/>
  </dataValidations>
  <printOptions/>
  <pageMargins left="0.7" right="0.7" top="0.75" bottom="0.75" header="0.3" footer="0.3"/>
  <pageSetup fitToHeight="0" fitToWidth="1" horizontalDpi="600" verticalDpi="600" orientation="landscape" scale="22" r:id="rId1"/>
  <rowBreaks count="1" manualBreakCount="1">
    <brk id="69" max="255" man="1"/>
  </rowBreaks>
</worksheet>
</file>

<file path=xl/worksheets/sheet5.xml><?xml version="1.0" encoding="utf-8"?>
<worksheet xmlns="http://schemas.openxmlformats.org/spreadsheetml/2006/main" xmlns:r="http://schemas.openxmlformats.org/officeDocument/2006/relationships">
  <sheetPr>
    <tabColor theme="0"/>
  </sheetPr>
  <dimension ref="B1:S245"/>
  <sheetViews>
    <sheetView showGridLines="0" showZeros="0" zoomScale="80" zoomScaleNormal="80" zoomScalePageLayoutView="70" workbookViewId="0" topLeftCell="A76">
      <selection activeCell="A76" sqref="A76"/>
    </sheetView>
  </sheetViews>
  <sheetFormatPr defaultColWidth="9.140625" defaultRowHeight="15"/>
  <cols>
    <col min="1" max="1" width="4.421875" style="50" customWidth="1"/>
    <col min="2" max="2" width="3.421875" style="50" customWidth="1"/>
    <col min="3" max="3" width="51.421875" style="50" customWidth="1"/>
    <col min="4" max="4" width="20.140625" style="52" customWidth="1"/>
    <col min="5" max="6" width="19.421875" style="52" customWidth="1"/>
    <col min="7" max="7" width="21.421875" style="52" customWidth="1"/>
    <col min="8" max="9" width="19.421875" style="52" customWidth="1"/>
    <col min="10" max="10" width="19.421875" style="50" customWidth="1"/>
    <col min="11" max="11" width="8.8515625" style="50" customWidth="1"/>
    <col min="12" max="12" width="20.140625" style="52" customWidth="1"/>
    <col min="13" max="13" width="21.00390625" style="50" customWidth="1"/>
    <col min="14" max="14" width="20.8515625" style="50" customWidth="1"/>
    <col min="15" max="15" width="20.140625" style="50" customWidth="1"/>
    <col min="16" max="16" width="19.421875" style="50" customWidth="1"/>
    <col min="17" max="17" width="15.421875" style="608" bestFit="1" customWidth="1"/>
    <col min="18" max="18" width="19.421875" style="50" customWidth="1"/>
    <col min="19" max="19" width="20.8515625" style="50" customWidth="1"/>
    <col min="20" max="20" width="33.00390625" style="50" customWidth="1"/>
    <col min="21" max="22" width="22.421875" style="50" customWidth="1"/>
    <col min="23" max="23" width="23.421875" style="50" customWidth="1"/>
    <col min="24" max="24" width="32.140625" style="50" customWidth="1"/>
    <col min="25" max="25" width="9.140625" style="50" customWidth="1"/>
    <col min="26" max="26" width="17.421875" style="50" customWidth="1"/>
    <col min="27" max="27" width="26.421875" style="50" customWidth="1"/>
    <col min="28" max="28" width="22.421875" style="50" customWidth="1"/>
    <col min="29" max="29" width="29.421875" style="50" customWidth="1"/>
    <col min="30" max="30" width="23.421875" style="50" customWidth="1"/>
    <col min="31" max="31" width="18.421875" style="50" customWidth="1"/>
    <col min="32" max="32" width="17.421875" style="50" customWidth="1"/>
    <col min="33" max="33" width="25.140625" style="50" customWidth="1"/>
    <col min="34" max="16384" width="9.140625" style="50" customWidth="1"/>
  </cols>
  <sheetData>
    <row r="1" spans="15:16" ht="24" customHeight="1">
      <c r="O1" s="21"/>
      <c r="P1" s="5"/>
    </row>
    <row r="2" spans="3:16" ht="46.5" customHeight="1">
      <c r="C2" s="780" t="s">
        <v>516</v>
      </c>
      <c r="D2" s="780"/>
      <c r="E2" s="780"/>
      <c r="F2" s="780"/>
      <c r="G2" s="142"/>
      <c r="H2" s="142"/>
      <c r="I2" s="142"/>
      <c r="J2" s="37"/>
      <c r="K2" s="37"/>
      <c r="L2" s="38"/>
      <c r="O2" s="21"/>
      <c r="P2" s="5"/>
    </row>
    <row r="3" spans="3:16" ht="24" customHeight="1">
      <c r="C3" s="41"/>
      <c r="D3" s="39"/>
      <c r="E3" s="39"/>
      <c r="F3" s="39"/>
      <c r="G3" s="39"/>
      <c r="H3" s="39"/>
      <c r="I3" s="39"/>
      <c r="J3" s="39"/>
      <c r="K3" s="39"/>
      <c r="L3" s="39"/>
      <c r="O3" s="21"/>
      <c r="P3" s="5"/>
    </row>
    <row r="4" spans="3:16" ht="24" customHeight="1" thickBot="1">
      <c r="C4" s="41"/>
      <c r="D4" s="39"/>
      <c r="E4" s="39"/>
      <c r="F4" s="39"/>
      <c r="G4" s="39"/>
      <c r="H4" s="39"/>
      <c r="I4" s="39"/>
      <c r="J4" s="39"/>
      <c r="K4" s="39"/>
      <c r="L4" s="39"/>
      <c r="O4" s="21"/>
      <c r="P4" s="5"/>
    </row>
    <row r="5" spans="3:14" ht="30" customHeight="1">
      <c r="C5" s="813" t="s">
        <v>5</v>
      </c>
      <c r="D5" s="814"/>
      <c r="E5" s="814"/>
      <c r="F5" s="814"/>
      <c r="G5" s="814"/>
      <c r="H5" s="814"/>
      <c r="I5" s="814"/>
      <c r="J5" s="815"/>
      <c r="K5" s="605"/>
      <c r="L5" s="50"/>
      <c r="M5" s="21"/>
      <c r="N5" s="5"/>
    </row>
    <row r="6" spans="3:14" ht="24" customHeight="1">
      <c r="C6" s="823" t="s">
        <v>576</v>
      </c>
      <c r="D6" s="824"/>
      <c r="E6" s="824"/>
      <c r="F6" s="824"/>
      <c r="G6" s="824"/>
      <c r="H6" s="824"/>
      <c r="I6" s="824"/>
      <c r="J6" s="825"/>
      <c r="K6" s="583"/>
      <c r="L6" s="50"/>
      <c r="M6" s="21"/>
      <c r="N6" s="5"/>
    </row>
    <row r="7" spans="3:14" ht="41.25" customHeight="1">
      <c r="C7" s="823"/>
      <c r="D7" s="824"/>
      <c r="E7" s="824"/>
      <c r="F7" s="824"/>
      <c r="G7" s="824"/>
      <c r="H7" s="824"/>
      <c r="I7" s="824"/>
      <c r="J7" s="825"/>
      <c r="K7" s="583"/>
      <c r="L7" s="50"/>
      <c r="M7" s="21"/>
      <c r="N7" s="5"/>
    </row>
    <row r="8" spans="3:14" ht="24" customHeight="1" thickBot="1">
      <c r="C8" s="826"/>
      <c r="D8" s="827"/>
      <c r="E8" s="827"/>
      <c r="F8" s="827"/>
      <c r="G8" s="827"/>
      <c r="H8" s="827"/>
      <c r="I8" s="827"/>
      <c r="J8" s="828"/>
      <c r="K8" s="583"/>
      <c r="L8" s="50"/>
      <c r="M8" s="21"/>
      <c r="N8" s="5"/>
    </row>
    <row r="9" spans="3:16" ht="24" customHeight="1" thickBot="1">
      <c r="C9" s="47"/>
      <c r="D9" s="47"/>
      <c r="E9" s="47"/>
      <c r="F9" s="47"/>
      <c r="G9" s="47"/>
      <c r="H9" s="47"/>
      <c r="I9" s="47"/>
      <c r="L9" s="47"/>
      <c r="O9" s="21"/>
      <c r="P9" s="5"/>
    </row>
    <row r="10" spans="3:16" ht="25.5" customHeight="1" thickBot="1">
      <c r="C10" s="781" t="s">
        <v>577</v>
      </c>
      <c r="D10" s="782"/>
      <c r="E10" s="782"/>
      <c r="F10" s="783"/>
      <c r="G10" s="143"/>
      <c r="H10" s="143"/>
      <c r="I10" s="143"/>
      <c r="L10" s="50"/>
      <c r="O10" s="21"/>
      <c r="P10" s="5"/>
    </row>
    <row r="11" spans="3:16" ht="25.5" customHeight="1">
      <c r="C11" s="143"/>
      <c r="D11" s="143"/>
      <c r="E11" s="143"/>
      <c r="F11" s="143"/>
      <c r="G11" s="143"/>
      <c r="H11" s="143"/>
      <c r="I11" s="143"/>
      <c r="L11" s="50"/>
      <c r="O11" s="21"/>
      <c r="P11" s="5"/>
    </row>
    <row r="12" spans="3:18" ht="24" customHeight="1">
      <c r="C12" s="47"/>
      <c r="D12" s="799" t="s">
        <v>884</v>
      </c>
      <c r="E12" s="800"/>
      <c r="F12" s="800"/>
      <c r="G12" s="800"/>
      <c r="H12" s="800"/>
      <c r="I12" s="800"/>
      <c r="J12" s="801"/>
      <c r="L12" s="802" t="s">
        <v>885</v>
      </c>
      <c r="M12" s="802"/>
      <c r="N12" s="802"/>
      <c r="O12" s="802"/>
      <c r="P12" s="802"/>
      <c r="Q12" s="802"/>
      <c r="R12" s="802"/>
    </row>
    <row r="13" spans="3:19" ht="40.5" customHeight="1">
      <c r="C13" s="47"/>
      <c r="D13" s="604" t="s">
        <v>524</v>
      </c>
      <c r="E13" s="604" t="s">
        <v>525</v>
      </c>
      <c r="F13" s="604" t="s">
        <v>526</v>
      </c>
      <c r="G13" s="604" t="s">
        <v>620</v>
      </c>
      <c r="H13" s="604" t="s">
        <v>621</v>
      </c>
      <c r="I13" s="604" t="s">
        <v>622</v>
      </c>
      <c r="J13" s="812" t="s">
        <v>13</v>
      </c>
      <c r="L13" s="585" t="s">
        <v>524</v>
      </c>
      <c r="M13" s="585" t="s">
        <v>525</v>
      </c>
      <c r="N13" s="585" t="s">
        <v>526</v>
      </c>
      <c r="O13" s="585" t="s">
        <v>620</v>
      </c>
      <c r="P13" s="585" t="s">
        <v>621</v>
      </c>
      <c r="Q13" s="585" t="s">
        <v>622</v>
      </c>
      <c r="R13" s="819" t="s">
        <v>13</v>
      </c>
      <c r="S13" s="811"/>
    </row>
    <row r="14" spans="3:19" ht="24" customHeight="1">
      <c r="C14" s="47"/>
      <c r="D14" s="99" t="s">
        <v>648</v>
      </c>
      <c r="E14" s="99" t="s">
        <v>649</v>
      </c>
      <c r="F14" s="99" t="s">
        <v>650</v>
      </c>
      <c r="G14" s="99" t="s">
        <v>656</v>
      </c>
      <c r="H14" s="99" t="s">
        <v>657</v>
      </c>
      <c r="I14" s="99" t="s">
        <v>658</v>
      </c>
      <c r="J14" s="761"/>
      <c r="L14" s="586" t="s">
        <v>648</v>
      </c>
      <c r="M14" s="586" t="s">
        <v>649</v>
      </c>
      <c r="N14" s="586" t="s">
        <v>650</v>
      </c>
      <c r="O14" s="586" t="s">
        <v>656</v>
      </c>
      <c r="P14" s="586" t="s">
        <v>658</v>
      </c>
      <c r="Q14" s="586" t="s">
        <v>658</v>
      </c>
      <c r="R14" s="819"/>
      <c r="S14" s="811"/>
    </row>
    <row r="15" spans="2:18" ht="24" customHeight="1">
      <c r="B15" s="805" t="s">
        <v>535</v>
      </c>
      <c r="C15" s="806"/>
      <c r="D15" s="806"/>
      <c r="E15" s="806"/>
      <c r="F15" s="806"/>
      <c r="G15" s="806"/>
      <c r="H15" s="806"/>
      <c r="I15" s="806"/>
      <c r="J15" s="807"/>
      <c r="L15" s="820"/>
      <c r="M15" s="820"/>
      <c r="N15" s="820"/>
      <c r="O15" s="820"/>
      <c r="P15" s="820"/>
      <c r="Q15" s="820"/>
      <c r="R15" s="820"/>
    </row>
    <row r="16" spans="3:18" ht="22.5" customHeight="1">
      <c r="C16" s="805" t="s">
        <v>536</v>
      </c>
      <c r="D16" s="806"/>
      <c r="E16" s="806"/>
      <c r="F16" s="806"/>
      <c r="G16" s="806"/>
      <c r="H16" s="806"/>
      <c r="I16" s="806"/>
      <c r="J16" s="807"/>
      <c r="L16" s="820"/>
      <c r="M16" s="820"/>
      <c r="N16" s="820"/>
      <c r="O16" s="820"/>
      <c r="P16" s="820"/>
      <c r="Q16" s="820"/>
      <c r="R16" s="820"/>
    </row>
    <row r="17" spans="3:18" ht="24.75" customHeight="1" thickBot="1">
      <c r="C17" s="59" t="s">
        <v>537</v>
      </c>
      <c r="D17" s="60">
        <v>302572.62616822426</v>
      </c>
      <c r="E17" s="60">
        <v>105665.55140186919</v>
      </c>
      <c r="F17" s="60">
        <v>105665.55140186919</v>
      </c>
      <c r="G17" s="60">
        <v>0</v>
      </c>
      <c r="H17" s="60">
        <v>0</v>
      </c>
      <c r="I17" s="60">
        <v>0</v>
      </c>
      <c r="J17" s="61">
        <f>SUM(D17:I17)</f>
        <v>513903.7289719626</v>
      </c>
      <c r="L17" s="587">
        <v>269315.86</v>
      </c>
      <c r="M17" s="587">
        <v>67935.69</v>
      </c>
      <c r="N17" s="587">
        <v>64726.49</v>
      </c>
      <c r="O17" s="587">
        <v>0</v>
      </c>
      <c r="P17" s="587">
        <v>0</v>
      </c>
      <c r="Q17" s="587">
        <v>0</v>
      </c>
      <c r="R17" s="588">
        <f>SUM(L17:Q17)</f>
        <v>401978.04</v>
      </c>
    </row>
    <row r="18" spans="3:18" ht="21.75" customHeight="1" thickBot="1">
      <c r="C18" s="58" t="s">
        <v>538</v>
      </c>
      <c r="D18" s="90"/>
      <c r="E18" s="91"/>
      <c r="F18" s="91"/>
      <c r="G18" s="91"/>
      <c r="H18" s="91"/>
      <c r="I18" s="91"/>
      <c r="J18" s="61">
        <f aca="true" t="shared" si="0" ref="J18:J24">SUM(D18:I18)</f>
        <v>0</v>
      </c>
      <c r="L18" s="90"/>
      <c r="M18" s="90"/>
      <c r="N18" s="91"/>
      <c r="O18" s="91"/>
      <c r="P18" s="91"/>
      <c r="Q18" s="91"/>
      <c r="R18" s="588">
        <f>SUM(L18:Q18)</f>
        <v>0</v>
      </c>
    </row>
    <row r="19" spans="3:18" ht="15.75" thickBot="1">
      <c r="C19" s="48" t="s">
        <v>539</v>
      </c>
      <c r="D19" s="92"/>
      <c r="E19" s="18"/>
      <c r="F19" s="18"/>
      <c r="G19" s="18"/>
      <c r="H19" s="18"/>
      <c r="I19" s="18"/>
      <c r="J19" s="61">
        <f t="shared" si="0"/>
        <v>0</v>
      </c>
      <c r="L19" s="92"/>
      <c r="M19" s="92"/>
      <c r="N19" s="18"/>
      <c r="O19" s="18"/>
      <c r="P19" s="18"/>
      <c r="Q19" s="18"/>
      <c r="R19" s="588">
        <f aca="true" t="shared" si="1" ref="R19:R24">SUM(L19:Q19)</f>
        <v>0</v>
      </c>
    </row>
    <row r="20" spans="3:18" ht="15.75" customHeight="1" thickBot="1">
      <c r="C20" s="48" t="s">
        <v>540</v>
      </c>
      <c r="D20" s="92"/>
      <c r="E20" s="92"/>
      <c r="F20" s="92"/>
      <c r="G20" s="92"/>
      <c r="H20" s="92"/>
      <c r="I20" s="92"/>
      <c r="J20" s="61">
        <f t="shared" si="0"/>
        <v>0</v>
      </c>
      <c r="L20" s="92"/>
      <c r="M20" s="92"/>
      <c r="N20" s="92"/>
      <c r="O20" s="92"/>
      <c r="P20" s="92"/>
      <c r="Q20" s="92"/>
      <c r="R20" s="588">
        <f t="shared" si="1"/>
        <v>0</v>
      </c>
    </row>
    <row r="21" spans="3:18" ht="15.75" thickBot="1">
      <c r="C21" s="49" t="s">
        <v>541</v>
      </c>
      <c r="D21" s="92">
        <v>6000</v>
      </c>
      <c r="E21" s="92">
        <v>2000</v>
      </c>
      <c r="F21" s="92">
        <v>2000</v>
      </c>
      <c r="G21" s="92"/>
      <c r="H21" s="92"/>
      <c r="I21" s="92"/>
      <c r="J21" s="61">
        <f>SUM(D21:I21)</f>
        <v>10000</v>
      </c>
      <c r="L21" s="92"/>
      <c r="M21" s="92"/>
      <c r="N21" s="92"/>
      <c r="O21" s="92"/>
      <c r="P21" s="92"/>
      <c r="Q21" s="92"/>
      <c r="R21" s="588">
        <f t="shared" si="1"/>
        <v>0</v>
      </c>
    </row>
    <row r="22" spans="3:18" ht="15.75" thickBot="1">
      <c r="C22" s="48" t="s">
        <v>542</v>
      </c>
      <c r="D22" s="92"/>
      <c r="E22" s="92"/>
      <c r="F22" s="92"/>
      <c r="G22" s="92"/>
      <c r="H22" s="92"/>
      <c r="I22" s="92"/>
      <c r="J22" s="61">
        <f t="shared" si="0"/>
        <v>0</v>
      </c>
      <c r="L22" s="92"/>
      <c r="M22" s="92"/>
      <c r="N22" s="92"/>
      <c r="O22" s="92"/>
      <c r="P22" s="92"/>
      <c r="Q22" s="92"/>
      <c r="R22" s="588">
        <f t="shared" si="1"/>
        <v>0</v>
      </c>
    </row>
    <row r="23" spans="3:18" ht="21.75" customHeight="1" thickBot="1">
      <c r="C23" s="48" t="s">
        <v>543</v>
      </c>
      <c r="D23" s="92">
        <v>226572.62616822426</v>
      </c>
      <c r="E23" s="92">
        <v>65705</v>
      </c>
      <c r="F23" s="92">
        <v>65705</v>
      </c>
      <c r="G23" s="92"/>
      <c r="H23" s="92">
        <v>0</v>
      </c>
      <c r="I23" s="92"/>
      <c r="J23" s="61">
        <f>SUM(D23:I23)</f>
        <v>357982.62616822426</v>
      </c>
      <c r="L23" s="653">
        <v>269315.86</v>
      </c>
      <c r="M23" s="653">
        <v>67935.69</v>
      </c>
      <c r="N23" s="653">
        <v>64726.49</v>
      </c>
      <c r="O23" s="653"/>
      <c r="P23" s="653">
        <v>0</v>
      </c>
      <c r="Q23" s="92"/>
      <c r="R23" s="588">
        <f t="shared" si="1"/>
        <v>401978.04</v>
      </c>
    </row>
    <row r="24" spans="3:18" ht="36.75" customHeight="1" thickBot="1">
      <c r="C24" s="48" t="s">
        <v>544</v>
      </c>
      <c r="D24" s="92"/>
      <c r="E24" s="92"/>
      <c r="F24" s="92"/>
      <c r="G24" s="92"/>
      <c r="H24" s="92"/>
      <c r="I24" s="92"/>
      <c r="J24" s="61">
        <f t="shared" si="0"/>
        <v>0</v>
      </c>
      <c r="L24" s="92"/>
      <c r="M24" s="92"/>
      <c r="N24" s="92"/>
      <c r="O24" s="92"/>
      <c r="P24" s="92"/>
      <c r="Q24" s="92"/>
      <c r="R24" s="588">
        <f t="shared" si="1"/>
        <v>0</v>
      </c>
    </row>
    <row r="25" spans="3:18" ht="15.75" customHeight="1">
      <c r="C25" s="53" t="s">
        <v>21</v>
      </c>
      <c r="D25" s="62">
        <f aca="true" t="shared" si="2" ref="D25:I25">SUM(D18:D24)</f>
        <v>232572.62616822426</v>
      </c>
      <c r="E25" s="62">
        <f t="shared" si="2"/>
        <v>67705</v>
      </c>
      <c r="F25" s="62">
        <f t="shared" si="2"/>
        <v>67705</v>
      </c>
      <c r="G25" s="62">
        <f t="shared" si="2"/>
        <v>0</v>
      </c>
      <c r="H25" s="62">
        <f t="shared" si="2"/>
        <v>0</v>
      </c>
      <c r="I25" s="62">
        <f t="shared" si="2"/>
        <v>0</v>
      </c>
      <c r="J25" s="117">
        <f>SUM(D25:I25)</f>
        <v>367982.62616822426</v>
      </c>
      <c r="L25" s="590">
        <f aca="true" t="shared" si="3" ref="L25:Q25">SUM(L18:L24)</f>
        <v>269315.86</v>
      </c>
      <c r="M25" s="590">
        <f t="shared" si="3"/>
        <v>67935.69</v>
      </c>
      <c r="N25" s="590">
        <f t="shared" si="3"/>
        <v>64726.49</v>
      </c>
      <c r="O25" s="590">
        <f t="shared" si="3"/>
        <v>0</v>
      </c>
      <c r="P25" s="590">
        <f t="shared" si="3"/>
        <v>0</v>
      </c>
      <c r="Q25" s="590">
        <f t="shared" si="3"/>
        <v>0</v>
      </c>
      <c r="R25" s="589">
        <f>SUM(L25:Q25)</f>
        <v>401978.04</v>
      </c>
    </row>
    <row r="26" spans="3:18" s="52" customFormat="1" ht="15">
      <c r="C26" s="63"/>
      <c r="D26" s="64"/>
      <c r="E26" s="64"/>
      <c r="F26" s="64"/>
      <c r="G26" s="64"/>
      <c r="H26" s="64"/>
      <c r="I26" s="64"/>
      <c r="J26" s="118"/>
      <c r="K26" s="50"/>
      <c r="L26" s="64"/>
      <c r="M26" s="64"/>
      <c r="N26" s="64"/>
      <c r="O26" s="64"/>
      <c r="P26" s="64"/>
      <c r="Q26" s="610"/>
      <c r="R26" s="118"/>
    </row>
    <row r="27" spans="3:18" ht="15">
      <c r="C27" s="805" t="s">
        <v>545</v>
      </c>
      <c r="D27" s="806"/>
      <c r="E27" s="806"/>
      <c r="F27" s="806"/>
      <c r="G27" s="806"/>
      <c r="H27" s="806"/>
      <c r="I27" s="806"/>
      <c r="J27" s="807"/>
      <c r="L27" s="793"/>
      <c r="M27" s="793"/>
      <c r="N27" s="793"/>
      <c r="O27" s="793"/>
      <c r="P27" s="793"/>
      <c r="Q27" s="793"/>
      <c r="R27" s="794"/>
    </row>
    <row r="28" spans="3:18" ht="27" customHeight="1" thickBot="1">
      <c r="C28" s="59" t="s">
        <v>546</v>
      </c>
      <c r="D28" s="60">
        <v>94046.5</v>
      </c>
      <c r="E28" s="60">
        <v>68596.5</v>
      </c>
      <c r="F28" s="60">
        <v>68596.5</v>
      </c>
      <c r="G28" s="60">
        <v>0</v>
      </c>
      <c r="H28" s="60">
        <v>0</v>
      </c>
      <c r="I28" s="60">
        <v>0</v>
      </c>
      <c r="J28" s="61">
        <f>SUM(D28:I28)</f>
        <v>231239.5</v>
      </c>
      <c r="L28" s="587">
        <v>29504.32</v>
      </c>
      <c r="M28" s="587">
        <v>50015.43</v>
      </c>
      <c r="N28" s="587">
        <v>46305.44</v>
      </c>
      <c r="O28" s="587">
        <v>0</v>
      </c>
      <c r="P28" s="587">
        <v>0</v>
      </c>
      <c r="Q28" s="587">
        <v>0</v>
      </c>
      <c r="R28" s="588">
        <f>SUM(L28:Q28)</f>
        <v>125825.19</v>
      </c>
    </row>
    <row r="29" spans="3:18" ht="15.75" thickBot="1">
      <c r="C29" s="58" t="s">
        <v>538</v>
      </c>
      <c r="D29" s="90"/>
      <c r="E29" s="91"/>
      <c r="F29" s="91"/>
      <c r="G29" s="91"/>
      <c r="H29" s="91"/>
      <c r="I29" s="91"/>
      <c r="J29" s="61">
        <f aca="true" t="shared" si="4" ref="J29:J35">SUM(D29:I29)</f>
        <v>0</v>
      </c>
      <c r="L29" s="90"/>
      <c r="M29" s="90"/>
      <c r="N29" s="91"/>
      <c r="O29" s="91"/>
      <c r="P29" s="91"/>
      <c r="Q29" s="91"/>
      <c r="R29" s="588">
        <f aca="true" t="shared" si="5" ref="R29:R35">SUM(M29:Q29)</f>
        <v>0</v>
      </c>
    </row>
    <row r="30" spans="3:18" ht="15.75" thickBot="1">
      <c r="C30" s="48" t="s">
        <v>539</v>
      </c>
      <c r="D30" s="92">
        <v>30385</v>
      </c>
      <c r="E30" s="92">
        <v>19935</v>
      </c>
      <c r="F30" s="92">
        <v>19935</v>
      </c>
      <c r="G30" s="18"/>
      <c r="H30" s="18"/>
      <c r="I30" s="18"/>
      <c r="J30" s="61">
        <f>SUM(D30:I30)</f>
        <v>70255</v>
      </c>
      <c r="L30" s="92"/>
      <c r="M30" s="92"/>
      <c r="N30" s="92"/>
      <c r="O30" s="92"/>
      <c r="P30" s="18"/>
      <c r="Q30" s="18"/>
      <c r="R30" s="588">
        <f t="shared" si="5"/>
        <v>0</v>
      </c>
    </row>
    <row r="31" spans="3:18" ht="31.5" thickBot="1">
      <c r="C31" s="48" t="s">
        <v>540</v>
      </c>
      <c r="D31" s="92"/>
      <c r="E31" s="92"/>
      <c r="F31" s="92"/>
      <c r="G31" s="92"/>
      <c r="H31" s="92"/>
      <c r="I31" s="92"/>
      <c r="J31" s="61">
        <f t="shared" si="4"/>
        <v>0</v>
      </c>
      <c r="L31" s="92"/>
      <c r="M31" s="92"/>
      <c r="N31" s="92"/>
      <c r="O31" s="92"/>
      <c r="P31" s="92"/>
      <c r="Q31" s="92"/>
      <c r="R31" s="588">
        <f t="shared" si="5"/>
        <v>0</v>
      </c>
    </row>
    <row r="32" spans="3:18" ht="15.75" thickBot="1">
      <c r="C32" s="49" t="s">
        <v>541</v>
      </c>
      <c r="D32" s="92">
        <v>8661.5</v>
      </c>
      <c r="E32" s="92">
        <v>8661.5</v>
      </c>
      <c r="F32" s="92">
        <v>8661.5</v>
      </c>
      <c r="G32" s="92"/>
      <c r="H32" s="92"/>
      <c r="I32" s="92"/>
      <c r="J32" s="61">
        <f>SUM(D32:I32)</f>
        <v>25984.5</v>
      </c>
      <c r="L32" s="92"/>
      <c r="M32" s="92"/>
      <c r="N32" s="92"/>
      <c r="O32" s="92"/>
      <c r="P32" s="92"/>
      <c r="Q32" s="92"/>
      <c r="R32" s="588">
        <f t="shared" si="5"/>
        <v>0</v>
      </c>
    </row>
    <row r="33" spans="3:18" ht="15.75" thickBot="1">
      <c r="C33" s="48" t="s">
        <v>542</v>
      </c>
      <c r="D33" s="92"/>
      <c r="E33" s="92"/>
      <c r="F33" s="92"/>
      <c r="G33" s="92"/>
      <c r="H33" s="92"/>
      <c r="I33" s="92"/>
      <c r="J33" s="61">
        <f t="shared" si="4"/>
        <v>0</v>
      </c>
      <c r="L33" s="92"/>
      <c r="M33" s="92"/>
      <c r="N33" s="92"/>
      <c r="O33" s="92"/>
      <c r="P33" s="92"/>
      <c r="Q33" s="92"/>
      <c r="R33" s="588">
        <f t="shared" si="5"/>
        <v>0</v>
      </c>
    </row>
    <row r="34" spans="3:18" ht="15.75" thickBot="1">
      <c r="C34" s="48" t="s">
        <v>543</v>
      </c>
      <c r="D34" s="92"/>
      <c r="E34" s="92"/>
      <c r="F34" s="92"/>
      <c r="G34" s="92"/>
      <c r="H34" s="92">
        <v>0</v>
      </c>
      <c r="I34" s="92"/>
      <c r="J34" s="61">
        <f t="shared" si="4"/>
        <v>0</v>
      </c>
      <c r="L34" s="653">
        <v>29504.32</v>
      </c>
      <c r="M34" s="653">
        <v>50015.43</v>
      </c>
      <c r="N34" s="653">
        <v>46305.44</v>
      </c>
      <c r="O34" s="92"/>
      <c r="P34" s="607">
        <v>0</v>
      </c>
      <c r="Q34" s="92"/>
      <c r="R34" s="588">
        <f t="shared" si="5"/>
        <v>96320.87</v>
      </c>
    </row>
    <row r="35" spans="3:18" ht="31.5" thickBot="1">
      <c r="C35" s="48" t="s">
        <v>544</v>
      </c>
      <c r="D35" s="92"/>
      <c r="E35" s="92"/>
      <c r="F35" s="92"/>
      <c r="G35" s="92"/>
      <c r="H35" s="92"/>
      <c r="I35" s="92"/>
      <c r="J35" s="61">
        <f t="shared" si="4"/>
        <v>0</v>
      </c>
      <c r="L35" s="92"/>
      <c r="M35" s="92"/>
      <c r="N35" s="92"/>
      <c r="O35" s="92"/>
      <c r="P35" s="92"/>
      <c r="Q35" s="92"/>
      <c r="R35" s="588">
        <f t="shared" si="5"/>
        <v>0</v>
      </c>
    </row>
    <row r="36" spans="3:18" ht="15">
      <c r="C36" s="53" t="s">
        <v>21</v>
      </c>
      <c r="D36" s="62">
        <f aca="true" t="shared" si="6" ref="D36:I36">SUM(D29:D35)</f>
        <v>39046.5</v>
      </c>
      <c r="E36" s="62">
        <f t="shared" si="6"/>
        <v>28596.5</v>
      </c>
      <c r="F36" s="62">
        <f t="shared" si="6"/>
        <v>28596.5</v>
      </c>
      <c r="G36" s="62">
        <f t="shared" si="6"/>
        <v>0</v>
      </c>
      <c r="H36" s="62">
        <f t="shared" si="6"/>
        <v>0</v>
      </c>
      <c r="I36" s="62">
        <f t="shared" si="6"/>
        <v>0</v>
      </c>
      <c r="J36" s="57">
        <f>SUM(D36:I36)</f>
        <v>96239.5</v>
      </c>
      <c r="L36" s="590">
        <f aca="true" t="shared" si="7" ref="L36:Q36">SUM(L29:L35)</f>
        <v>29504.32</v>
      </c>
      <c r="M36" s="590">
        <f t="shared" si="7"/>
        <v>50015.43</v>
      </c>
      <c r="N36" s="590">
        <f t="shared" si="7"/>
        <v>46305.44</v>
      </c>
      <c r="O36" s="590">
        <f t="shared" si="7"/>
        <v>0</v>
      </c>
      <c r="P36" s="590">
        <f t="shared" si="7"/>
        <v>0</v>
      </c>
      <c r="Q36" s="590">
        <f t="shared" si="7"/>
        <v>0</v>
      </c>
      <c r="R36" s="591">
        <f>SUM(L36:Q36)</f>
        <v>125825.19</v>
      </c>
    </row>
    <row r="37" spans="3:18" s="52" customFormat="1" ht="15">
      <c r="C37" s="63"/>
      <c r="D37" s="64"/>
      <c r="E37" s="64"/>
      <c r="F37" s="64"/>
      <c r="G37" s="64"/>
      <c r="H37" s="64"/>
      <c r="I37" s="64"/>
      <c r="J37" s="65"/>
      <c r="K37" s="50"/>
      <c r="L37" s="64"/>
      <c r="M37" s="64"/>
      <c r="N37" s="64"/>
      <c r="O37" s="64"/>
      <c r="P37" s="64"/>
      <c r="Q37" s="610"/>
      <c r="R37" s="65"/>
    </row>
    <row r="38" spans="3:18" ht="15" hidden="1">
      <c r="C38" s="805" t="s">
        <v>547</v>
      </c>
      <c r="D38" s="806"/>
      <c r="E38" s="806"/>
      <c r="F38" s="806"/>
      <c r="G38" s="806"/>
      <c r="H38" s="806"/>
      <c r="I38" s="806"/>
      <c r="J38" s="807"/>
      <c r="L38" s="793"/>
      <c r="M38" s="793"/>
      <c r="N38" s="793"/>
      <c r="O38" s="793"/>
      <c r="P38" s="793"/>
      <c r="Q38" s="793"/>
      <c r="R38" s="794"/>
    </row>
    <row r="39" spans="3:18" ht="21.75" customHeight="1" hidden="1" thickBot="1">
      <c r="C39" s="59" t="s">
        <v>548</v>
      </c>
      <c r="D39" s="60">
        <v>0</v>
      </c>
      <c r="E39" s="60">
        <v>0</v>
      </c>
      <c r="F39" s="60">
        <v>0</v>
      </c>
      <c r="G39" s="60">
        <v>0</v>
      </c>
      <c r="H39" s="60">
        <v>0</v>
      </c>
      <c r="I39" s="60">
        <v>0</v>
      </c>
      <c r="J39" s="61">
        <f>SUM(D39:I39)</f>
        <v>0</v>
      </c>
      <c r="L39" s="587">
        <v>0</v>
      </c>
      <c r="M39" s="587">
        <v>0</v>
      </c>
      <c r="N39" s="587">
        <v>0</v>
      </c>
      <c r="O39" s="587">
        <v>0</v>
      </c>
      <c r="P39" s="587">
        <v>0</v>
      </c>
      <c r="Q39" s="587">
        <v>0</v>
      </c>
      <c r="R39" s="588">
        <f>SUM(L39:Q39)</f>
        <v>0</v>
      </c>
    </row>
    <row r="40" spans="3:18" ht="15.75" hidden="1" thickBot="1">
      <c r="C40" s="58" t="s">
        <v>538</v>
      </c>
      <c r="D40" s="90"/>
      <c r="E40" s="91"/>
      <c r="F40" s="91"/>
      <c r="G40" s="91"/>
      <c r="H40" s="91"/>
      <c r="I40" s="91"/>
      <c r="J40" s="61">
        <f aca="true" t="shared" si="8" ref="J40:J46">SUM(D40:I40)</f>
        <v>0</v>
      </c>
      <c r="L40" s="90"/>
      <c r="M40" s="90"/>
      <c r="N40" s="91"/>
      <c r="O40" s="91"/>
      <c r="P40" s="91"/>
      <c r="Q40" s="91"/>
      <c r="R40" s="588">
        <f aca="true" t="shared" si="9" ref="R40:R46">SUM(M40:Q40)</f>
        <v>0</v>
      </c>
    </row>
    <row r="41" spans="3:18" s="52" customFormat="1" ht="15.75" customHeight="1" hidden="1" thickBot="1">
      <c r="C41" s="48" t="s">
        <v>539</v>
      </c>
      <c r="D41" s="92">
        <v>0</v>
      </c>
      <c r="E41" s="92">
        <v>0</v>
      </c>
      <c r="F41" s="92">
        <v>0</v>
      </c>
      <c r="G41" s="18"/>
      <c r="H41" s="18"/>
      <c r="I41" s="18"/>
      <c r="J41" s="61">
        <f t="shared" si="8"/>
        <v>0</v>
      </c>
      <c r="K41" s="50"/>
      <c r="L41" s="92">
        <v>0</v>
      </c>
      <c r="M41" s="92">
        <v>0</v>
      </c>
      <c r="N41" s="92">
        <v>0</v>
      </c>
      <c r="O41" s="92"/>
      <c r="P41" s="18"/>
      <c r="Q41" s="18"/>
      <c r="R41" s="588">
        <f t="shared" si="9"/>
        <v>0</v>
      </c>
    </row>
    <row r="42" spans="3:18" s="52" customFormat="1" ht="31.5" hidden="1" thickBot="1">
      <c r="C42" s="48" t="s">
        <v>540</v>
      </c>
      <c r="D42" s="92"/>
      <c r="E42" s="92"/>
      <c r="F42" s="92"/>
      <c r="G42" s="92"/>
      <c r="H42" s="92"/>
      <c r="I42" s="92"/>
      <c r="J42" s="61">
        <f t="shared" si="8"/>
        <v>0</v>
      </c>
      <c r="K42" s="50"/>
      <c r="L42" s="92"/>
      <c r="M42" s="92"/>
      <c r="N42" s="92"/>
      <c r="O42" s="92"/>
      <c r="P42" s="92"/>
      <c r="Q42" s="92"/>
      <c r="R42" s="588">
        <f t="shared" si="9"/>
        <v>0</v>
      </c>
    </row>
    <row r="43" spans="3:18" s="52" customFormat="1" ht="15.75" hidden="1" thickBot="1">
      <c r="C43" s="49" t="s">
        <v>541</v>
      </c>
      <c r="D43" s="92"/>
      <c r="E43" s="92"/>
      <c r="F43" s="92"/>
      <c r="G43" s="92"/>
      <c r="H43" s="92"/>
      <c r="I43" s="92"/>
      <c r="J43" s="61">
        <f t="shared" si="8"/>
        <v>0</v>
      </c>
      <c r="K43" s="50"/>
      <c r="L43" s="92"/>
      <c r="M43" s="92"/>
      <c r="N43" s="92"/>
      <c r="O43" s="92"/>
      <c r="P43" s="92"/>
      <c r="Q43" s="92"/>
      <c r="R43" s="588">
        <f t="shared" si="9"/>
        <v>0</v>
      </c>
    </row>
    <row r="44" spans="3:18" ht="15.75" hidden="1" thickBot="1">
      <c r="C44" s="48" t="s">
        <v>542</v>
      </c>
      <c r="D44" s="92"/>
      <c r="E44" s="92"/>
      <c r="F44" s="92"/>
      <c r="G44" s="92"/>
      <c r="H44" s="92"/>
      <c r="I44" s="92"/>
      <c r="J44" s="61">
        <f t="shared" si="8"/>
        <v>0</v>
      </c>
      <c r="L44" s="92"/>
      <c r="M44" s="92"/>
      <c r="N44" s="92"/>
      <c r="O44" s="92"/>
      <c r="P44" s="92"/>
      <c r="Q44" s="92"/>
      <c r="R44" s="588">
        <f t="shared" si="9"/>
        <v>0</v>
      </c>
    </row>
    <row r="45" spans="3:18" ht="15.75" hidden="1" thickBot="1">
      <c r="C45" s="48" t="s">
        <v>543</v>
      </c>
      <c r="D45" s="92"/>
      <c r="E45" s="92"/>
      <c r="F45" s="92"/>
      <c r="G45" s="92"/>
      <c r="H45" s="92"/>
      <c r="I45" s="92"/>
      <c r="J45" s="61">
        <f t="shared" si="8"/>
        <v>0</v>
      </c>
      <c r="L45" s="92"/>
      <c r="M45" s="92"/>
      <c r="N45" s="92"/>
      <c r="O45" s="92"/>
      <c r="P45" s="92"/>
      <c r="Q45" s="92"/>
      <c r="R45" s="588">
        <f t="shared" si="9"/>
        <v>0</v>
      </c>
    </row>
    <row r="46" spans="3:18" ht="31.5" hidden="1" thickBot="1">
      <c r="C46" s="48" t="s">
        <v>544</v>
      </c>
      <c r="D46" s="92"/>
      <c r="E46" s="92"/>
      <c r="F46" s="92"/>
      <c r="G46" s="92"/>
      <c r="H46" s="92"/>
      <c r="I46" s="92"/>
      <c r="J46" s="61">
        <f t="shared" si="8"/>
        <v>0</v>
      </c>
      <c r="L46" s="92"/>
      <c r="M46" s="92"/>
      <c r="N46" s="92"/>
      <c r="O46" s="92"/>
      <c r="P46" s="92"/>
      <c r="Q46" s="92"/>
      <c r="R46" s="588">
        <f t="shared" si="9"/>
        <v>0</v>
      </c>
    </row>
    <row r="47" spans="3:18" ht="15" hidden="1">
      <c r="C47" s="124" t="s">
        <v>21</v>
      </c>
      <c r="D47" s="125">
        <f aca="true" t="shared" si="10" ref="D47:I47">SUM(D40:D46)</f>
        <v>0</v>
      </c>
      <c r="E47" s="125">
        <f t="shared" si="10"/>
        <v>0</v>
      </c>
      <c r="F47" s="125">
        <f t="shared" si="10"/>
        <v>0</v>
      </c>
      <c r="G47" s="125">
        <f t="shared" si="10"/>
        <v>0</v>
      </c>
      <c r="H47" s="125">
        <f t="shared" si="10"/>
        <v>0</v>
      </c>
      <c r="I47" s="125">
        <f t="shared" si="10"/>
        <v>0</v>
      </c>
      <c r="J47" s="126">
        <f>SUM(D47:I47)</f>
        <v>0</v>
      </c>
      <c r="L47" s="593">
        <f aca="true" t="shared" si="11" ref="L47:Q47">SUM(L40:L46)</f>
        <v>0</v>
      </c>
      <c r="M47" s="593">
        <f t="shared" si="11"/>
        <v>0</v>
      </c>
      <c r="N47" s="593">
        <f t="shared" si="11"/>
        <v>0</v>
      </c>
      <c r="O47" s="593">
        <f t="shared" si="11"/>
        <v>0</v>
      </c>
      <c r="P47" s="593">
        <f t="shared" si="11"/>
        <v>0</v>
      </c>
      <c r="Q47" s="593">
        <f t="shared" si="11"/>
        <v>0</v>
      </c>
      <c r="R47" s="592">
        <f>SUM(L47:Q47)</f>
        <v>0</v>
      </c>
    </row>
    <row r="48" spans="3:18" ht="15" hidden="1">
      <c r="C48" s="127"/>
      <c r="D48" s="128"/>
      <c r="E48" s="128"/>
      <c r="F48" s="128"/>
      <c r="G48" s="128"/>
      <c r="H48" s="128"/>
      <c r="I48" s="128"/>
      <c r="J48" s="129"/>
      <c r="L48" s="128"/>
      <c r="M48" s="128"/>
      <c r="N48" s="128"/>
      <c r="O48" s="128"/>
      <c r="P48" s="128"/>
      <c r="Q48" s="611"/>
      <c r="R48" s="129"/>
    </row>
    <row r="49" spans="3:18" s="52" customFormat="1" ht="15" hidden="1">
      <c r="C49" s="816" t="s">
        <v>549</v>
      </c>
      <c r="D49" s="817"/>
      <c r="E49" s="817"/>
      <c r="F49" s="817"/>
      <c r="G49" s="817"/>
      <c r="H49" s="817"/>
      <c r="I49" s="817"/>
      <c r="J49" s="818"/>
      <c r="K49" s="50"/>
      <c r="L49" s="821"/>
      <c r="M49" s="821"/>
      <c r="N49" s="821"/>
      <c r="O49" s="821"/>
      <c r="P49" s="821"/>
      <c r="Q49" s="821"/>
      <c r="R49" s="822"/>
    </row>
    <row r="50" spans="3:18" ht="20.25" customHeight="1" hidden="1" thickBot="1">
      <c r="C50" s="59" t="s">
        <v>550</v>
      </c>
      <c r="D50" s="60">
        <v>0</v>
      </c>
      <c r="E50" s="60">
        <v>0</v>
      </c>
      <c r="F50" s="60">
        <v>0</v>
      </c>
      <c r="G50" s="60">
        <v>0</v>
      </c>
      <c r="H50" s="60">
        <v>0</v>
      </c>
      <c r="I50" s="60">
        <v>0</v>
      </c>
      <c r="J50" s="61">
        <f>SUM(D50:I50)</f>
        <v>0</v>
      </c>
      <c r="L50" s="587">
        <v>0</v>
      </c>
      <c r="M50" s="587">
        <v>0</v>
      </c>
      <c r="N50" s="587">
        <v>0</v>
      </c>
      <c r="O50" s="587">
        <v>0</v>
      </c>
      <c r="P50" s="587">
        <v>0</v>
      </c>
      <c r="Q50" s="587">
        <v>0</v>
      </c>
      <c r="R50" s="588">
        <f aca="true" t="shared" si="12" ref="R50:R58">SUM(M50:Q50)</f>
        <v>0</v>
      </c>
    </row>
    <row r="51" spans="3:18" ht="15.75" hidden="1" thickBot="1">
      <c r="C51" s="58" t="s">
        <v>538</v>
      </c>
      <c r="D51" s="90"/>
      <c r="E51" s="91"/>
      <c r="F51" s="91"/>
      <c r="G51" s="91"/>
      <c r="H51" s="91"/>
      <c r="I51" s="91"/>
      <c r="J51" s="61">
        <f aca="true" t="shared" si="13" ref="J51:J58">SUM(D51:I51)</f>
        <v>0</v>
      </c>
      <c r="L51" s="90"/>
      <c r="M51" s="90"/>
      <c r="N51" s="91"/>
      <c r="O51" s="91"/>
      <c r="P51" s="91"/>
      <c r="Q51" s="91"/>
      <c r="R51" s="588">
        <f t="shared" si="12"/>
        <v>0</v>
      </c>
    </row>
    <row r="52" spans="3:18" ht="15.75" customHeight="1" hidden="1" thickBot="1">
      <c r="C52" s="48" t="s">
        <v>539</v>
      </c>
      <c r="D52" s="92"/>
      <c r="E52" s="18"/>
      <c r="F52" s="18"/>
      <c r="G52" s="18"/>
      <c r="H52" s="18"/>
      <c r="I52" s="18"/>
      <c r="J52" s="61">
        <f t="shared" si="13"/>
        <v>0</v>
      </c>
      <c r="L52" s="92"/>
      <c r="M52" s="92"/>
      <c r="N52" s="18"/>
      <c r="O52" s="18"/>
      <c r="P52" s="18"/>
      <c r="Q52" s="18"/>
      <c r="R52" s="588">
        <f t="shared" si="12"/>
        <v>0</v>
      </c>
    </row>
    <row r="53" spans="3:18" ht="32.25" customHeight="1" hidden="1" thickBot="1">
      <c r="C53" s="48" t="s">
        <v>540</v>
      </c>
      <c r="D53" s="92"/>
      <c r="E53" s="92"/>
      <c r="F53" s="92"/>
      <c r="G53" s="92"/>
      <c r="H53" s="92"/>
      <c r="I53" s="92"/>
      <c r="J53" s="61">
        <f t="shared" si="13"/>
        <v>0</v>
      </c>
      <c r="L53" s="92"/>
      <c r="M53" s="92"/>
      <c r="N53" s="92"/>
      <c r="O53" s="92"/>
      <c r="P53" s="92"/>
      <c r="Q53" s="92"/>
      <c r="R53" s="588">
        <f t="shared" si="12"/>
        <v>0</v>
      </c>
    </row>
    <row r="54" spans="3:18" s="52" customFormat="1" ht="15.75" hidden="1" thickBot="1">
      <c r="C54" s="49" t="s">
        <v>541</v>
      </c>
      <c r="D54" s="92"/>
      <c r="E54" s="92"/>
      <c r="F54" s="92"/>
      <c r="G54" s="92"/>
      <c r="H54" s="92"/>
      <c r="I54" s="92"/>
      <c r="J54" s="61">
        <f t="shared" si="13"/>
        <v>0</v>
      </c>
      <c r="K54" s="50"/>
      <c r="L54" s="92"/>
      <c r="M54" s="92"/>
      <c r="N54" s="92"/>
      <c r="O54" s="92"/>
      <c r="P54" s="92"/>
      <c r="Q54" s="92"/>
      <c r="R54" s="588">
        <f t="shared" si="12"/>
        <v>0</v>
      </c>
    </row>
    <row r="55" spans="3:18" ht="15.75" hidden="1" thickBot="1">
      <c r="C55" s="48" t="s">
        <v>542</v>
      </c>
      <c r="D55" s="92"/>
      <c r="E55" s="92"/>
      <c r="F55" s="92"/>
      <c r="G55" s="92"/>
      <c r="H55" s="92"/>
      <c r="I55" s="92"/>
      <c r="J55" s="61">
        <f t="shared" si="13"/>
        <v>0</v>
      </c>
      <c r="L55" s="92"/>
      <c r="M55" s="92"/>
      <c r="N55" s="92"/>
      <c r="O55" s="92"/>
      <c r="P55" s="92"/>
      <c r="Q55" s="92"/>
      <c r="R55" s="588">
        <f t="shared" si="12"/>
        <v>0</v>
      </c>
    </row>
    <row r="56" spans="3:18" ht="15.75" hidden="1" thickBot="1">
      <c r="C56" s="48" t="s">
        <v>543</v>
      </c>
      <c r="D56" s="92"/>
      <c r="E56" s="92"/>
      <c r="F56" s="92"/>
      <c r="G56" s="92"/>
      <c r="H56" s="92"/>
      <c r="I56" s="92"/>
      <c r="J56" s="61">
        <f t="shared" si="13"/>
        <v>0</v>
      </c>
      <c r="L56" s="92"/>
      <c r="M56" s="92"/>
      <c r="N56" s="92"/>
      <c r="O56" s="92"/>
      <c r="P56" s="92"/>
      <c r="Q56" s="92"/>
      <c r="R56" s="588">
        <f t="shared" si="12"/>
        <v>0</v>
      </c>
    </row>
    <row r="57" spans="3:18" ht="31.5" hidden="1" thickBot="1">
      <c r="C57" s="48" t="s">
        <v>544</v>
      </c>
      <c r="D57" s="92"/>
      <c r="E57" s="92"/>
      <c r="F57" s="92"/>
      <c r="G57" s="92"/>
      <c r="H57" s="92"/>
      <c r="I57" s="92"/>
      <c r="J57" s="61">
        <f t="shared" si="13"/>
        <v>0</v>
      </c>
      <c r="L57" s="92"/>
      <c r="M57" s="92"/>
      <c r="N57" s="92"/>
      <c r="O57" s="92"/>
      <c r="P57" s="92"/>
      <c r="Q57" s="92"/>
      <c r="R57" s="588">
        <f t="shared" si="12"/>
        <v>0</v>
      </c>
    </row>
    <row r="58" spans="3:18" ht="21" customHeight="1" hidden="1" thickBot="1">
      <c r="C58" s="53" t="s">
        <v>21</v>
      </c>
      <c r="D58" s="62">
        <f aca="true" t="shared" si="14" ref="D58:I58">SUM(D51:D57)</f>
        <v>0</v>
      </c>
      <c r="E58" s="62">
        <f t="shared" si="14"/>
        <v>0</v>
      </c>
      <c r="F58" s="62">
        <f t="shared" si="14"/>
        <v>0</v>
      </c>
      <c r="G58" s="62">
        <f t="shared" si="14"/>
        <v>0</v>
      </c>
      <c r="H58" s="62">
        <f t="shared" si="14"/>
        <v>0</v>
      </c>
      <c r="I58" s="62">
        <f t="shared" si="14"/>
        <v>0</v>
      </c>
      <c r="J58" s="61">
        <f t="shared" si="13"/>
        <v>0</v>
      </c>
      <c r="L58" s="590">
        <f aca="true" t="shared" si="15" ref="L58:Q58">SUM(L51:L57)</f>
        <v>0</v>
      </c>
      <c r="M58" s="590">
        <f t="shared" si="15"/>
        <v>0</v>
      </c>
      <c r="N58" s="590">
        <f t="shared" si="15"/>
        <v>0</v>
      </c>
      <c r="O58" s="590">
        <f t="shared" si="15"/>
        <v>0</v>
      </c>
      <c r="P58" s="590">
        <f t="shared" si="15"/>
        <v>0</v>
      </c>
      <c r="Q58" s="590">
        <f t="shared" si="15"/>
        <v>0</v>
      </c>
      <c r="R58" s="588">
        <f t="shared" si="12"/>
        <v>0</v>
      </c>
    </row>
    <row r="59" spans="3:18" s="52" customFormat="1" ht="22.5" customHeight="1" hidden="1">
      <c r="C59" s="66"/>
      <c r="D59" s="64"/>
      <c r="E59" s="64"/>
      <c r="F59" s="64"/>
      <c r="G59" s="64"/>
      <c r="H59" s="64"/>
      <c r="I59" s="64"/>
      <c r="J59" s="65"/>
      <c r="K59" s="50"/>
      <c r="L59" s="64"/>
      <c r="M59" s="64"/>
      <c r="N59" s="64"/>
      <c r="O59" s="64"/>
      <c r="P59" s="64"/>
      <c r="Q59" s="610"/>
      <c r="R59" s="65"/>
    </row>
    <row r="60" spans="2:18" ht="15">
      <c r="B60" s="805" t="s">
        <v>551</v>
      </c>
      <c r="C60" s="806"/>
      <c r="D60" s="806"/>
      <c r="E60" s="806"/>
      <c r="F60" s="806"/>
      <c r="G60" s="806"/>
      <c r="H60" s="806"/>
      <c r="I60" s="806"/>
      <c r="J60" s="807"/>
      <c r="L60" s="793"/>
      <c r="M60" s="793"/>
      <c r="N60" s="793"/>
      <c r="O60" s="793"/>
      <c r="P60" s="793"/>
      <c r="Q60" s="793"/>
      <c r="R60" s="794"/>
    </row>
    <row r="61" spans="3:18" ht="15">
      <c r="C61" s="805" t="s">
        <v>412</v>
      </c>
      <c r="D61" s="806"/>
      <c r="E61" s="806"/>
      <c r="F61" s="806"/>
      <c r="G61" s="806"/>
      <c r="H61" s="806"/>
      <c r="I61" s="806"/>
      <c r="J61" s="807"/>
      <c r="L61" s="793"/>
      <c r="M61" s="793"/>
      <c r="N61" s="793"/>
      <c r="O61" s="793"/>
      <c r="P61" s="793"/>
      <c r="Q61" s="793"/>
      <c r="R61" s="794"/>
    </row>
    <row r="62" spans="3:18" ht="24" customHeight="1" thickBot="1">
      <c r="C62" s="59" t="s">
        <v>552</v>
      </c>
      <c r="D62" s="60">
        <v>238600.5</v>
      </c>
      <c r="E62" s="60">
        <v>203112.5</v>
      </c>
      <c r="F62" s="60">
        <v>182412.5</v>
      </c>
      <c r="G62" s="60">
        <v>0</v>
      </c>
      <c r="H62" s="60">
        <v>16500</v>
      </c>
      <c r="I62" s="60">
        <v>0</v>
      </c>
      <c r="J62" s="61">
        <f>SUM(D62:I62)</f>
        <v>640625.5</v>
      </c>
      <c r="L62" s="587">
        <v>55665.96000000001</v>
      </c>
      <c r="M62" s="587">
        <v>55454.78</v>
      </c>
      <c r="N62" s="587">
        <v>57926.869999999995</v>
      </c>
      <c r="O62" s="587">
        <v>0</v>
      </c>
      <c r="P62" s="587">
        <v>0</v>
      </c>
      <c r="Q62" s="587">
        <v>0</v>
      </c>
      <c r="R62" s="588">
        <f>SUM(L62:Q62)</f>
        <v>169047.61</v>
      </c>
    </row>
    <row r="63" spans="3:18" ht="15.75" customHeight="1" thickBot="1">
      <c r="C63" s="58" t="s">
        <v>538</v>
      </c>
      <c r="D63" s="90"/>
      <c r="E63" s="91"/>
      <c r="F63" s="91"/>
      <c r="G63" s="91"/>
      <c r="H63" s="91"/>
      <c r="I63" s="91"/>
      <c r="J63" s="61">
        <f aca="true" t="shared" si="16" ref="J63:J69">SUM(D63:I63)</f>
        <v>0</v>
      </c>
      <c r="L63" s="90"/>
      <c r="M63" s="90"/>
      <c r="N63" s="91"/>
      <c r="O63" s="91"/>
      <c r="P63" s="91"/>
      <c r="Q63" s="91"/>
      <c r="R63" s="588">
        <f aca="true" t="shared" si="17" ref="R63:R69">SUM(M63:Q63)</f>
        <v>0</v>
      </c>
    </row>
    <row r="64" spans="3:18" ht="15.75" customHeight="1" thickBot="1">
      <c r="C64" s="48" t="s">
        <v>539</v>
      </c>
      <c r="D64" s="92">
        <v>45000</v>
      </c>
      <c r="E64" s="92">
        <v>72000</v>
      </c>
      <c r="F64" s="92">
        <v>51300</v>
      </c>
      <c r="G64" s="18"/>
      <c r="H64" s="18"/>
      <c r="I64" s="18"/>
      <c r="J64" s="61">
        <f>SUM(D64:I64)</f>
        <v>168300</v>
      </c>
      <c r="L64" s="92"/>
      <c r="M64" s="92"/>
      <c r="N64" s="92"/>
      <c r="O64" s="92"/>
      <c r="P64" s="18"/>
      <c r="Q64" s="18"/>
      <c r="R64" s="588">
        <f t="shared" si="17"/>
        <v>0</v>
      </c>
    </row>
    <row r="65" spans="3:18" ht="15.75" customHeight="1" thickBot="1">
      <c r="C65" s="48" t="s">
        <v>540</v>
      </c>
      <c r="D65" s="92"/>
      <c r="E65" s="92"/>
      <c r="F65" s="92"/>
      <c r="G65" s="92"/>
      <c r="H65" s="92"/>
      <c r="I65" s="92"/>
      <c r="J65" s="61">
        <f t="shared" si="16"/>
        <v>0</v>
      </c>
      <c r="L65" s="92"/>
      <c r="M65" s="92"/>
      <c r="N65" s="92"/>
      <c r="O65" s="92"/>
      <c r="P65" s="92"/>
      <c r="Q65" s="92"/>
      <c r="R65" s="588">
        <f t="shared" si="17"/>
        <v>0</v>
      </c>
    </row>
    <row r="66" spans="3:18" ht="18.75" customHeight="1" thickBot="1">
      <c r="C66" s="49" t="s">
        <v>541</v>
      </c>
      <c r="D66" s="92">
        <v>6000</v>
      </c>
      <c r="E66" s="92">
        <v>7000</v>
      </c>
      <c r="F66" s="92">
        <v>7000</v>
      </c>
      <c r="G66" s="92"/>
      <c r="H66" s="92"/>
      <c r="I66" s="92"/>
      <c r="J66" s="61">
        <f t="shared" si="16"/>
        <v>20000</v>
      </c>
      <c r="L66" s="653">
        <v>55665.96000000001</v>
      </c>
      <c r="M66" s="653">
        <v>55454.78</v>
      </c>
      <c r="N66" s="653">
        <v>57926.869999999995</v>
      </c>
      <c r="O66" s="92"/>
      <c r="P66" s="92"/>
      <c r="Q66" s="92"/>
      <c r="R66" s="588">
        <f t="shared" si="17"/>
        <v>113381.65</v>
      </c>
    </row>
    <row r="67" spans="3:18" ht="15.75" thickBot="1">
      <c r="C67" s="48" t="s">
        <v>542</v>
      </c>
      <c r="D67" s="92"/>
      <c r="E67" s="92"/>
      <c r="F67" s="92"/>
      <c r="G67" s="92"/>
      <c r="H67" s="92"/>
      <c r="I67" s="92"/>
      <c r="J67" s="61">
        <f t="shared" si="16"/>
        <v>0</v>
      </c>
      <c r="L67" s="653"/>
      <c r="M67" s="653"/>
      <c r="N67" s="653"/>
      <c r="O67" s="92"/>
      <c r="P67" s="92"/>
      <c r="Q67" s="92"/>
      <c r="R67" s="588">
        <f t="shared" si="17"/>
        <v>0</v>
      </c>
    </row>
    <row r="68" spans="2:18" s="52" customFormat="1" ht="21.75" customHeight="1" thickBot="1">
      <c r="B68" s="50"/>
      <c r="C68" s="48" t="s">
        <v>543</v>
      </c>
      <c r="D68" s="92"/>
      <c r="E68" s="92"/>
      <c r="F68" s="92"/>
      <c r="G68" s="92"/>
      <c r="H68" s="92">
        <v>16500</v>
      </c>
      <c r="I68" s="92"/>
      <c r="J68" s="61">
        <f t="shared" si="16"/>
        <v>16500</v>
      </c>
      <c r="K68" s="50"/>
      <c r="L68" s="92"/>
      <c r="M68" s="92"/>
      <c r="N68" s="92"/>
      <c r="O68" s="92"/>
      <c r="P68" s="92">
        <v>0</v>
      </c>
      <c r="Q68" s="92"/>
      <c r="R68" s="588">
        <f t="shared" si="17"/>
        <v>0</v>
      </c>
    </row>
    <row r="69" spans="2:18" s="52" customFormat="1" ht="31.5" thickBot="1">
      <c r="B69" s="50"/>
      <c r="C69" s="48" t="s">
        <v>544</v>
      </c>
      <c r="D69" s="92"/>
      <c r="E69" s="92"/>
      <c r="F69" s="92"/>
      <c r="G69" s="92"/>
      <c r="H69" s="92"/>
      <c r="I69" s="92"/>
      <c r="J69" s="61">
        <f t="shared" si="16"/>
        <v>0</v>
      </c>
      <c r="K69" s="50"/>
      <c r="L69" s="92"/>
      <c r="M69" s="92"/>
      <c r="N69" s="92"/>
      <c r="O69" s="92"/>
      <c r="P69" s="92"/>
      <c r="Q69" s="92"/>
      <c r="R69" s="588">
        <f t="shared" si="17"/>
        <v>0</v>
      </c>
    </row>
    <row r="70" spans="3:18" ht="15">
      <c r="C70" s="53" t="s">
        <v>21</v>
      </c>
      <c r="D70" s="62">
        <f aca="true" t="shared" si="18" ref="D70:I70">SUM(D63:D69)</f>
        <v>51000</v>
      </c>
      <c r="E70" s="62">
        <f t="shared" si="18"/>
        <v>79000</v>
      </c>
      <c r="F70" s="62">
        <f t="shared" si="18"/>
        <v>58300</v>
      </c>
      <c r="G70" s="62">
        <f t="shared" si="18"/>
        <v>0</v>
      </c>
      <c r="H70" s="62">
        <f t="shared" si="18"/>
        <v>16500</v>
      </c>
      <c r="I70" s="62">
        <f t="shared" si="18"/>
        <v>0</v>
      </c>
      <c r="J70" s="57">
        <f>SUM(D70:I70)</f>
        <v>204800</v>
      </c>
      <c r="L70" s="590">
        <f aca="true" t="shared" si="19" ref="L70:Q70">SUM(L63:L69)</f>
        <v>55665.96000000001</v>
      </c>
      <c r="M70" s="590">
        <f t="shared" si="19"/>
        <v>55454.78</v>
      </c>
      <c r="N70" s="590">
        <f t="shared" si="19"/>
        <v>57926.869999999995</v>
      </c>
      <c r="O70" s="590">
        <f t="shared" si="19"/>
        <v>0</v>
      </c>
      <c r="P70" s="590">
        <f t="shared" si="19"/>
        <v>0</v>
      </c>
      <c r="Q70" s="590">
        <f t="shared" si="19"/>
        <v>0</v>
      </c>
      <c r="R70" s="591">
        <f>SUM(L70:Q70)</f>
        <v>169047.61</v>
      </c>
    </row>
    <row r="71" spans="3:18" s="52" customFormat="1" ht="15">
      <c r="C71" s="63"/>
      <c r="D71" s="64"/>
      <c r="E71" s="64"/>
      <c r="F71" s="64"/>
      <c r="G71" s="64"/>
      <c r="H71" s="64"/>
      <c r="I71" s="64"/>
      <c r="J71" s="65"/>
      <c r="K71" s="50"/>
      <c r="L71" s="64"/>
      <c r="M71" s="64"/>
      <c r="N71" s="64"/>
      <c r="O71" s="64"/>
      <c r="P71" s="64"/>
      <c r="Q71" s="610"/>
      <c r="R71" s="65"/>
    </row>
    <row r="72" spans="2:18" ht="15">
      <c r="B72" s="52"/>
      <c r="C72" s="805" t="s">
        <v>421</v>
      </c>
      <c r="D72" s="806"/>
      <c r="E72" s="806"/>
      <c r="F72" s="806"/>
      <c r="G72" s="806"/>
      <c r="H72" s="806"/>
      <c r="I72" s="806"/>
      <c r="J72" s="807"/>
      <c r="L72" s="793"/>
      <c r="M72" s="793"/>
      <c r="N72" s="793"/>
      <c r="O72" s="793"/>
      <c r="P72" s="793"/>
      <c r="Q72" s="793"/>
      <c r="R72" s="794"/>
    </row>
    <row r="73" spans="3:18" ht="21.75" customHeight="1" thickBot="1">
      <c r="C73" s="59" t="s">
        <v>553</v>
      </c>
      <c r="D73" s="60">
        <v>67000</v>
      </c>
      <c r="E73" s="60">
        <v>67000</v>
      </c>
      <c r="F73" s="60">
        <v>87700</v>
      </c>
      <c r="G73" s="60">
        <v>0</v>
      </c>
      <c r="H73" s="60">
        <v>5000</v>
      </c>
      <c r="I73" s="60">
        <v>0</v>
      </c>
      <c r="J73" s="61">
        <f>SUM(D73:I73)</f>
        <v>226700</v>
      </c>
      <c r="L73" s="587">
        <v>20474.95</v>
      </c>
      <c r="M73" s="587">
        <v>34402.69</v>
      </c>
      <c r="N73" s="587">
        <v>67109.07</v>
      </c>
      <c r="O73" s="587">
        <v>0</v>
      </c>
      <c r="P73" s="587">
        <v>0</v>
      </c>
      <c r="Q73" s="587">
        <v>0</v>
      </c>
      <c r="R73" s="588">
        <f>SUM(L73:Q73)</f>
        <v>121986.71</v>
      </c>
    </row>
    <row r="74" spans="3:18" ht="15.75" customHeight="1" thickBot="1">
      <c r="C74" s="58" t="s">
        <v>538</v>
      </c>
      <c r="D74" s="90"/>
      <c r="E74" s="91"/>
      <c r="F74" s="91"/>
      <c r="G74" s="91"/>
      <c r="H74" s="91"/>
      <c r="I74" s="91"/>
      <c r="J74" s="61">
        <f aca="true" t="shared" si="20" ref="J74:J80">SUM(D74:I74)</f>
        <v>0</v>
      </c>
      <c r="L74" s="90"/>
      <c r="M74" s="90"/>
      <c r="N74" s="91"/>
      <c r="O74" s="91"/>
      <c r="P74" s="91"/>
      <c r="Q74" s="91"/>
      <c r="R74" s="588">
        <f aca="true" t="shared" si="21" ref="R74:R80">SUM(M74:Q74)</f>
        <v>0</v>
      </c>
    </row>
    <row r="75" spans="3:18" ht="15.75" customHeight="1" thickBot="1">
      <c r="C75" s="48" t="s">
        <v>539</v>
      </c>
      <c r="D75" s="92">
        <v>14000</v>
      </c>
      <c r="E75" s="92">
        <v>16000</v>
      </c>
      <c r="F75" s="92">
        <v>36700</v>
      </c>
      <c r="G75" s="18"/>
      <c r="H75" s="18"/>
      <c r="I75" s="18"/>
      <c r="J75" s="61">
        <f>SUM(D75:I75)</f>
        <v>66700</v>
      </c>
      <c r="L75" s="92"/>
      <c r="M75" s="92"/>
      <c r="N75" s="92"/>
      <c r="O75" s="92"/>
      <c r="P75" s="18"/>
      <c r="Q75" s="18"/>
      <c r="R75" s="588">
        <f t="shared" si="21"/>
        <v>0</v>
      </c>
    </row>
    <row r="76" spans="3:18" ht="15.75" customHeight="1" thickBot="1">
      <c r="C76" s="48" t="s">
        <v>540</v>
      </c>
      <c r="D76" s="92"/>
      <c r="E76" s="92"/>
      <c r="F76" s="92"/>
      <c r="G76" s="92"/>
      <c r="H76" s="92"/>
      <c r="I76" s="92"/>
      <c r="J76" s="61">
        <f t="shared" si="20"/>
        <v>0</v>
      </c>
      <c r="L76" s="92"/>
      <c r="M76" s="92"/>
      <c r="N76" s="92"/>
      <c r="O76" s="92"/>
      <c r="P76" s="92"/>
      <c r="Q76" s="92"/>
      <c r="R76" s="588">
        <f t="shared" si="21"/>
        <v>0</v>
      </c>
    </row>
    <row r="77" spans="3:18" ht="15.75" thickBot="1">
      <c r="C77" s="49" t="s">
        <v>541</v>
      </c>
      <c r="D77" s="92">
        <v>8000</v>
      </c>
      <c r="E77" s="92">
        <v>16000</v>
      </c>
      <c r="F77" s="92">
        <v>16000</v>
      </c>
      <c r="G77" s="92"/>
      <c r="H77" s="92"/>
      <c r="I77" s="92"/>
      <c r="J77" s="61">
        <f t="shared" si="20"/>
        <v>40000</v>
      </c>
      <c r="L77" s="653">
        <v>20474.95</v>
      </c>
      <c r="M77" s="653">
        <v>34402.69</v>
      </c>
      <c r="N77" s="653">
        <v>67109.07</v>
      </c>
      <c r="O77" s="92"/>
      <c r="P77" s="92"/>
      <c r="Q77" s="92"/>
      <c r="R77" s="588">
        <f t="shared" si="21"/>
        <v>101511.76000000001</v>
      </c>
    </row>
    <row r="78" spans="3:18" ht="15.75" thickBot="1">
      <c r="C78" s="48" t="s">
        <v>542</v>
      </c>
      <c r="D78" s="92"/>
      <c r="E78" s="92"/>
      <c r="F78" s="92"/>
      <c r="G78" s="92"/>
      <c r="H78" s="92"/>
      <c r="I78" s="92"/>
      <c r="J78" s="61">
        <f t="shared" si="20"/>
        <v>0</v>
      </c>
      <c r="L78" s="92"/>
      <c r="M78" s="92"/>
      <c r="N78" s="92"/>
      <c r="O78" s="92"/>
      <c r="P78" s="92"/>
      <c r="Q78" s="92"/>
      <c r="R78" s="588">
        <f t="shared" si="21"/>
        <v>0</v>
      </c>
    </row>
    <row r="79" spans="3:18" ht="15.75" thickBot="1">
      <c r="C79" s="48" t="s">
        <v>543</v>
      </c>
      <c r="D79" s="92"/>
      <c r="E79" s="92"/>
      <c r="F79" s="92"/>
      <c r="G79" s="92"/>
      <c r="H79" s="92">
        <v>5000</v>
      </c>
      <c r="I79" s="92"/>
      <c r="J79" s="61">
        <f t="shared" si="20"/>
        <v>5000</v>
      </c>
      <c r="L79" s="92"/>
      <c r="M79" s="92"/>
      <c r="N79" s="92"/>
      <c r="O79" s="92"/>
      <c r="P79" s="92">
        <v>0</v>
      </c>
      <c r="Q79" s="92"/>
      <c r="R79" s="588">
        <f t="shared" si="21"/>
        <v>0</v>
      </c>
    </row>
    <row r="80" spans="3:18" ht="31.5" thickBot="1">
      <c r="C80" s="48" t="s">
        <v>544</v>
      </c>
      <c r="D80" s="92"/>
      <c r="E80" s="92"/>
      <c r="F80" s="92"/>
      <c r="G80" s="92"/>
      <c r="H80" s="92"/>
      <c r="I80" s="92"/>
      <c r="J80" s="61">
        <f t="shared" si="20"/>
        <v>0</v>
      </c>
      <c r="L80" s="92"/>
      <c r="M80" s="92"/>
      <c r="N80" s="92"/>
      <c r="O80" s="92"/>
      <c r="P80" s="92"/>
      <c r="Q80" s="92"/>
      <c r="R80" s="588">
        <f t="shared" si="21"/>
        <v>0</v>
      </c>
    </row>
    <row r="81" spans="3:18" ht="15">
      <c r="C81" s="53" t="s">
        <v>21</v>
      </c>
      <c r="D81" s="62">
        <f aca="true" t="shared" si="22" ref="D81:I81">SUM(D74:D80)</f>
        <v>22000</v>
      </c>
      <c r="E81" s="62">
        <f t="shared" si="22"/>
        <v>32000</v>
      </c>
      <c r="F81" s="62">
        <f t="shared" si="22"/>
        <v>52700</v>
      </c>
      <c r="G81" s="62">
        <f t="shared" si="22"/>
        <v>0</v>
      </c>
      <c r="H81" s="62">
        <f t="shared" si="22"/>
        <v>5000</v>
      </c>
      <c r="I81" s="62">
        <f t="shared" si="22"/>
        <v>0</v>
      </c>
      <c r="J81" s="57">
        <f>SUM(D81:I81)</f>
        <v>111700</v>
      </c>
      <c r="L81" s="590">
        <f aca="true" t="shared" si="23" ref="L81:Q81">SUM(L74:L80)</f>
        <v>20474.95</v>
      </c>
      <c r="M81" s="590">
        <f t="shared" si="23"/>
        <v>34402.69</v>
      </c>
      <c r="N81" s="590">
        <f t="shared" si="23"/>
        <v>67109.07</v>
      </c>
      <c r="O81" s="590">
        <f t="shared" si="23"/>
        <v>0</v>
      </c>
      <c r="P81" s="590">
        <f t="shared" si="23"/>
        <v>0</v>
      </c>
      <c r="Q81" s="590">
        <f t="shared" si="23"/>
        <v>0</v>
      </c>
      <c r="R81" s="591">
        <f>SUM(L81:Q81)</f>
        <v>121986.71</v>
      </c>
    </row>
    <row r="82" spans="3:18" s="52" customFormat="1" ht="15">
      <c r="C82" s="63"/>
      <c r="D82" s="64"/>
      <c r="E82" s="64"/>
      <c r="F82" s="64"/>
      <c r="G82" s="64"/>
      <c r="H82" s="64"/>
      <c r="I82" s="64"/>
      <c r="J82" s="65"/>
      <c r="K82" s="50"/>
      <c r="L82" s="64"/>
      <c r="M82" s="64"/>
      <c r="N82" s="64"/>
      <c r="O82" s="64"/>
      <c r="P82" s="64"/>
      <c r="Q82" s="610"/>
      <c r="R82" s="65"/>
    </row>
    <row r="83" spans="3:18" ht="15">
      <c r="C83" s="805" t="s">
        <v>430</v>
      </c>
      <c r="D83" s="806"/>
      <c r="E83" s="806"/>
      <c r="F83" s="806"/>
      <c r="G83" s="806"/>
      <c r="H83" s="806"/>
      <c r="I83" s="806"/>
      <c r="J83" s="807"/>
      <c r="L83" s="793"/>
      <c r="M83" s="793"/>
      <c r="N83" s="793"/>
      <c r="O83" s="793"/>
      <c r="P83" s="793"/>
      <c r="Q83" s="793"/>
      <c r="R83" s="794"/>
    </row>
    <row r="84" spans="2:18" ht="21.75" customHeight="1" thickBot="1">
      <c r="B84" s="52"/>
      <c r="C84" s="59" t="s">
        <v>554</v>
      </c>
      <c r="D84" s="60">
        <v>45000</v>
      </c>
      <c r="E84" s="60">
        <v>27544</v>
      </c>
      <c r="F84" s="60">
        <v>27544</v>
      </c>
      <c r="G84" s="60">
        <v>0</v>
      </c>
      <c r="H84" s="60">
        <v>0</v>
      </c>
      <c r="I84" s="60">
        <v>0</v>
      </c>
      <c r="J84" s="61">
        <f>SUM(D84:I84)</f>
        <v>100088</v>
      </c>
      <c r="L84" s="587">
        <v>0</v>
      </c>
      <c r="M84" s="587">
        <v>0</v>
      </c>
      <c r="N84" s="587">
        <v>0</v>
      </c>
      <c r="O84" s="587">
        <v>0</v>
      </c>
      <c r="P84" s="587">
        <v>0</v>
      </c>
      <c r="Q84" s="587">
        <v>0</v>
      </c>
      <c r="R84" s="588">
        <f aca="true" t="shared" si="24" ref="R84:R92">SUM(L84:Q84)</f>
        <v>0</v>
      </c>
    </row>
    <row r="85" spans="3:18" ht="18" customHeight="1" thickBot="1">
      <c r="C85" s="58" t="s">
        <v>538</v>
      </c>
      <c r="D85" s="90">
        <v>0</v>
      </c>
      <c r="E85" s="91">
        <v>0</v>
      </c>
      <c r="F85" s="91">
        <v>0</v>
      </c>
      <c r="G85" s="91">
        <v>0</v>
      </c>
      <c r="H85" s="91">
        <v>0</v>
      </c>
      <c r="I85" s="91">
        <v>0</v>
      </c>
      <c r="J85" s="61">
        <f aca="true" t="shared" si="25" ref="J85:J91">SUM(D85:I85)</f>
        <v>0</v>
      </c>
      <c r="L85" s="90"/>
      <c r="M85" s="90"/>
      <c r="N85" s="91"/>
      <c r="O85" s="91"/>
      <c r="P85" s="91"/>
      <c r="Q85" s="91"/>
      <c r="R85" s="588">
        <f t="shared" si="24"/>
        <v>0</v>
      </c>
    </row>
    <row r="86" spans="3:18" ht="15.75" customHeight="1" thickBot="1">
      <c r="C86" s="48" t="s">
        <v>539</v>
      </c>
      <c r="D86" s="92">
        <v>0</v>
      </c>
      <c r="E86" s="18">
        <v>0</v>
      </c>
      <c r="F86" s="18">
        <v>0</v>
      </c>
      <c r="G86" s="18">
        <v>0</v>
      </c>
      <c r="H86" s="18">
        <v>0</v>
      </c>
      <c r="I86" s="18">
        <v>0</v>
      </c>
      <c r="J86" s="61">
        <f t="shared" si="25"/>
        <v>0</v>
      </c>
      <c r="L86" s="92"/>
      <c r="M86" s="92"/>
      <c r="N86" s="18"/>
      <c r="O86" s="18"/>
      <c r="P86" s="18"/>
      <c r="Q86" s="18"/>
      <c r="R86" s="588">
        <f t="shared" si="24"/>
        <v>0</v>
      </c>
    </row>
    <row r="87" spans="2:18" s="52" customFormat="1" ht="15.75" customHeight="1" thickBot="1">
      <c r="B87" s="50"/>
      <c r="C87" s="48" t="s">
        <v>540</v>
      </c>
      <c r="D87" s="92">
        <v>0</v>
      </c>
      <c r="E87" s="92">
        <v>0</v>
      </c>
      <c r="F87" s="92">
        <v>0</v>
      </c>
      <c r="G87" s="92">
        <v>0</v>
      </c>
      <c r="H87" s="92">
        <v>0</v>
      </c>
      <c r="I87" s="92">
        <v>0</v>
      </c>
      <c r="J87" s="61">
        <f t="shared" si="25"/>
        <v>0</v>
      </c>
      <c r="K87" s="50"/>
      <c r="L87" s="92"/>
      <c r="M87" s="92"/>
      <c r="N87" s="92"/>
      <c r="O87" s="92"/>
      <c r="P87" s="92"/>
      <c r="Q87" s="92"/>
      <c r="R87" s="588">
        <f t="shared" si="24"/>
        <v>0</v>
      </c>
    </row>
    <row r="88" spans="2:18" ht="15.75" thickBot="1">
      <c r="B88" s="52"/>
      <c r="C88" s="49" t="s">
        <v>541</v>
      </c>
      <c r="D88" s="92">
        <v>0</v>
      </c>
      <c r="E88" s="92">
        <v>0</v>
      </c>
      <c r="F88" s="92">
        <v>0</v>
      </c>
      <c r="G88" s="92">
        <v>0</v>
      </c>
      <c r="H88" s="92">
        <v>0</v>
      </c>
      <c r="I88" s="92">
        <v>0</v>
      </c>
      <c r="J88" s="61">
        <f t="shared" si="25"/>
        <v>0</v>
      </c>
      <c r="L88" s="92">
        <v>0</v>
      </c>
      <c r="M88" s="92">
        <v>0</v>
      </c>
      <c r="N88" s="92">
        <v>0</v>
      </c>
      <c r="O88" s="92"/>
      <c r="P88" s="92"/>
      <c r="Q88" s="92"/>
      <c r="R88" s="588">
        <f t="shared" si="24"/>
        <v>0</v>
      </c>
    </row>
    <row r="89" spans="2:18" ht="15.75" thickBot="1">
      <c r="B89" s="52"/>
      <c r="C89" s="48" t="s">
        <v>542</v>
      </c>
      <c r="D89" s="92">
        <v>0</v>
      </c>
      <c r="E89" s="92">
        <v>0</v>
      </c>
      <c r="F89" s="92">
        <v>0</v>
      </c>
      <c r="G89" s="92">
        <v>0</v>
      </c>
      <c r="H89" s="92">
        <v>0</v>
      </c>
      <c r="I89" s="92">
        <v>0</v>
      </c>
      <c r="J89" s="61">
        <f t="shared" si="25"/>
        <v>0</v>
      </c>
      <c r="L89" s="92"/>
      <c r="M89" s="92"/>
      <c r="N89" s="92"/>
      <c r="O89" s="92"/>
      <c r="P89" s="92"/>
      <c r="Q89" s="92"/>
      <c r="R89" s="588">
        <f t="shared" si="24"/>
        <v>0</v>
      </c>
    </row>
    <row r="90" spans="2:18" ht="15.75" thickBot="1">
      <c r="B90" s="52"/>
      <c r="C90" s="48" t="s">
        <v>543</v>
      </c>
      <c r="D90" s="92">
        <v>0</v>
      </c>
      <c r="E90" s="92">
        <v>0</v>
      </c>
      <c r="F90" s="92">
        <v>0</v>
      </c>
      <c r="G90" s="92">
        <v>0</v>
      </c>
      <c r="H90" s="92">
        <v>0</v>
      </c>
      <c r="I90" s="92">
        <v>0</v>
      </c>
      <c r="J90" s="61">
        <f t="shared" si="25"/>
        <v>0</v>
      </c>
      <c r="L90" s="92"/>
      <c r="M90" s="92"/>
      <c r="N90" s="92"/>
      <c r="O90" s="92"/>
      <c r="P90" s="92"/>
      <c r="Q90" s="92"/>
      <c r="R90" s="588">
        <f t="shared" si="24"/>
        <v>0</v>
      </c>
    </row>
    <row r="91" spans="3:18" ht="31.5" thickBot="1">
      <c r="C91" s="48" t="s">
        <v>544</v>
      </c>
      <c r="D91" s="92">
        <v>0</v>
      </c>
      <c r="E91" s="92">
        <v>0</v>
      </c>
      <c r="F91" s="92">
        <v>0</v>
      </c>
      <c r="G91" s="92">
        <v>0</v>
      </c>
      <c r="H91" s="92">
        <v>0</v>
      </c>
      <c r="I91" s="92">
        <v>0</v>
      </c>
      <c r="J91" s="61">
        <f t="shared" si="25"/>
        <v>0</v>
      </c>
      <c r="L91" s="92"/>
      <c r="M91" s="92"/>
      <c r="N91" s="92"/>
      <c r="O91" s="92"/>
      <c r="P91" s="92"/>
      <c r="Q91" s="92"/>
      <c r="R91" s="588">
        <f t="shared" si="24"/>
        <v>0</v>
      </c>
    </row>
    <row r="92" spans="3:18" ht="15">
      <c r="C92" s="53" t="s">
        <v>21</v>
      </c>
      <c r="D92" s="62">
        <f aca="true" t="shared" si="26" ref="D92:I92">SUM(D85:D91)</f>
        <v>0</v>
      </c>
      <c r="E92" s="62">
        <f t="shared" si="26"/>
        <v>0</v>
      </c>
      <c r="F92" s="62">
        <f t="shared" si="26"/>
        <v>0</v>
      </c>
      <c r="G92" s="62">
        <f t="shared" si="26"/>
        <v>0</v>
      </c>
      <c r="H92" s="62">
        <f t="shared" si="26"/>
        <v>0</v>
      </c>
      <c r="I92" s="62">
        <f t="shared" si="26"/>
        <v>0</v>
      </c>
      <c r="J92" s="57">
        <f>SUM(D92:I92)</f>
        <v>0</v>
      </c>
      <c r="L92" s="590">
        <f aca="true" t="shared" si="27" ref="L92:Q92">SUM(L85:L91)</f>
        <v>0</v>
      </c>
      <c r="M92" s="590">
        <f t="shared" si="27"/>
        <v>0</v>
      </c>
      <c r="N92" s="590">
        <f t="shared" si="27"/>
        <v>0</v>
      </c>
      <c r="O92" s="590">
        <f t="shared" si="27"/>
        <v>0</v>
      </c>
      <c r="P92" s="590">
        <f t="shared" si="27"/>
        <v>0</v>
      </c>
      <c r="Q92" s="590">
        <f t="shared" si="27"/>
        <v>0</v>
      </c>
      <c r="R92" s="591">
        <f t="shared" si="24"/>
        <v>0</v>
      </c>
    </row>
    <row r="93" spans="3:18" s="52" customFormat="1" ht="15">
      <c r="C93" s="63"/>
      <c r="D93" s="64"/>
      <c r="E93" s="64"/>
      <c r="F93" s="64"/>
      <c r="G93" s="64"/>
      <c r="H93" s="64"/>
      <c r="I93" s="64"/>
      <c r="J93" s="65"/>
      <c r="K93" s="50"/>
      <c r="L93" s="64"/>
      <c r="M93" s="64"/>
      <c r="N93" s="64"/>
      <c r="O93" s="64"/>
      <c r="P93" s="64"/>
      <c r="Q93" s="610"/>
      <c r="R93" s="65"/>
    </row>
    <row r="94" spans="3:18" ht="15">
      <c r="C94" s="805" t="s">
        <v>434</v>
      </c>
      <c r="D94" s="806"/>
      <c r="E94" s="806"/>
      <c r="F94" s="806"/>
      <c r="G94" s="806"/>
      <c r="H94" s="806"/>
      <c r="I94" s="806"/>
      <c r="J94" s="807"/>
      <c r="L94" s="793"/>
      <c r="M94" s="793"/>
      <c r="N94" s="793"/>
      <c r="O94" s="793"/>
      <c r="P94" s="793"/>
      <c r="Q94" s="793"/>
      <c r="R94" s="794"/>
    </row>
    <row r="95" spans="3:18" ht="21.75" customHeight="1" thickBot="1">
      <c r="C95" s="59" t="s">
        <v>555</v>
      </c>
      <c r="D95" s="60">
        <v>0</v>
      </c>
      <c r="E95" s="60">
        <v>0</v>
      </c>
      <c r="F95" s="60">
        <v>0</v>
      </c>
      <c r="G95" s="60">
        <v>0</v>
      </c>
      <c r="H95" s="60">
        <v>0</v>
      </c>
      <c r="I95" s="60">
        <v>0</v>
      </c>
      <c r="J95" s="61">
        <f>SUM(D95:I95)</f>
        <v>0</v>
      </c>
      <c r="L95" s="587">
        <v>0</v>
      </c>
      <c r="M95" s="587">
        <v>0</v>
      </c>
      <c r="N95" s="587">
        <v>0</v>
      </c>
      <c r="O95" s="587">
        <v>0</v>
      </c>
      <c r="P95" s="587">
        <v>0</v>
      </c>
      <c r="Q95" s="587">
        <v>0</v>
      </c>
      <c r="R95" s="588">
        <f aca="true" t="shared" si="28" ref="R95:R103">SUM(M95:Q95)</f>
        <v>0</v>
      </c>
    </row>
    <row r="96" spans="3:18" ht="15.75" customHeight="1" thickBot="1">
      <c r="C96" s="58" t="s">
        <v>538</v>
      </c>
      <c r="D96" s="90"/>
      <c r="E96" s="91"/>
      <c r="F96" s="91"/>
      <c r="G96" s="91"/>
      <c r="H96" s="91"/>
      <c r="I96" s="91"/>
      <c r="J96" s="61">
        <f aca="true" t="shared" si="29" ref="J96:J102">SUM(D96:I96)</f>
        <v>0</v>
      </c>
      <c r="L96" s="90"/>
      <c r="M96" s="90"/>
      <c r="N96" s="91"/>
      <c r="O96" s="91"/>
      <c r="P96" s="91"/>
      <c r="Q96" s="91"/>
      <c r="R96" s="588">
        <f t="shared" si="28"/>
        <v>0</v>
      </c>
    </row>
    <row r="97" spans="2:18" ht="15.75" customHeight="1" thickBot="1">
      <c r="B97" s="52"/>
      <c r="C97" s="48" t="s">
        <v>539</v>
      </c>
      <c r="D97" s="92"/>
      <c r="E97" s="18"/>
      <c r="F97" s="18"/>
      <c r="G97" s="18"/>
      <c r="H97" s="18"/>
      <c r="I97" s="18"/>
      <c r="J97" s="61">
        <f t="shared" si="29"/>
        <v>0</v>
      </c>
      <c r="L97" s="92"/>
      <c r="M97" s="92"/>
      <c r="N97" s="18"/>
      <c r="O97" s="18"/>
      <c r="P97" s="18"/>
      <c r="Q97" s="18"/>
      <c r="R97" s="588">
        <f t="shared" si="28"/>
        <v>0</v>
      </c>
    </row>
    <row r="98" spans="3:18" ht="15.75" customHeight="1" thickBot="1">
      <c r="C98" s="48" t="s">
        <v>540</v>
      </c>
      <c r="D98" s="92"/>
      <c r="E98" s="92"/>
      <c r="F98" s="92"/>
      <c r="G98" s="92"/>
      <c r="H98" s="92"/>
      <c r="I98" s="92"/>
      <c r="J98" s="61">
        <f t="shared" si="29"/>
        <v>0</v>
      </c>
      <c r="L98" s="92"/>
      <c r="M98" s="92"/>
      <c r="N98" s="92"/>
      <c r="O98" s="92"/>
      <c r="P98" s="92"/>
      <c r="Q98" s="92"/>
      <c r="R98" s="588">
        <f t="shared" si="28"/>
        <v>0</v>
      </c>
    </row>
    <row r="99" spans="3:18" ht="15.75" thickBot="1">
      <c r="C99" s="49" t="s">
        <v>541</v>
      </c>
      <c r="D99" s="92"/>
      <c r="E99" s="92"/>
      <c r="F99" s="92"/>
      <c r="G99" s="92"/>
      <c r="H99" s="92"/>
      <c r="I99" s="92"/>
      <c r="J99" s="61">
        <f t="shared" si="29"/>
        <v>0</v>
      </c>
      <c r="L99" s="92"/>
      <c r="M99" s="92"/>
      <c r="N99" s="92"/>
      <c r="O99" s="92"/>
      <c r="P99" s="92"/>
      <c r="Q99" s="92"/>
      <c r="R99" s="588">
        <f t="shared" si="28"/>
        <v>0</v>
      </c>
    </row>
    <row r="100" spans="3:18" ht="15.75" thickBot="1">
      <c r="C100" s="48" t="s">
        <v>542</v>
      </c>
      <c r="D100" s="92"/>
      <c r="E100" s="92"/>
      <c r="F100" s="92"/>
      <c r="G100" s="92"/>
      <c r="H100" s="92"/>
      <c r="I100" s="92"/>
      <c r="J100" s="61">
        <f t="shared" si="29"/>
        <v>0</v>
      </c>
      <c r="L100" s="92"/>
      <c r="M100" s="92"/>
      <c r="N100" s="92"/>
      <c r="O100" s="92"/>
      <c r="P100" s="92"/>
      <c r="Q100" s="92"/>
      <c r="R100" s="588">
        <f t="shared" si="28"/>
        <v>0</v>
      </c>
    </row>
    <row r="101" spans="3:18" ht="25.5" customHeight="1" thickBot="1">
      <c r="C101" s="48" t="s">
        <v>543</v>
      </c>
      <c r="D101" s="92"/>
      <c r="E101" s="92"/>
      <c r="F101" s="92"/>
      <c r="G101" s="92"/>
      <c r="H101" s="92"/>
      <c r="I101" s="92"/>
      <c r="J101" s="61">
        <f t="shared" si="29"/>
        <v>0</v>
      </c>
      <c r="L101" s="92"/>
      <c r="M101" s="92"/>
      <c r="N101" s="92"/>
      <c r="O101" s="92"/>
      <c r="P101" s="92"/>
      <c r="Q101" s="92"/>
      <c r="R101" s="588">
        <f t="shared" si="28"/>
        <v>0</v>
      </c>
    </row>
    <row r="102" spans="2:18" ht="31.5" thickBot="1">
      <c r="B102" s="52"/>
      <c r="C102" s="48" t="s">
        <v>544</v>
      </c>
      <c r="D102" s="92"/>
      <c r="E102" s="92"/>
      <c r="F102" s="92"/>
      <c r="G102" s="92"/>
      <c r="H102" s="92"/>
      <c r="I102" s="92"/>
      <c r="J102" s="61">
        <f t="shared" si="29"/>
        <v>0</v>
      </c>
      <c r="L102" s="92"/>
      <c r="M102" s="92"/>
      <c r="N102" s="92"/>
      <c r="O102" s="92"/>
      <c r="P102" s="92"/>
      <c r="Q102" s="92"/>
      <c r="R102" s="588">
        <f t="shared" si="28"/>
        <v>0</v>
      </c>
    </row>
    <row r="103" spans="3:18" ht="15.75" customHeight="1">
      <c r="C103" s="53" t="s">
        <v>21</v>
      </c>
      <c r="D103" s="62">
        <f>SUM(D96:D102)</f>
        <v>0</v>
      </c>
      <c r="E103" s="62">
        <f>SUM(E96:E102)</f>
        <v>0</v>
      </c>
      <c r="F103" s="62">
        <f>SUM(F96:F102)</f>
        <v>0</v>
      </c>
      <c r="G103" s="62"/>
      <c r="H103" s="62"/>
      <c r="I103" s="62"/>
      <c r="J103" s="57">
        <f>SUM(D103:I103)</f>
        <v>0</v>
      </c>
      <c r="L103" s="590">
        <f>SUM(L96:L102)</f>
        <v>0</v>
      </c>
      <c r="M103" s="590">
        <f>SUM(M96:M102)</f>
        <v>0</v>
      </c>
      <c r="N103" s="590">
        <f>SUM(N96:N102)</f>
        <v>0</v>
      </c>
      <c r="O103" s="590">
        <f>SUM(O96:O102)</f>
        <v>0</v>
      </c>
      <c r="P103" s="590"/>
      <c r="Q103" s="590"/>
      <c r="R103" s="591">
        <f t="shared" si="28"/>
        <v>0</v>
      </c>
    </row>
    <row r="104" spans="4:12" ht="25.5" customHeight="1">
      <c r="D104" s="50"/>
      <c r="E104" s="50"/>
      <c r="F104" s="50"/>
      <c r="G104" s="50"/>
      <c r="H104" s="50"/>
      <c r="I104" s="50"/>
      <c r="L104" s="50"/>
    </row>
    <row r="105" spans="2:18" ht="15">
      <c r="B105" s="805" t="s">
        <v>556</v>
      </c>
      <c r="C105" s="806"/>
      <c r="D105" s="806"/>
      <c r="E105" s="806"/>
      <c r="F105" s="806"/>
      <c r="G105" s="806"/>
      <c r="H105" s="806"/>
      <c r="I105" s="806"/>
      <c r="J105" s="807"/>
      <c r="L105" s="793"/>
      <c r="M105" s="793"/>
      <c r="N105" s="793"/>
      <c r="O105" s="793"/>
      <c r="P105" s="793"/>
      <c r="Q105" s="793"/>
      <c r="R105" s="794"/>
    </row>
    <row r="106" spans="3:18" ht="15">
      <c r="C106" s="805" t="s">
        <v>444</v>
      </c>
      <c r="D106" s="806"/>
      <c r="E106" s="806"/>
      <c r="F106" s="806"/>
      <c r="G106" s="806"/>
      <c r="H106" s="806"/>
      <c r="I106" s="806"/>
      <c r="J106" s="807"/>
      <c r="L106" s="793"/>
      <c r="M106" s="793"/>
      <c r="N106" s="793"/>
      <c r="O106" s="793"/>
      <c r="P106" s="793"/>
      <c r="Q106" s="793"/>
      <c r="R106" s="794"/>
    </row>
    <row r="107" spans="3:18" ht="22.5" customHeight="1" thickBot="1">
      <c r="C107" s="59" t="s">
        <v>557</v>
      </c>
      <c r="D107" s="60">
        <v>0</v>
      </c>
      <c r="E107" s="60">
        <v>0</v>
      </c>
      <c r="F107" s="60">
        <v>0</v>
      </c>
      <c r="G107" s="60">
        <v>384295.264</v>
      </c>
      <c r="H107" s="60">
        <v>302000</v>
      </c>
      <c r="I107" s="60">
        <v>327882.60914227006</v>
      </c>
      <c r="J107" s="61">
        <f>SUM(D107:I107)</f>
        <v>1014177.87314227</v>
      </c>
      <c r="L107" s="587">
        <v>0</v>
      </c>
      <c r="M107" s="587">
        <v>0</v>
      </c>
      <c r="N107" s="587">
        <v>0</v>
      </c>
      <c r="O107" s="587">
        <v>319085.27999999997</v>
      </c>
      <c r="P107" s="587">
        <v>263952.72624550585</v>
      </c>
      <c r="Q107" s="587">
        <v>327882.60914227</v>
      </c>
      <c r="R107" s="588">
        <f>SUM(L107:Q107)</f>
        <v>910920.6153877757</v>
      </c>
    </row>
    <row r="108" spans="3:18" ht="15.75" thickBot="1">
      <c r="C108" s="58" t="s">
        <v>538</v>
      </c>
      <c r="D108" s="90"/>
      <c r="E108" s="91"/>
      <c r="F108" s="91"/>
      <c r="G108" s="91"/>
      <c r="H108" s="91"/>
      <c r="I108" s="91"/>
      <c r="J108" s="61">
        <f aca="true" t="shared" si="30" ref="J108:J114">SUM(D108:I108)</f>
        <v>0</v>
      </c>
      <c r="L108" s="90"/>
      <c r="M108" s="90"/>
      <c r="N108" s="91"/>
      <c r="O108" s="91"/>
      <c r="P108" s="91"/>
      <c r="Q108" s="91"/>
      <c r="R108" s="588">
        <f aca="true" t="shared" si="31" ref="R108:R114">SUM(M108:Q108)</f>
        <v>0</v>
      </c>
    </row>
    <row r="109" spans="3:18" ht="15.75" thickBot="1">
      <c r="C109" s="48" t="s">
        <v>539</v>
      </c>
      <c r="D109" s="92"/>
      <c r="E109" s="18"/>
      <c r="F109" s="18"/>
      <c r="G109" s="18"/>
      <c r="H109" s="18"/>
      <c r="I109" s="18">
        <v>74882.60914227008</v>
      </c>
      <c r="J109" s="61">
        <f t="shared" si="30"/>
        <v>74882.60914227008</v>
      </c>
      <c r="L109" s="92"/>
      <c r="M109" s="92"/>
      <c r="N109" s="18"/>
      <c r="O109" s="609">
        <v>11000</v>
      </c>
      <c r="P109" s="652"/>
      <c r="Q109" s="609">
        <f>74882.6091422701+15000</f>
        <v>89882.6091422701</v>
      </c>
      <c r="R109" s="588">
        <f t="shared" si="31"/>
        <v>100882.6091422701</v>
      </c>
    </row>
    <row r="110" spans="3:18" ht="15.75" customHeight="1" thickBot="1">
      <c r="C110" s="48" t="s">
        <v>540</v>
      </c>
      <c r="D110" s="92"/>
      <c r="E110" s="92"/>
      <c r="F110" s="92"/>
      <c r="G110" s="92"/>
      <c r="H110" s="92"/>
      <c r="I110" s="92"/>
      <c r="J110" s="61">
        <f t="shared" si="30"/>
        <v>0</v>
      </c>
      <c r="L110" s="92"/>
      <c r="M110" s="92"/>
      <c r="N110" s="92"/>
      <c r="O110" s="92"/>
      <c r="P110" s="653"/>
      <c r="Q110" s="653"/>
      <c r="R110" s="588">
        <f t="shared" si="31"/>
        <v>0</v>
      </c>
    </row>
    <row r="111" spans="3:18" ht="15.75" thickBot="1">
      <c r="C111" s="49" t="s">
        <v>541</v>
      </c>
      <c r="D111" s="92"/>
      <c r="E111" s="92"/>
      <c r="F111" s="92"/>
      <c r="G111" s="92">
        <v>230295.26400000002</v>
      </c>
      <c r="H111" s="92">
        <v>217000</v>
      </c>
      <c r="I111" s="92">
        <v>60000</v>
      </c>
      <c r="J111" s="61">
        <f t="shared" si="30"/>
        <v>507295.264</v>
      </c>
      <c r="L111" s="92"/>
      <c r="M111" s="92"/>
      <c r="N111" s="92"/>
      <c r="O111" s="607">
        <v>308798.07</v>
      </c>
      <c r="P111" s="653">
        <v>217000</v>
      </c>
      <c r="Q111" s="653">
        <v>60000</v>
      </c>
      <c r="R111" s="588">
        <f t="shared" si="31"/>
        <v>585798.0700000001</v>
      </c>
    </row>
    <row r="112" spans="3:18" ht="15.75" thickBot="1">
      <c r="C112" s="48" t="s">
        <v>542</v>
      </c>
      <c r="D112" s="92"/>
      <c r="E112" s="92"/>
      <c r="F112" s="92"/>
      <c r="G112" s="92"/>
      <c r="H112" s="92"/>
      <c r="I112" s="92"/>
      <c r="J112" s="61">
        <f t="shared" si="30"/>
        <v>0</v>
      </c>
      <c r="L112" s="92"/>
      <c r="M112" s="92"/>
      <c r="N112" s="92"/>
      <c r="O112" s="92"/>
      <c r="P112" s="653"/>
      <c r="Q112" s="653"/>
      <c r="R112" s="588">
        <f t="shared" si="31"/>
        <v>0</v>
      </c>
    </row>
    <row r="113" spans="3:18" ht="15.75" thickBot="1">
      <c r="C113" s="48" t="s">
        <v>543</v>
      </c>
      <c r="D113" s="92"/>
      <c r="E113" s="92"/>
      <c r="F113" s="92"/>
      <c r="G113" s="92">
        <v>30000</v>
      </c>
      <c r="H113" s="92">
        <v>10000</v>
      </c>
      <c r="I113" s="92">
        <v>93000</v>
      </c>
      <c r="J113" s="61">
        <f t="shared" si="30"/>
        <v>133000</v>
      </c>
      <c r="L113" s="92"/>
      <c r="M113" s="92"/>
      <c r="N113" s="92"/>
      <c r="O113" s="607">
        <v>123287.20999999999</v>
      </c>
      <c r="P113" s="653">
        <v>85000</v>
      </c>
      <c r="Q113" s="607">
        <f>93000+85000</f>
        <v>178000</v>
      </c>
      <c r="R113" s="588">
        <f t="shared" si="31"/>
        <v>386287.20999999996</v>
      </c>
    </row>
    <row r="114" spans="3:18" ht="31.5" thickBot="1">
      <c r="C114" s="48" t="s">
        <v>544</v>
      </c>
      <c r="D114" s="92"/>
      <c r="E114" s="92"/>
      <c r="F114" s="92"/>
      <c r="G114" s="92"/>
      <c r="H114" s="92"/>
      <c r="I114" s="92"/>
      <c r="J114" s="61">
        <f t="shared" si="30"/>
        <v>0</v>
      </c>
      <c r="L114" s="92"/>
      <c r="M114" s="92"/>
      <c r="N114" s="92"/>
      <c r="O114" s="677"/>
      <c r="P114" s="92"/>
      <c r="Q114" s="92"/>
      <c r="R114" s="588">
        <f t="shared" si="31"/>
        <v>0</v>
      </c>
    </row>
    <row r="115" spans="3:18" ht="15">
      <c r="C115" s="53" t="s">
        <v>21</v>
      </c>
      <c r="D115" s="62">
        <f aca="true" t="shared" si="32" ref="D115:I115">SUM(D108:D114)</f>
        <v>0</v>
      </c>
      <c r="E115" s="62">
        <f t="shared" si="32"/>
        <v>0</v>
      </c>
      <c r="F115" s="62">
        <f t="shared" si="32"/>
        <v>0</v>
      </c>
      <c r="G115" s="62">
        <f t="shared" si="32"/>
        <v>260295.26400000002</v>
      </c>
      <c r="H115" s="62">
        <f t="shared" si="32"/>
        <v>227000</v>
      </c>
      <c r="I115" s="62">
        <f t="shared" si="32"/>
        <v>227882.60914227008</v>
      </c>
      <c r="J115" s="57">
        <f>SUM(D115:I115)</f>
        <v>715177.8731422701</v>
      </c>
      <c r="L115" s="590">
        <f aca="true" t="shared" si="33" ref="L115:Q115">SUM(L108:L114)</f>
        <v>0</v>
      </c>
      <c r="M115" s="590">
        <f t="shared" si="33"/>
        <v>0</v>
      </c>
      <c r="N115" s="590">
        <f t="shared" si="33"/>
        <v>0</v>
      </c>
      <c r="O115" s="658">
        <f t="shared" si="33"/>
        <v>443085.28</v>
      </c>
      <c r="P115" s="658">
        <f t="shared" si="33"/>
        <v>302000</v>
      </c>
      <c r="Q115" s="658">
        <f t="shared" si="33"/>
        <v>327882.6091422701</v>
      </c>
      <c r="R115" s="591">
        <f>SUM(L115:Q115)</f>
        <v>1072967.8891422702</v>
      </c>
    </row>
    <row r="116" spans="3:18" s="52" customFormat="1" ht="15">
      <c r="C116" s="63"/>
      <c r="D116" s="64"/>
      <c r="E116" s="64"/>
      <c r="F116" s="64"/>
      <c r="G116" s="64"/>
      <c r="H116" s="64"/>
      <c r="I116" s="64"/>
      <c r="J116" s="65"/>
      <c r="K116" s="50"/>
      <c r="L116" s="64"/>
      <c r="M116" s="64"/>
      <c r="N116" s="64"/>
      <c r="O116" s="64"/>
      <c r="P116" s="64"/>
      <c r="Q116" s="610"/>
      <c r="R116" s="65"/>
    </row>
    <row r="117" spans="3:18" ht="15.75" customHeight="1">
      <c r="C117" s="805" t="s">
        <v>558</v>
      </c>
      <c r="D117" s="806"/>
      <c r="E117" s="806"/>
      <c r="F117" s="806"/>
      <c r="G117" s="806"/>
      <c r="H117" s="806"/>
      <c r="I117" s="806"/>
      <c r="J117" s="807"/>
      <c r="L117" s="793"/>
      <c r="M117" s="793"/>
      <c r="N117" s="793"/>
      <c r="O117" s="793"/>
      <c r="P117" s="793"/>
      <c r="Q117" s="793"/>
      <c r="R117" s="794"/>
    </row>
    <row r="118" spans="3:18" ht="21.75" customHeight="1" thickBot="1">
      <c r="C118" s="59" t="s">
        <v>559</v>
      </c>
      <c r="D118" s="60">
        <v>0</v>
      </c>
      <c r="E118" s="60">
        <v>0</v>
      </c>
      <c r="F118" s="60">
        <v>0</v>
      </c>
      <c r="G118" s="60">
        <v>181599.64</v>
      </c>
      <c r="H118" s="60">
        <v>200545</v>
      </c>
      <c r="I118" s="60">
        <v>136070.72829994865</v>
      </c>
      <c r="J118" s="61">
        <f>SUM(D118:I118)</f>
        <v>518215.36829994863</v>
      </c>
      <c r="L118" s="587">
        <v>0</v>
      </c>
      <c r="M118" s="587">
        <v>0</v>
      </c>
      <c r="N118" s="587">
        <v>0</v>
      </c>
      <c r="O118" s="587">
        <v>97088.46</v>
      </c>
      <c r="P118" s="587">
        <v>96007.364663585</v>
      </c>
      <c r="Q118" s="587">
        <v>38655.545454545456</v>
      </c>
      <c r="R118" s="588">
        <f>SUM(L118:Q118)</f>
        <v>231751.37011813046</v>
      </c>
    </row>
    <row r="119" spans="3:18" ht="15.75" thickBot="1">
      <c r="C119" s="58" t="s">
        <v>538</v>
      </c>
      <c r="D119" s="90"/>
      <c r="E119" s="91"/>
      <c r="F119" s="91"/>
      <c r="G119" s="91"/>
      <c r="H119" s="91"/>
      <c r="I119" s="91"/>
      <c r="J119" s="61">
        <f aca="true" t="shared" si="34" ref="J119:J125">SUM(D119:I119)</f>
        <v>0</v>
      </c>
      <c r="L119" s="90"/>
      <c r="M119" s="90"/>
      <c r="N119" s="91"/>
      <c r="O119" s="91"/>
      <c r="P119" s="91"/>
      <c r="Q119" s="91"/>
      <c r="R119" s="588">
        <f>SUM(M119:Q119)</f>
        <v>0</v>
      </c>
    </row>
    <row r="120" spans="3:18" ht="15.75" thickBot="1">
      <c r="C120" s="48" t="s">
        <v>539</v>
      </c>
      <c r="D120" s="92"/>
      <c r="E120" s="18"/>
      <c r="F120" s="18"/>
      <c r="G120" s="18">
        <v>84999.64</v>
      </c>
      <c r="H120" s="18">
        <v>44000</v>
      </c>
      <c r="I120" s="18">
        <v>27529.485362095533</v>
      </c>
      <c r="J120" s="61">
        <f t="shared" si="34"/>
        <v>156529.12536209554</v>
      </c>
      <c r="L120" s="92"/>
      <c r="M120" s="92"/>
      <c r="N120" s="18"/>
      <c r="O120" s="609">
        <v>99549.6</v>
      </c>
      <c r="P120" s="652">
        <f>48134+5017</f>
        <v>53151</v>
      </c>
      <c r="Q120" s="609">
        <f>27529.4853620955+30000</f>
        <v>57529.4853620955</v>
      </c>
      <c r="R120" s="588">
        <f aca="true" t="shared" si="35" ref="R120:R125">SUM(L120:Q120)</f>
        <v>210230.0853620955</v>
      </c>
    </row>
    <row r="121" spans="3:18" ht="31.5" thickBot="1">
      <c r="C121" s="48" t="s">
        <v>540</v>
      </c>
      <c r="D121" s="92"/>
      <c r="E121" s="92"/>
      <c r="F121" s="92"/>
      <c r="G121" s="92"/>
      <c r="H121" s="92"/>
      <c r="I121" s="92"/>
      <c r="J121" s="61">
        <f t="shared" si="34"/>
        <v>0</v>
      </c>
      <c r="L121" s="92"/>
      <c r="M121" s="92"/>
      <c r="N121" s="92"/>
      <c r="O121" s="653"/>
      <c r="P121" s="653">
        <v>0</v>
      </c>
      <c r="Q121" s="607">
        <v>10000</v>
      </c>
      <c r="R121" s="588">
        <f t="shared" si="35"/>
        <v>10000</v>
      </c>
    </row>
    <row r="122" spans="3:18" ht="15.75" thickBot="1">
      <c r="C122" s="49" t="s">
        <v>541</v>
      </c>
      <c r="D122" s="92"/>
      <c r="E122" s="92"/>
      <c r="F122" s="92"/>
      <c r="G122" s="92"/>
      <c r="H122" s="92"/>
      <c r="I122" s="92"/>
      <c r="J122" s="61">
        <f t="shared" si="34"/>
        <v>0</v>
      </c>
      <c r="L122" s="92"/>
      <c r="M122" s="92"/>
      <c r="N122" s="92"/>
      <c r="O122" s="607">
        <v>18000</v>
      </c>
      <c r="P122" s="653"/>
      <c r="Q122" s="653"/>
      <c r="R122" s="588">
        <f t="shared" si="35"/>
        <v>18000</v>
      </c>
    </row>
    <row r="123" spans="3:18" ht="15.75" thickBot="1">
      <c r="C123" s="48" t="s">
        <v>542</v>
      </c>
      <c r="D123" s="92"/>
      <c r="E123" s="92"/>
      <c r="F123" s="92"/>
      <c r="G123" s="92"/>
      <c r="H123" s="92"/>
      <c r="I123" s="92"/>
      <c r="J123" s="61">
        <f t="shared" si="34"/>
        <v>0</v>
      </c>
      <c r="L123" s="92"/>
      <c r="M123" s="92"/>
      <c r="N123" s="92"/>
      <c r="O123" s="653"/>
      <c r="P123" s="653">
        <v>7294</v>
      </c>
      <c r="Q123" s="607">
        <v>10000</v>
      </c>
      <c r="R123" s="588">
        <f t="shared" si="35"/>
        <v>17294</v>
      </c>
    </row>
    <row r="124" spans="3:18" ht="15.75" thickBot="1">
      <c r="C124" s="48" t="s">
        <v>543</v>
      </c>
      <c r="D124" s="92"/>
      <c r="E124" s="92"/>
      <c r="F124" s="92"/>
      <c r="G124" s="92">
        <v>10000</v>
      </c>
      <c r="H124" s="92">
        <v>6000</v>
      </c>
      <c r="I124" s="92">
        <v>8541.24293785311</v>
      </c>
      <c r="J124" s="61">
        <f t="shared" si="34"/>
        <v>24541.24293785311</v>
      </c>
      <c r="L124" s="92"/>
      <c r="M124" s="92"/>
      <c r="N124" s="92"/>
      <c r="O124" s="607">
        <v>46138.86</v>
      </c>
      <c r="P124" s="653">
        <v>140100</v>
      </c>
      <c r="Q124" s="607">
        <f>8541.24293785311+30000</f>
        <v>38541.24293785311</v>
      </c>
      <c r="R124" s="588">
        <f t="shared" si="35"/>
        <v>224780.10293785308</v>
      </c>
    </row>
    <row r="125" spans="3:18" ht="31.5" thickBot="1">
      <c r="C125" s="48" t="s">
        <v>544</v>
      </c>
      <c r="D125" s="92"/>
      <c r="E125" s="92"/>
      <c r="F125" s="92"/>
      <c r="G125" s="92"/>
      <c r="H125" s="92"/>
      <c r="I125" s="92"/>
      <c r="J125" s="61">
        <f t="shared" si="34"/>
        <v>0</v>
      </c>
      <c r="L125" s="92"/>
      <c r="M125" s="92"/>
      <c r="N125" s="92"/>
      <c r="O125" s="677">
        <v>20000</v>
      </c>
      <c r="P125" s="92"/>
      <c r="Q125" s="607">
        <v>20000</v>
      </c>
      <c r="R125" s="588">
        <f t="shared" si="35"/>
        <v>40000</v>
      </c>
    </row>
    <row r="126" spans="3:18" ht="15.75" thickBot="1">
      <c r="C126" s="53" t="s">
        <v>21</v>
      </c>
      <c r="D126" s="62">
        <f aca="true" t="shared" si="36" ref="D126:I126">SUM(D119:D125)</f>
        <v>0</v>
      </c>
      <c r="E126" s="62">
        <f t="shared" si="36"/>
        <v>0</v>
      </c>
      <c r="F126" s="62">
        <f t="shared" si="36"/>
        <v>0</v>
      </c>
      <c r="G126" s="62">
        <f t="shared" si="36"/>
        <v>94999.64</v>
      </c>
      <c r="H126" s="62">
        <f t="shared" si="36"/>
        <v>50000</v>
      </c>
      <c r="I126" s="62">
        <f t="shared" si="36"/>
        <v>36070.72829994864</v>
      </c>
      <c r="J126" s="57">
        <f>SUM(D126:I126)</f>
        <v>181070.36829994866</v>
      </c>
      <c r="L126" s="590">
        <f aca="true" t="shared" si="37" ref="L126:Q126">SUM(L119:L125)</f>
        <v>0</v>
      </c>
      <c r="M126" s="590">
        <f t="shared" si="37"/>
        <v>0</v>
      </c>
      <c r="N126" s="590">
        <f t="shared" si="37"/>
        <v>0</v>
      </c>
      <c r="O126" s="658">
        <f t="shared" si="37"/>
        <v>183688.46000000002</v>
      </c>
      <c r="P126" s="590">
        <f t="shared" si="37"/>
        <v>200545</v>
      </c>
      <c r="Q126" s="658">
        <f t="shared" si="37"/>
        <v>136070.72829994862</v>
      </c>
      <c r="R126" s="588">
        <f>SUM(L126:Q126)</f>
        <v>520304.18829994864</v>
      </c>
    </row>
    <row r="127" spans="3:18" s="52" customFormat="1" ht="15">
      <c r="C127" s="63"/>
      <c r="D127" s="64"/>
      <c r="E127" s="64"/>
      <c r="F127" s="64"/>
      <c r="G127" s="64"/>
      <c r="H127" s="64"/>
      <c r="I127" s="64"/>
      <c r="J127" s="65"/>
      <c r="K127" s="50"/>
      <c r="L127" s="64"/>
      <c r="M127" s="64"/>
      <c r="N127" s="64"/>
      <c r="O127" s="64"/>
      <c r="P127" s="64"/>
      <c r="Q127" s="610"/>
      <c r="R127" s="65"/>
    </row>
    <row r="128" spans="3:18" ht="15">
      <c r="C128" s="805" t="s">
        <v>462</v>
      </c>
      <c r="D128" s="806"/>
      <c r="E128" s="806"/>
      <c r="F128" s="806"/>
      <c r="G128" s="806"/>
      <c r="H128" s="806"/>
      <c r="I128" s="806"/>
      <c r="J128" s="807"/>
      <c r="L128" s="793"/>
      <c r="M128" s="793"/>
      <c r="N128" s="793"/>
      <c r="O128" s="793"/>
      <c r="P128" s="793"/>
      <c r="Q128" s="793"/>
      <c r="R128" s="794"/>
    </row>
    <row r="129" spans="3:18" ht="21" customHeight="1" thickBot="1">
      <c r="C129" s="59" t="s">
        <v>560</v>
      </c>
      <c r="D129" s="60">
        <v>0</v>
      </c>
      <c r="E129" s="60">
        <v>0</v>
      </c>
      <c r="F129" s="60">
        <v>0</v>
      </c>
      <c r="G129" s="60">
        <v>62986.878504672895</v>
      </c>
      <c r="H129" s="60">
        <v>45000</v>
      </c>
      <c r="I129" s="60">
        <v>110000</v>
      </c>
      <c r="J129" s="61">
        <f>SUM(D129:I129)</f>
        <v>217986.8785046729</v>
      </c>
      <c r="L129" s="587">
        <v>0</v>
      </c>
      <c r="M129" s="587">
        <v>0</v>
      </c>
      <c r="N129" s="587">
        <v>0</v>
      </c>
      <c r="O129" s="587">
        <v>21215.92</v>
      </c>
      <c r="P129" s="587">
        <v>88500</v>
      </c>
      <c r="Q129" s="587">
        <v>8000</v>
      </c>
      <c r="R129" s="588">
        <f>SUM(L129:Q129)</f>
        <v>117715.92</v>
      </c>
    </row>
    <row r="130" spans="3:18" ht="15.75" thickBot="1">
      <c r="C130" s="58" t="s">
        <v>538</v>
      </c>
      <c r="D130" s="90"/>
      <c r="E130" s="91"/>
      <c r="F130" s="91"/>
      <c r="G130" s="91"/>
      <c r="H130" s="91"/>
      <c r="I130" s="91"/>
      <c r="J130" s="61">
        <f aca="true" t="shared" si="38" ref="J130:J136">SUM(D130:I130)</f>
        <v>0</v>
      </c>
      <c r="L130" s="90"/>
      <c r="M130" s="90"/>
      <c r="N130" s="91"/>
      <c r="O130" s="91"/>
      <c r="P130" s="91"/>
      <c r="Q130" s="91"/>
      <c r="R130" s="588">
        <f aca="true" t="shared" si="39" ref="R130:R136">SUM(M130:Q130)</f>
        <v>0</v>
      </c>
    </row>
    <row r="131" spans="3:18" ht="15.75" thickBot="1">
      <c r="C131" s="48" t="s">
        <v>539</v>
      </c>
      <c r="D131" s="92"/>
      <c r="E131" s="18"/>
      <c r="F131" s="18"/>
      <c r="G131" s="92"/>
      <c r="H131" s="18"/>
      <c r="I131" s="18"/>
      <c r="J131" s="61">
        <f t="shared" si="38"/>
        <v>0</v>
      </c>
      <c r="L131" s="92"/>
      <c r="M131" s="92"/>
      <c r="N131" s="18"/>
      <c r="O131" s="609">
        <v>1690</v>
      </c>
      <c r="P131" s="92">
        <v>0</v>
      </c>
      <c r="Q131" s="92"/>
      <c r="R131" s="588">
        <f t="shared" si="39"/>
        <v>1690</v>
      </c>
    </row>
    <row r="132" spans="3:18" ht="31.5" thickBot="1">
      <c r="C132" s="48" t="s">
        <v>540</v>
      </c>
      <c r="D132" s="92"/>
      <c r="E132" s="92"/>
      <c r="F132" s="92"/>
      <c r="G132" s="92"/>
      <c r="H132" s="92"/>
      <c r="I132" s="92"/>
      <c r="J132" s="61">
        <f t="shared" si="38"/>
        <v>0</v>
      </c>
      <c r="L132" s="92"/>
      <c r="M132" s="92"/>
      <c r="N132" s="92"/>
      <c r="O132" s="92"/>
      <c r="P132" s="92"/>
      <c r="Q132" s="92"/>
      <c r="R132" s="588">
        <f t="shared" si="39"/>
        <v>0</v>
      </c>
    </row>
    <row r="133" spans="3:18" ht="15.75" thickBot="1">
      <c r="C133" s="49" t="s">
        <v>541</v>
      </c>
      <c r="D133" s="92"/>
      <c r="E133" s="92"/>
      <c r="F133" s="92"/>
      <c r="G133" s="92"/>
      <c r="H133" s="92"/>
      <c r="I133" s="92"/>
      <c r="J133" s="61">
        <f t="shared" si="38"/>
        <v>0</v>
      </c>
      <c r="L133" s="92"/>
      <c r="M133" s="92"/>
      <c r="N133" s="92"/>
      <c r="O133" s="607">
        <v>18720</v>
      </c>
      <c r="P133" s="92"/>
      <c r="Q133" s="607">
        <v>25000</v>
      </c>
      <c r="R133" s="588">
        <f t="shared" si="39"/>
        <v>43720</v>
      </c>
    </row>
    <row r="134" spans="3:18" ht="15.75" thickBot="1">
      <c r="C134" s="48" t="s">
        <v>542</v>
      </c>
      <c r="D134" s="92"/>
      <c r="E134" s="92"/>
      <c r="F134" s="92"/>
      <c r="G134" s="92"/>
      <c r="H134" s="92"/>
      <c r="J134" s="61">
        <f t="shared" si="38"/>
        <v>0</v>
      </c>
      <c r="L134" s="92"/>
      <c r="M134" s="92"/>
      <c r="N134" s="92"/>
      <c r="O134" s="92"/>
      <c r="P134" s="92">
        <v>128</v>
      </c>
      <c r="Q134" s="607">
        <v>15000</v>
      </c>
      <c r="R134" s="588">
        <f t="shared" si="39"/>
        <v>15128</v>
      </c>
    </row>
    <row r="135" spans="3:18" ht="15.75" thickBot="1">
      <c r="C135" s="48" t="s">
        <v>543</v>
      </c>
      <c r="D135" s="92"/>
      <c r="E135" s="92"/>
      <c r="F135" s="92"/>
      <c r="G135" s="92"/>
      <c r="H135" s="92"/>
      <c r="I135" s="92">
        <v>15000</v>
      </c>
      <c r="J135" s="61">
        <f t="shared" si="38"/>
        <v>15000</v>
      </c>
      <c r="L135" s="92"/>
      <c r="M135" s="92"/>
      <c r="N135" s="92"/>
      <c r="O135" s="653"/>
      <c r="P135" s="653">
        <v>8000</v>
      </c>
      <c r="Q135" s="653">
        <f>15000</f>
        <v>15000</v>
      </c>
      <c r="R135" s="588">
        <f t="shared" si="39"/>
        <v>23000</v>
      </c>
    </row>
    <row r="136" spans="3:18" ht="31.5" thickBot="1">
      <c r="C136" s="48" t="s">
        <v>544</v>
      </c>
      <c r="D136" s="92"/>
      <c r="E136" s="92"/>
      <c r="F136" s="92"/>
      <c r="G136" s="92">
        <v>62986.878504672895</v>
      </c>
      <c r="H136" s="92">
        <v>45000</v>
      </c>
      <c r="I136" s="92">
        <v>30000</v>
      </c>
      <c r="J136" s="61">
        <f t="shared" si="38"/>
        <v>137986.8785046729</v>
      </c>
      <c r="L136" s="92"/>
      <c r="M136" s="92"/>
      <c r="N136" s="92"/>
      <c r="O136" s="677">
        <v>42576.878504672895</v>
      </c>
      <c r="P136" s="653">
        <v>36872</v>
      </c>
      <c r="Q136" s="607">
        <f>30000+25000</f>
        <v>55000</v>
      </c>
      <c r="R136" s="588">
        <f t="shared" si="39"/>
        <v>134448.8785046729</v>
      </c>
    </row>
    <row r="137" spans="3:18" ht="15">
      <c r="C137" s="53" t="s">
        <v>21</v>
      </c>
      <c r="D137" s="62">
        <f aca="true" t="shared" si="40" ref="D137:I137">SUM(D130:D136)</f>
        <v>0</v>
      </c>
      <c r="E137" s="62">
        <f t="shared" si="40"/>
        <v>0</v>
      </c>
      <c r="F137" s="62">
        <f t="shared" si="40"/>
        <v>0</v>
      </c>
      <c r="G137" s="62">
        <f t="shared" si="40"/>
        <v>62986.878504672895</v>
      </c>
      <c r="H137" s="62">
        <f t="shared" si="40"/>
        <v>45000</v>
      </c>
      <c r="I137" s="62">
        <f t="shared" si="40"/>
        <v>45000</v>
      </c>
      <c r="J137" s="57">
        <f>SUM(D137:I137)</f>
        <v>152986.8785046729</v>
      </c>
      <c r="L137" s="590">
        <f>SUM(L130:L136)</f>
        <v>0</v>
      </c>
      <c r="M137" s="590">
        <f>SUM(M130:M136)</f>
        <v>0</v>
      </c>
      <c r="N137" s="590">
        <f>SUM(N130:N136)</f>
        <v>0</v>
      </c>
      <c r="O137" s="658">
        <v>21215.92</v>
      </c>
      <c r="P137" s="658">
        <f>P134+P135+P136+P131</f>
        <v>45000</v>
      </c>
      <c r="Q137" s="658">
        <f>SUM(Q130:Q136)</f>
        <v>110000</v>
      </c>
      <c r="R137" s="659">
        <f>SUM(L137:Q137)</f>
        <v>176215.91999999998</v>
      </c>
    </row>
    <row r="138" spans="3:18" s="52" customFormat="1" ht="15">
      <c r="C138" s="63"/>
      <c r="D138" s="64"/>
      <c r="E138" s="64"/>
      <c r="F138" s="64"/>
      <c r="G138" s="64"/>
      <c r="H138" s="64"/>
      <c r="I138" s="64"/>
      <c r="J138" s="65"/>
      <c r="K138" s="50"/>
      <c r="L138" s="64"/>
      <c r="M138" s="64"/>
      <c r="N138" s="64"/>
      <c r="O138" s="64"/>
      <c r="P138" s="64"/>
      <c r="Q138" s="610"/>
      <c r="R138" s="65"/>
    </row>
    <row r="139" spans="3:18" ht="15" hidden="1">
      <c r="C139" s="805" t="s">
        <v>471</v>
      </c>
      <c r="D139" s="806"/>
      <c r="E139" s="806"/>
      <c r="F139" s="806"/>
      <c r="G139" s="806"/>
      <c r="H139" s="806"/>
      <c r="I139" s="806"/>
      <c r="J139" s="807"/>
      <c r="L139" s="793"/>
      <c r="M139" s="793"/>
      <c r="N139" s="793"/>
      <c r="O139" s="793"/>
      <c r="P139" s="793"/>
      <c r="Q139" s="793"/>
      <c r="R139" s="794"/>
    </row>
    <row r="140" spans="3:18" ht="24" customHeight="1" hidden="1" thickBot="1">
      <c r="C140" s="59" t="s">
        <v>561</v>
      </c>
      <c r="D140" s="60">
        <v>0</v>
      </c>
      <c r="E140" s="60">
        <v>0</v>
      </c>
      <c r="F140" s="60">
        <v>0</v>
      </c>
      <c r="G140" s="60"/>
      <c r="H140" s="60"/>
      <c r="I140" s="60"/>
      <c r="J140" s="61">
        <f>SUM(D140:I140)</f>
        <v>0</v>
      </c>
      <c r="L140" s="587">
        <v>0</v>
      </c>
      <c r="M140" s="587">
        <v>0</v>
      </c>
      <c r="N140" s="587">
        <v>0</v>
      </c>
      <c r="O140" s="587">
        <v>0</v>
      </c>
      <c r="P140" s="587">
        <v>0</v>
      </c>
      <c r="Q140" s="587">
        <v>0</v>
      </c>
      <c r="R140" s="588">
        <f>SUM(L140:Q140)</f>
        <v>0</v>
      </c>
    </row>
    <row r="141" spans="3:18" ht="15.75" customHeight="1" hidden="1" thickBot="1">
      <c r="C141" s="58" t="s">
        <v>538</v>
      </c>
      <c r="D141" s="90"/>
      <c r="E141" s="91"/>
      <c r="F141" s="91"/>
      <c r="G141" s="91"/>
      <c r="H141" s="91"/>
      <c r="I141" s="91"/>
      <c r="J141" s="61">
        <f aca="true" t="shared" si="41" ref="J141:J147">SUM(D141:I141)</f>
        <v>0</v>
      </c>
      <c r="L141" s="90"/>
      <c r="M141" s="90"/>
      <c r="N141" s="91"/>
      <c r="O141" s="91"/>
      <c r="P141" s="91"/>
      <c r="Q141" s="91"/>
      <c r="R141" s="588">
        <f aca="true" t="shared" si="42" ref="R141:R147">SUM(M141:Q141)</f>
        <v>0</v>
      </c>
    </row>
    <row r="142" spans="3:18" ht="15.75" hidden="1" thickBot="1">
      <c r="C142" s="48" t="s">
        <v>539</v>
      </c>
      <c r="D142" s="92"/>
      <c r="E142" s="18"/>
      <c r="F142" s="18"/>
      <c r="G142" s="18"/>
      <c r="H142" s="18"/>
      <c r="I142" s="18"/>
      <c r="J142" s="61">
        <f t="shared" si="41"/>
        <v>0</v>
      </c>
      <c r="L142" s="92"/>
      <c r="M142" s="92"/>
      <c r="N142" s="18"/>
      <c r="O142" s="18"/>
      <c r="P142" s="18"/>
      <c r="Q142" s="18"/>
      <c r="R142" s="588">
        <f t="shared" si="42"/>
        <v>0</v>
      </c>
    </row>
    <row r="143" spans="3:18" ht="15.75" customHeight="1" hidden="1" thickBot="1">
      <c r="C143" s="48" t="s">
        <v>540</v>
      </c>
      <c r="D143" s="92"/>
      <c r="E143" s="92"/>
      <c r="F143" s="92"/>
      <c r="G143" s="92"/>
      <c r="H143" s="92"/>
      <c r="I143" s="92"/>
      <c r="J143" s="61">
        <f t="shared" si="41"/>
        <v>0</v>
      </c>
      <c r="L143" s="92"/>
      <c r="M143" s="92"/>
      <c r="N143" s="92"/>
      <c r="O143" s="92"/>
      <c r="P143" s="92"/>
      <c r="Q143" s="92"/>
      <c r="R143" s="588">
        <f t="shared" si="42"/>
        <v>0</v>
      </c>
    </row>
    <row r="144" spans="3:18" ht="15.75" hidden="1" thickBot="1">
      <c r="C144" s="49" t="s">
        <v>541</v>
      </c>
      <c r="D144" s="92"/>
      <c r="E144" s="92"/>
      <c r="F144" s="92"/>
      <c r="G144" s="92"/>
      <c r="H144" s="92"/>
      <c r="I144" s="92"/>
      <c r="J144" s="61">
        <f t="shared" si="41"/>
        <v>0</v>
      </c>
      <c r="L144" s="92"/>
      <c r="M144" s="92"/>
      <c r="N144" s="92"/>
      <c r="O144" s="92"/>
      <c r="P144" s="92"/>
      <c r="Q144" s="92"/>
      <c r="R144" s="588">
        <f t="shared" si="42"/>
        <v>0</v>
      </c>
    </row>
    <row r="145" spans="3:18" ht="15.75" hidden="1" thickBot="1">
      <c r="C145" s="48" t="s">
        <v>542</v>
      </c>
      <c r="D145" s="92"/>
      <c r="E145" s="92"/>
      <c r="F145" s="92"/>
      <c r="G145" s="92"/>
      <c r="H145" s="92"/>
      <c r="I145" s="92"/>
      <c r="J145" s="61">
        <f t="shared" si="41"/>
        <v>0</v>
      </c>
      <c r="L145" s="92"/>
      <c r="M145" s="92"/>
      <c r="N145" s="92"/>
      <c r="O145" s="92"/>
      <c r="P145" s="92"/>
      <c r="Q145" s="92"/>
      <c r="R145" s="588">
        <f t="shared" si="42"/>
        <v>0</v>
      </c>
    </row>
    <row r="146" spans="3:18" ht="15.75" customHeight="1" hidden="1" thickBot="1">
      <c r="C146" s="48" t="s">
        <v>543</v>
      </c>
      <c r="D146" s="92"/>
      <c r="E146" s="92"/>
      <c r="F146" s="92"/>
      <c r="G146" s="92"/>
      <c r="H146" s="92"/>
      <c r="I146" s="92"/>
      <c r="J146" s="61">
        <f t="shared" si="41"/>
        <v>0</v>
      </c>
      <c r="L146" s="92"/>
      <c r="M146" s="92"/>
      <c r="N146" s="92"/>
      <c r="O146" s="92"/>
      <c r="P146" s="92"/>
      <c r="Q146" s="607"/>
      <c r="R146" s="588">
        <f t="shared" si="42"/>
        <v>0</v>
      </c>
    </row>
    <row r="147" spans="3:18" ht="31.5" hidden="1" thickBot="1">
      <c r="C147" s="48" t="s">
        <v>544</v>
      </c>
      <c r="D147" s="92"/>
      <c r="E147" s="92"/>
      <c r="F147" s="92"/>
      <c r="G147" s="92"/>
      <c r="H147" s="92"/>
      <c r="I147" s="92"/>
      <c r="J147" s="61">
        <f t="shared" si="41"/>
        <v>0</v>
      </c>
      <c r="L147" s="92"/>
      <c r="M147" s="92"/>
      <c r="N147" s="92"/>
      <c r="O147" s="92"/>
      <c r="P147" s="607"/>
      <c r="Q147" s="607"/>
      <c r="R147" s="588">
        <f t="shared" si="42"/>
        <v>0</v>
      </c>
    </row>
    <row r="148" spans="3:18" ht="15" hidden="1">
      <c r="C148" s="53" t="s">
        <v>21</v>
      </c>
      <c r="D148" s="62">
        <f aca="true" t="shared" si="43" ref="D148:I148">SUM(D141:D147)</f>
        <v>0</v>
      </c>
      <c r="E148" s="62">
        <f t="shared" si="43"/>
        <v>0</v>
      </c>
      <c r="F148" s="62">
        <f t="shared" si="43"/>
        <v>0</v>
      </c>
      <c r="G148" s="62">
        <f t="shared" si="43"/>
        <v>0</v>
      </c>
      <c r="H148" s="62">
        <f t="shared" si="43"/>
        <v>0</v>
      </c>
      <c r="I148" s="62">
        <f t="shared" si="43"/>
        <v>0</v>
      </c>
      <c r="J148" s="57">
        <f>SUM(D148:I148)</f>
        <v>0</v>
      </c>
      <c r="L148" s="590">
        <f aca="true" t="shared" si="44" ref="L148:Q148">SUM(L141:L147)</f>
        <v>0</v>
      </c>
      <c r="M148" s="590">
        <f t="shared" si="44"/>
        <v>0</v>
      </c>
      <c r="N148" s="590">
        <f t="shared" si="44"/>
        <v>0</v>
      </c>
      <c r="O148" s="590">
        <f t="shared" si="44"/>
        <v>0</v>
      </c>
      <c r="P148" s="590">
        <f t="shared" si="44"/>
        <v>0</v>
      </c>
      <c r="Q148" s="590">
        <f t="shared" si="44"/>
        <v>0</v>
      </c>
      <c r="R148" s="591">
        <f>SUM(L148:Q148)</f>
        <v>0</v>
      </c>
    </row>
    <row r="149" spans="13:17" ht="15" hidden="1">
      <c r="M149" s="52"/>
      <c r="N149" s="52"/>
      <c r="O149" s="52"/>
      <c r="P149" s="52"/>
      <c r="Q149" s="612"/>
    </row>
    <row r="150" spans="2:18" ht="15">
      <c r="B150" s="805" t="s">
        <v>562</v>
      </c>
      <c r="C150" s="806"/>
      <c r="D150" s="806"/>
      <c r="E150" s="806"/>
      <c r="F150" s="806"/>
      <c r="G150" s="806"/>
      <c r="H150" s="806"/>
      <c r="I150" s="806"/>
      <c r="J150" s="807"/>
      <c r="L150" s="793"/>
      <c r="M150" s="793"/>
      <c r="N150" s="793"/>
      <c r="O150" s="793"/>
      <c r="P150" s="793"/>
      <c r="Q150" s="793"/>
      <c r="R150" s="794"/>
    </row>
    <row r="151" spans="3:18" ht="15">
      <c r="C151" s="805" t="s">
        <v>481</v>
      </c>
      <c r="D151" s="806"/>
      <c r="E151" s="806"/>
      <c r="F151" s="806"/>
      <c r="G151" s="806"/>
      <c r="H151" s="806"/>
      <c r="I151" s="806"/>
      <c r="J151" s="807"/>
      <c r="L151" s="793"/>
      <c r="M151" s="793"/>
      <c r="N151" s="793"/>
      <c r="O151" s="793"/>
      <c r="P151" s="793"/>
      <c r="Q151" s="793"/>
      <c r="R151" s="794"/>
    </row>
    <row r="152" spans="3:18" ht="24" customHeight="1" thickBot="1">
      <c r="C152" s="59" t="s">
        <v>563</v>
      </c>
      <c r="D152" s="60">
        <v>0</v>
      </c>
      <c r="E152" s="60">
        <v>0</v>
      </c>
      <c r="F152" s="60">
        <v>0</v>
      </c>
      <c r="G152" s="60">
        <v>44000</v>
      </c>
      <c r="H152" s="60">
        <v>63214.6</v>
      </c>
      <c r="I152" s="60">
        <v>45000</v>
      </c>
      <c r="J152" s="61">
        <f>SUM(D152:I152)</f>
        <v>152214.6</v>
      </c>
      <c r="L152" s="587">
        <v>0</v>
      </c>
      <c r="M152" s="587">
        <v>0</v>
      </c>
      <c r="N152" s="587">
        <v>0</v>
      </c>
      <c r="O152" s="587">
        <v>0</v>
      </c>
      <c r="P152" s="587">
        <v>0</v>
      </c>
      <c r="Q152" s="587">
        <v>0</v>
      </c>
      <c r="R152" s="588">
        <f aca="true" t="shared" si="45" ref="R152:R160">SUM(M152:Q152)</f>
        <v>0</v>
      </c>
    </row>
    <row r="153" spans="3:18" ht="24.75" customHeight="1" thickBot="1">
      <c r="C153" s="58" t="s">
        <v>538</v>
      </c>
      <c r="D153" s="90"/>
      <c r="E153" s="91"/>
      <c r="F153" s="91"/>
      <c r="G153" s="91"/>
      <c r="H153" s="91"/>
      <c r="I153" s="91"/>
      <c r="J153" s="61">
        <f aca="true" t="shared" si="46" ref="J153:J160">SUM(D153:I153)</f>
        <v>0</v>
      </c>
      <c r="L153" s="90"/>
      <c r="M153" s="90"/>
      <c r="N153" s="91"/>
      <c r="O153" s="91"/>
      <c r="P153" s="91"/>
      <c r="Q153" s="655">
        <v>20000</v>
      </c>
      <c r="R153" s="588">
        <f t="shared" si="45"/>
        <v>20000</v>
      </c>
    </row>
    <row r="154" spans="3:18" ht="15.75" customHeight="1" thickBot="1">
      <c r="C154" s="48" t="s">
        <v>539</v>
      </c>
      <c r="D154" s="92"/>
      <c r="E154" s="18"/>
      <c r="F154" s="18"/>
      <c r="G154" s="18"/>
      <c r="H154" s="18"/>
      <c r="I154" s="18"/>
      <c r="J154" s="61">
        <f t="shared" si="46"/>
        <v>0</v>
      </c>
      <c r="L154" s="92"/>
      <c r="M154" s="92"/>
      <c r="N154" s="18"/>
      <c r="O154" s="18"/>
      <c r="P154" s="609">
        <v>57714.6</v>
      </c>
      <c r="Q154" s="609">
        <v>5000</v>
      </c>
      <c r="R154" s="588">
        <f t="shared" si="45"/>
        <v>62714.6</v>
      </c>
    </row>
    <row r="155" spans="3:18" ht="15.75" customHeight="1" thickBot="1">
      <c r="C155" s="48" t="s">
        <v>540</v>
      </c>
      <c r="D155" s="92"/>
      <c r="E155" s="92"/>
      <c r="F155" s="92"/>
      <c r="G155" s="92"/>
      <c r="H155" s="92"/>
      <c r="I155" s="92"/>
      <c r="J155" s="61">
        <f t="shared" si="46"/>
        <v>0</v>
      </c>
      <c r="L155" s="92"/>
      <c r="M155" s="92"/>
      <c r="N155" s="92"/>
      <c r="O155" s="92"/>
      <c r="P155" s="92"/>
      <c r="Q155" s="92"/>
      <c r="R155" s="588">
        <f t="shared" si="45"/>
        <v>0</v>
      </c>
    </row>
    <row r="156" spans="3:18" ht="15.75" customHeight="1" thickBot="1">
      <c r="C156" s="49" t="s">
        <v>541</v>
      </c>
      <c r="D156" s="92"/>
      <c r="E156" s="92"/>
      <c r="F156" s="92"/>
      <c r="G156" s="92"/>
      <c r="H156" s="92"/>
      <c r="I156" s="92"/>
      <c r="J156" s="61">
        <f t="shared" si="46"/>
        <v>0</v>
      </c>
      <c r="L156" s="92"/>
      <c r="M156" s="92"/>
      <c r="N156" s="92"/>
      <c r="O156" s="607">
        <v>30000</v>
      </c>
      <c r="P156" s="92"/>
      <c r="Q156" s="92"/>
      <c r="R156" s="588">
        <f t="shared" si="45"/>
        <v>30000</v>
      </c>
    </row>
    <row r="157" spans="3:18" ht="15.75" customHeight="1" thickBot="1">
      <c r="C157" s="48" t="s">
        <v>542</v>
      </c>
      <c r="D157" s="92"/>
      <c r="E157" s="92"/>
      <c r="F157" s="92"/>
      <c r="G157" s="92"/>
      <c r="H157" s="92"/>
      <c r="I157" s="92"/>
      <c r="J157" s="61">
        <f t="shared" si="46"/>
        <v>0</v>
      </c>
      <c r="L157" s="92"/>
      <c r="M157" s="92"/>
      <c r="N157" s="92"/>
      <c r="O157" s="92"/>
      <c r="P157" s="92"/>
      <c r="Q157" s="607">
        <v>10000</v>
      </c>
      <c r="R157" s="588">
        <f t="shared" si="45"/>
        <v>10000</v>
      </c>
    </row>
    <row r="158" spans="3:18" ht="15.75" customHeight="1" thickBot="1">
      <c r="C158" s="48" t="s">
        <v>543</v>
      </c>
      <c r="D158" s="92"/>
      <c r="E158" s="92"/>
      <c r="F158" s="92"/>
      <c r="G158" s="92"/>
      <c r="H158" s="92"/>
      <c r="I158" s="92"/>
      <c r="J158" s="61">
        <f t="shared" si="46"/>
        <v>0</v>
      </c>
      <c r="L158" s="92"/>
      <c r="M158" s="92"/>
      <c r="N158" s="92"/>
      <c r="O158" s="92"/>
      <c r="P158" s="607">
        <v>5500</v>
      </c>
      <c r="Q158" s="92"/>
      <c r="R158" s="588">
        <f t="shared" si="45"/>
        <v>5500</v>
      </c>
    </row>
    <row r="159" spans="3:18" ht="15.75" customHeight="1" thickBot="1">
      <c r="C159" s="48" t="s">
        <v>544</v>
      </c>
      <c r="D159" s="92"/>
      <c r="E159" s="92"/>
      <c r="F159" s="92"/>
      <c r="G159" s="92"/>
      <c r="H159" s="92"/>
      <c r="I159" s="92"/>
      <c r="J159" s="61">
        <f t="shared" si="46"/>
        <v>0</v>
      </c>
      <c r="L159" s="92"/>
      <c r="M159" s="92"/>
      <c r="N159" s="92"/>
      <c r="O159" s="677">
        <v>14000</v>
      </c>
      <c r="P159" s="92"/>
      <c r="Q159" s="607">
        <v>10000</v>
      </c>
      <c r="R159" s="588">
        <f t="shared" si="45"/>
        <v>24000</v>
      </c>
    </row>
    <row r="160" spans="3:18" ht="15.75" customHeight="1" thickBot="1">
      <c r="C160" s="53" t="s">
        <v>21</v>
      </c>
      <c r="D160" s="62">
        <f aca="true" t="shared" si="47" ref="D160:I160">SUM(D153:D159)</f>
        <v>0</v>
      </c>
      <c r="E160" s="62">
        <f t="shared" si="47"/>
        <v>0</v>
      </c>
      <c r="F160" s="62">
        <f t="shared" si="47"/>
        <v>0</v>
      </c>
      <c r="G160" s="62">
        <f t="shared" si="47"/>
        <v>0</v>
      </c>
      <c r="H160" s="62">
        <f t="shared" si="47"/>
        <v>0</v>
      </c>
      <c r="I160" s="62">
        <f t="shared" si="47"/>
        <v>0</v>
      </c>
      <c r="J160" s="61">
        <f t="shared" si="46"/>
        <v>0</v>
      </c>
      <c r="L160" s="590">
        <f aca="true" t="shared" si="48" ref="L160:Q160">SUM(L153:L159)</f>
        <v>0</v>
      </c>
      <c r="M160" s="590">
        <f t="shared" si="48"/>
        <v>0</v>
      </c>
      <c r="N160" s="590">
        <f t="shared" si="48"/>
        <v>0</v>
      </c>
      <c r="O160" s="658">
        <f t="shared" si="48"/>
        <v>44000</v>
      </c>
      <c r="P160" s="658">
        <f t="shared" si="48"/>
        <v>63214.6</v>
      </c>
      <c r="Q160" s="658">
        <f t="shared" si="48"/>
        <v>45000</v>
      </c>
      <c r="R160" s="660">
        <f t="shared" si="45"/>
        <v>152214.6</v>
      </c>
    </row>
    <row r="161" spans="3:18" s="52" customFormat="1" ht="15.75" customHeight="1">
      <c r="C161" s="63"/>
      <c r="D161" s="64"/>
      <c r="E161" s="64"/>
      <c r="F161" s="64"/>
      <c r="G161" s="64"/>
      <c r="H161" s="64"/>
      <c r="I161" s="64"/>
      <c r="J161" s="65"/>
      <c r="K161" s="50"/>
      <c r="L161" s="64"/>
      <c r="M161" s="64"/>
      <c r="N161" s="64"/>
      <c r="O161" s="64"/>
      <c r="P161" s="64"/>
      <c r="Q161" s="610"/>
      <c r="R161" s="65"/>
    </row>
    <row r="162" spans="3:18" ht="15.75" customHeight="1">
      <c r="C162" s="805" t="s">
        <v>485</v>
      </c>
      <c r="D162" s="806"/>
      <c r="E162" s="806"/>
      <c r="F162" s="806"/>
      <c r="G162" s="806"/>
      <c r="H162" s="806"/>
      <c r="I162" s="806"/>
      <c r="J162" s="807"/>
      <c r="L162" s="793"/>
      <c r="M162" s="793"/>
      <c r="N162" s="793"/>
      <c r="O162" s="793"/>
      <c r="P162" s="793"/>
      <c r="Q162" s="793"/>
      <c r="R162" s="794"/>
    </row>
    <row r="163" spans="3:18" ht="21" customHeight="1" thickBot="1">
      <c r="C163" s="59" t="s">
        <v>564</v>
      </c>
      <c r="D163" s="60">
        <v>0</v>
      </c>
      <c r="E163" s="60">
        <v>0</v>
      </c>
      <c r="F163" s="60">
        <v>0</v>
      </c>
      <c r="G163" s="60">
        <v>0</v>
      </c>
      <c r="H163" s="60">
        <v>0</v>
      </c>
      <c r="I163" s="60">
        <v>0</v>
      </c>
      <c r="J163" s="61">
        <f>SUM(D163:I163)</f>
        <v>0</v>
      </c>
      <c r="L163" s="587">
        <v>0</v>
      </c>
      <c r="M163" s="587">
        <v>0</v>
      </c>
      <c r="N163" s="587">
        <v>0</v>
      </c>
      <c r="O163" s="587">
        <v>0</v>
      </c>
      <c r="P163" s="587">
        <v>0</v>
      </c>
      <c r="Q163" s="587">
        <v>0</v>
      </c>
      <c r="R163" s="588">
        <f aca="true" t="shared" si="49" ref="R163:R171">SUM(M163:Q163)</f>
        <v>0</v>
      </c>
    </row>
    <row r="164" spans="3:18" ht="15.75" customHeight="1" thickBot="1">
      <c r="C164" s="58" t="s">
        <v>538</v>
      </c>
      <c r="D164" s="90"/>
      <c r="E164" s="91"/>
      <c r="F164" s="91"/>
      <c r="G164" s="91"/>
      <c r="H164" s="91"/>
      <c r="I164" s="91"/>
      <c r="J164" s="61">
        <f aca="true" t="shared" si="50" ref="J164:J171">SUM(D164:I164)</f>
        <v>0</v>
      </c>
      <c r="L164" s="90"/>
      <c r="M164" s="90"/>
      <c r="N164" s="91"/>
      <c r="O164" s="91"/>
      <c r="P164" s="91"/>
      <c r="Q164" s="91"/>
      <c r="R164" s="588">
        <f t="shared" si="49"/>
        <v>0</v>
      </c>
    </row>
    <row r="165" spans="3:18" ht="15.75" customHeight="1" thickBot="1">
      <c r="C165" s="48" t="s">
        <v>539</v>
      </c>
      <c r="D165" s="92"/>
      <c r="E165" s="18"/>
      <c r="F165" s="18"/>
      <c r="G165" s="18"/>
      <c r="H165" s="18"/>
      <c r="I165" s="18"/>
      <c r="J165" s="61">
        <f t="shared" si="50"/>
        <v>0</v>
      </c>
      <c r="L165" s="92"/>
      <c r="M165" s="92"/>
      <c r="N165" s="18"/>
      <c r="O165" s="18"/>
      <c r="P165" s="18"/>
      <c r="Q165" s="18"/>
      <c r="R165" s="588">
        <f t="shared" si="49"/>
        <v>0</v>
      </c>
    </row>
    <row r="166" spans="3:18" ht="15.75" customHeight="1" thickBot="1">
      <c r="C166" s="48" t="s">
        <v>540</v>
      </c>
      <c r="D166" s="92"/>
      <c r="E166" s="92"/>
      <c r="F166" s="92"/>
      <c r="G166" s="92"/>
      <c r="H166" s="92"/>
      <c r="I166" s="92"/>
      <c r="J166" s="61">
        <f t="shared" si="50"/>
        <v>0</v>
      </c>
      <c r="L166" s="92"/>
      <c r="M166" s="92"/>
      <c r="N166" s="92"/>
      <c r="O166" s="92"/>
      <c r="P166" s="92"/>
      <c r="Q166" s="92"/>
      <c r="R166" s="588">
        <f t="shared" si="49"/>
        <v>0</v>
      </c>
    </row>
    <row r="167" spans="3:18" ht="15.75" customHeight="1" thickBot="1">
      <c r="C167" s="49" t="s">
        <v>541</v>
      </c>
      <c r="D167" s="92"/>
      <c r="E167" s="92"/>
      <c r="F167" s="92"/>
      <c r="G167" s="92"/>
      <c r="H167" s="92"/>
      <c r="I167" s="92"/>
      <c r="J167" s="61">
        <f t="shared" si="50"/>
        <v>0</v>
      </c>
      <c r="L167" s="92"/>
      <c r="M167" s="92"/>
      <c r="N167" s="92"/>
      <c r="O167" s="92"/>
      <c r="P167" s="92"/>
      <c r="Q167" s="92"/>
      <c r="R167" s="588">
        <f t="shared" si="49"/>
        <v>0</v>
      </c>
    </row>
    <row r="168" spans="3:18" ht="15.75" customHeight="1" thickBot="1">
      <c r="C168" s="48" t="s">
        <v>542</v>
      </c>
      <c r="D168" s="92"/>
      <c r="E168" s="92"/>
      <c r="F168" s="92"/>
      <c r="G168" s="92"/>
      <c r="H168" s="92"/>
      <c r="I168" s="92"/>
      <c r="J168" s="61">
        <f t="shared" si="50"/>
        <v>0</v>
      </c>
      <c r="L168" s="92"/>
      <c r="M168" s="92"/>
      <c r="N168" s="92"/>
      <c r="O168" s="92"/>
      <c r="P168" s="92"/>
      <c r="Q168" s="92"/>
      <c r="R168" s="588">
        <f t="shared" si="49"/>
        <v>0</v>
      </c>
    </row>
    <row r="169" spans="3:18" ht="15.75" customHeight="1" thickBot="1">
      <c r="C169" s="48" t="s">
        <v>543</v>
      </c>
      <c r="D169" s="92"/>
      <c r="E169" s="92"/>
      <c r="F169" s="92"/>
      <c r="G169" s="92"/>
      <c r="H169" s="92"/>
      <c r="I169" s="92"/>
      <c r="J169" s="61">
        <f t="shared" si="50"/>
        <v>0</v>
      </c>
      <c r="L169" s="92"/>
      <c r="M169" s="92"/>
      <c r="N169" s="92"/>
      <c r="O169" s="92"/>
      <c r="P169" s="92"/>
      <c r="Q169" s="92"/>
      <c r="R169" s="588">
        <f t="shared" si="49"/>
        <v>0</v>
      </c>
    </row>
    <row r="170" spans="3:18" ht="15.75" customHeight="1" thickBot="1">
      <c r="C170" s="48" t="s">
        <v>544</v>
      </c>
      <c r="D170" s="92"/>
      <c r="E170" s="92"/>
      <c r="F170" s="92"/>
      <c r="G170" s="92"/>
      <c r="H170" s="92"/>
      <c r="I170" s="92"/>
      <c r="J170" s="61">
        <f t="shared" si="50"/>
        <v>0</v>
      </c>
      <c r="L170" s="92"/>
      <c r="M170" s="92"/>
      <c r="N170" s="92"/>
      <c r="O170" s="92"/>
      <c r="P170" s="92"/>
      <c r="Q170" s="92"/>
      <c r="R170" s="588">
        <f t="shared" si="49"/>
        <v>0</v>
      </c>
    </row>
    <row r="171" spans="3:18" ht="15.75" customHeight="1" thickBot="1">
      <c r="C171" s="53" t="s">
        <v>21</v>
      </c>
      <c r="D171" s="62">
        <f aca="true" t="shared" si="51" ref="D171:I171">SUM(D164:D170)</f>
        <v>0</v>
      </c>
      <c r="E171" s="62">
        <f t="shared" si="51"/>
        <v>0</v>
      </c>
      <c r="F171" s="62">
        <f t="shared" si="51"/>
        <v>0</v>
      </c>
      <c r="G171" s="62">
        <f t="shared" si="51"/>
        <v>0</v>
      </c>
      <c r="H171" s="62">
        <f t="shared" si="51"/>
        <v>0</v>
      </c>
      <c r="I171" s="62">
        <f t="shared" si="51"/>
        <v>0</v>
      </c>
      <c r="J171" s="61">
        <f t="shared" si="50"/>
        <v>0</v>
      </c>
      <c r="L171" s="590">
        <f aca="true" t="shared" si="52" ref="L171:Q171">SUM(L164:L170)</f>
        <v>0</v>
      </c>
      <c r="M171" s="590">
        <f t="shared" si="52"/>
        <v>0</v>
      </c>
      <c r="N171" s="590">
        <f t="shared" si="52"/>
        <v>0</v>
      </c>
      <c r="O171" s="590">
        <f t="shared" si="52"/>
        <v>0</v>
      </c>
      <c r="P171" s="590">
        <f t="shared" si="52"/>
        <v>0</v>
      </c>
      <c r="Q171" s="590">
        <f t="shared" si="52"/>
        <v>0</v>
      </c>
      <c r="R171" s="588">
        <f t="shared" si="49"/>
        <v>0</v>
      </c>
    </row>
    <row r="172" spans="3:18" s="52" customFormat="1" ht="15.75" customHeight="1">
      <c r="C172" s="63"/>
      <c r="D172" s="64"/>
      <c r="E172" s="64"/>
      <c r="F172" s="64"/>
      <c r="G172" s="64"/>
      <c r="H172" s="64"/>
      <c r="I172" s="64"/>
      <c r="J172" s="65"/>
      <c r="K172" s="50"/>
      <c r="L172" s="64"/>
      <c r="M172" s="64"/>
      <c r="N172" s="64"/>
      <c r="O172" s="64"/>
      <c r="P172" s="64"/>
      <c r="Q172" s="610"/>
      <c r="R172" s="65"/>
    </row>
    <row r="173" spans="3:18" ht="15.75" customHeight="1">
      <c r="C173" s="805" t="s">
        <v>494</v>
      </c>
      <c r="D173" s="806"/>
      <c r="E173" s="806"/>
      <c r="F173" s="806"/>
      <c r="G173" s="806"/>
      <c r="H173" s="806"/>
      <c r="I173" s="806"/>
      <c r="J173" s="807"/>
      <c r="L173" s="793"/>
      <c r="M173" s="793"/>
      <c r="N173" s="793"/>
      <c r="O173" s="793"/>
      <c r="P173" s="793"/>
      <c r="Q173" s="793"/>
      <c r="R173" s="794"/>
    </row>
    <row r="174" spans="3:18" ht="19.5" customHeight="1" thickBot="1">
      <c r="C174" s="59" t="s">
        <v>565</v>
      </c>
      <c r="D174" s="60">
        <v>0</v>
      </c>
      <c r="E174" s="60">
        <v>0</v>
      </c>
      <c r="F174" s="60">
        <v>0</v>
      </c>
      <c r="G174" s="60">
        <v>0</v>
      </c>
      <c r="H174" s="60">
        <v>0</v>
      </c>
      <c r="I174" s="60">
        <v>0</v>
      </c>
      <c r="J174" s="61">
        <f>SUM(D174:I174)</f>
        <v>0</v>
      </c>
      <c r="L174" s="587">
        <v>0</v>
      </c>
      <c r="M174" s="587">
        <v>0</v>
      </c>
      <c r="N174" s="587">
        <v>0</v>
      </c>
      <c r="O174" s="587">
        <v>0</v>
      </c>
      <c r="P174" s="587">
        <v>0</v>
      </c>
      <c r="Q174" s="587">
        <v>0</v>
      </c>
      <c r="R174" s="588">
        <f aca="true" t="shared" si="53" ref="R174:R182">SUM(M174:Q174)</f>
        <v>0</v>
      </c>
    </row>
    <row r="175" spans="3:18" ht="15.75" customHeight="1" thickBot="1">
      <c r="C175" s="58" t="s">
        <v>538</v>
      </c>
      <c r="D175" s="90"/>
      <c r="E175" s="91"/>
      <c r="F175" s="91"/>
      <c r="G175" s="91"/>
      <c r="H175" s="91"/>
      <c r="I175" s="91"/>
      <c r="J175" s="61">
        <f aca="true" t="shared" si="54" ref="J175:J182">SUM(D175:I175)</f>
        <v>0</v>
      </c>
      <c r="L175" s="90"/>
      <c r="M175" s="90"/>
      <c r="N175" s="91"/>
      <c r="O175" s="91"/>
      <c r="P175" s="91"/>
      <c r="Q175" s="91"/>
      <c r="R175" s="588">
        <f t="shared" si="53"/>
        <v>0</v>
      </c>
    </row>
    <row r="176" spans="3:18" ht="15.75" customHeight="1" thickBot="1">
      <c r="C176" s="48" t="s">
        <v>539</v>
      </c>
      <c r="D176" s="92"/>
      <c r="E176" s="18"/>
      <c r="F176" s="18"/>
      <c r="G176" s="18"/>
      <c r="H176" s="18"/>
      <c r="I176" s="18"/>
      <c r="J176" s="61">
        <f t="shared" si="54"/>
        <v>0</v>
      </c>
      <c r="L176" s="92"/>
      <c r="M176" s="92"/>
      <c r="N176" s="18"/>
      <c r="O176" s="18"/>
      <c r="P176" s="18"/>
      <c r="Q176" s="18"/>
      <c r="R176" s="588">
        <f t="shared" si="53"/>
        <v>0</v>
      </c>
    </row>
    <row r="177" spans="3:18" ht="15.75" customHeight="1" thickBot="1">
      <c r="C177" s="48" t="s">
        <v>540</v>
      </c>
      <c r="D177" s="92"/>
      <c r="E177" s="92"/>
      <c r="F177" s="92"/>
      <c r="G177" s="92"/>
      <c r="H177" s="92"/>
      <c r="I177" s="92"/>
      <c r="J177" s="61">
        <f t="shared" si="54"/>
        <v>0</v>
      </c>
      <c r="L177" s="92"/>
      <c r="M177" s="92"/>
      <c r="N177" s="92"/>
      <c r="O177" s="92"/>
      <c r="P177" s="92"/>
      <c r="Q177" s="92"/>
      <c r="R177" s="588">
        <f t="shared" si="53"/>
        <v>0</v>
      </c>
    </row>
    <row r="178" spans="3:18" ht="15.75" customHeight="1" thickBot="1">
      <c r="C178" s="49" t="s">
        <v>541</v>
      </c>
      <c r="D178" s="92"/>
      <c r="E178" s="92"/>
      <c r="F178" s="92"/>
      <c r="G178" s="92"/>
      <c r="H178" s="92"/>
      <c r="I178" s="92"/>
      <c r="J178" s="61">
        <f t="shared" si="54"/>
        <v>0</v>
      </c>
      <c r="L178" s="92"/>
      <c r="M178" s="92"/>
      <c r="N178" s="92"/>
      <c r="O178" s="92"/>
      <c r="P178" s="92"/>
      <c r="Q178" s="92"/>
      <c r="R178" s="588">
        <f t="shared" si="53"/>
        <v>0</v>
      </c>
    </row>
    <row r="179" spans="3:18" ht="15.75" customHeight="1" thickBot="1">
      <c r="C179" s="48" t="s">
        <v>542</v>
      </c>
      <c r="D179" s="92"/>
      <c r="E179" s="92"/>
      <c r="F179" s="92"/>
      <c r="G179" s="92"/>
      <c r="H179" s="92"/>
      <c r="I179" s="92"/>
      <c r="J179" s="61">
        <f t="shared" si="54"/>
        <v>0</v>
      </c>
      <c r="L179" s="92"/>
      <c r="M179" s="92"/>
      <c r="N179" s="92"/>
      <c r="O179" s="92"/>
      <c r="P179" s="92"/>
      <c r="Q179" s="92"/>
      <c r="R179" s="588">
        <f t="shared" si="53"/>
        <v>0</v>
      </c>
    </row>
    <row r="180" spans="3:18" ht="15.75" customHeight="1" thickBot="1">
      <c r="C180" s="48" t="s">
        <v>543</v>
      </c>
      <c r="D180" s="92"/>
      <c r="E180" s="92"/>
      <c r="F180" s="92"/>
      <c r="G180" s="92"/>
      <c r="H180" s="92"/>
      <c r="I180" s="92"/>
      <c r="J180" s="61">
        <f t="shared" si="54"/>
        <v>0</v>
      </c>
      <c r="L180" s="92"/>
      <c r="M180" s="92"/>
      <c r="N180" s="92"/>
      <c r="O180" s="92"/>
      <c r="P180" s="92"/>
      <c r="Q180" s="92"/>
      <c r="R180" s="588">
        <f t="shared" si="53"/>
        <v>0</v>
      </c>
    </row>
    <row r="181" spans="3:18" ht="15.75" customHeight="1" thickBot="1">
      <c r="C181" s="48" t="s">
        <v>544</v>
      </c>
      <c r="D181" s="92"/>
      <c r="E181" s="92"/>
      <c r="F181" s="92"/>
      <c r="G181" s="92"/>
      <c r="H181" s="92"/>
      <c r="I181" s="92"/>
      <c r="J181" s="61">
        <f t="shared" si="54"/>
        <v>0</v>
      </c>
      <c r="L181" s="92"/>
      <c r="M181" s="92"/>
      <c r="N181" s="92"/>
      <c r="O181" s="92"/>
      <c r="P181" s="92"/>
      <c r="Q181" s="92"/>
      <c r="R181" s="588">
        <f t="shared" si="53"/>
        <v>0</v>
      </c>
    </row>
    <row r="182" spans="3:18" ht="15.75" customHeight="1" thickBot="1">
      <c r="C182" s="53" t="s">
        <v>21</v>
      </c>
      <c r="D182" s="62">
        <f aca="true" t="shared" si="55" ref="D182:I182">SUM(D175:D181)</f>
        <v>0</v>
      </c>
      <c r="E182" s="62">
        <f t="shared" si="55"/>
        <v>0</v>
      </c>
      <c r="F182" s="62">
        <f t="shared" si="55"/>
        <v>0</v>
      </c>
      <c r="G182" s="62">
        <f t="shared" si="55"/>
        <v>0</v>
      </c>
      <c r="H182" s="62">
        <f t="shared" si="55"/>
        <v>0</v>
      </c>
      <c r="I182" s="62">
        <f t="shared" si="55"/>
        <v>0</v>
      </c>
      <c r="J182" s="61">
        <f t="shared" si="54"/>
        <v>0</v>
      </c>
      <c r="L182" s="590">
        <f aca="true" t="shared" si="56" ref="L182:Q182">SUM(L175:L181)</f>
        <v>0</v>
      </c>
      <c r="M182" s="590">
        <f t="shared" si="56"/>
        <v>0</v>
      </c>
      <c r="N182" s="590">
        <f t="shared" si="56"/>
        <v>0</v>
      </c>
      <c r="O182" s="590">
        <f t="shared" si="56"/>
        <v>0</v>
      </c>
      <c r="P182" s="590">
        <f t="shared" si="56"/>
        <v>0</v>
      </c>
      <c r="Q182" s="590">
        <f t="shared" si="56"/>
        <v>0</v>
      </c>
      <c r="R182" s="588">
        <f t="shared" si="53"/>
        <v>0</v>
      </c>
    </row>
    <row r="183" spans="3:18" s="52" customFormat="1" ht="15.75" customHeight="1">
      <c r="C183" s="63"/>
      <c r="D183" s="64"/>
      <c r="E183" s="64"/>
      <c r="F183" s="64"/>
      <c r="G183" s="64"/>
      <c r="H183" s="64"/>
      <c r="I183" s="64"/>
      <c r="J183" s="65"/>
      <c r="K183" s="50"/>
      <c r="L183" s="64"/>
      <c r="M183" s="64"/>
      <c r="N183" s="64"/>
      <c r="O183" s="64"/>
      <c r="P183" s="64"/>
      <c r="Q183" s="610"/>
      <c r="R183" s="65"/>
    </row>
    <row r="184" spans="3:18" ht="15.75" customHeight="1">
      <c r="C184" s="805" t="s">
        <v>503</v>
      </c>
      <c r="D184" s="806"/>
      <c r="E184" s="806"/>
      <c r="F184" s="806"/>
      <c r="G184" s="806"/>
      <c r="H184" s="806"/>
      <c r="I184" s="806"/>
      <c r="J184" s="807"/>
      <c r="L184" s="793"/>
      <c r="M184" s="793"/>
      <c r="N184" s="793"/>
      <c r="O184" s="793"/>
      <c r="P184" s="793"/>
      <c r="Q184" s="793"/>
      <c r="R184" s="794"/>
    </row>
    <row r="185" spans="3:18" ht="22.5" customHeight="1" thickBot="1">
      <c r="C185" s="59" t="s">
        <v>566</v>
      </c>
      <c r="D185" s="60">
        <v>0</v>
      </c>
      <c r="E185" s="60">
        <v>0</v>
      </c>
      <c r="F185" s="60">
        <v>0</v>
      </c>
      <c r="G185" s="60">
        <v>0</v>
      </c>
      <c r="H185" s="60">
        <v>0</v>
      </c>
      <c r="I185" s="60">
        <v>0</v>
      </c>
      <c r="J185" s="61">
        <f>SUM(D185:I185)</f>
        <v>0</v>
      </c>
      <c r="L185" s="587">
        <v>0</v>
      </c>
      <c r="M185" s="587">
        <v>0</v>
      </c>
      <c r="N185" s="587">
        <v>0</v>
      </c>
      <c r="O185" s="587">
        <v>0</v>
      </c>
      <c r="P185" s="587">
        <v>0</v>
      </c>
      <c r="Q185" s="587">
        <v>0</v>
      </c>
      <c r="R185" s="588">
        <f aca="true" t="shared" si="57" ref="R185:R193">SUM(M185:Q185)</f>
        <v>0</v>
      </c>
    </row>
    <row r="186" spans="3:18" ht="15.75" customHeight="1" thickBot="1">
      <c r="C186" s="58" t="s">
        <v>538</v>
      </c>
      <c r="D186" s="90"/>
      <c r="E186" s="91"/>
      <c r="F186" s="91"/>
      <c r="G186" s="91"/>
      <c r="H186" s="91"/>
      <c r="I186" s="91"/>
      <c r="J186" s="61">
        <f aca="true" t="shared" si="58" ref="J186:J193">SUM(D186:I186)</f>
        <v>0</v>
      </c>
      <c r="L186" s="90"/>
      <c r="M186" s="90"/>
      <c r="N186" s="91"/>
      <c r="O186" s="91"/>
      <c r="P186" s="91"/>
      <c r="Q186" s="91"/>
      <c r="R186" s="588">
        <f t="shared" si="57"/>
        <v>0</v>
      </c>
    </row>
    <row r="187" spans="3:18" ht="15.75" customHeight="1" thickBot="1">
      <c r="C187" s="48" t="s">
        <v>539</v>
      </c>
      <c r="D187" s="92"/>
      <c r="E187" s="18"/>
      <c r="F187" s="18"/>
      <c r="G187" s="18"/>
      <c r="H187" s="18"/>
      <c r="I187" s="18"/>
      <c r="J187" s="61">
        <f t="shared" si="58"/>
        <v>0</v>
      </c>
      <c r="L187" s="92"/>
      <c r="M187" s="92"/>
      <c r="N187" s="18"/>
      <c r="O187" s="18"/>
      <c r="P187" s="18"/>
      <c r="Q187" s="18"/>
      <c r="R187" s="588">
        <f t="shared" si="57"/>
        <v>0</v>
      </c>
    </row>
    <row r="188" spans="3:18" ht="15.75" customHeight="1" thickBot="1">
      <c r="C188" s="48" t="s">
        <v>540</v>
      </c>
      <c r="D188" s="92"/>
      <c r="E188" s="92"/>
      <c r="F188" s="92"/>
      <c r="G188" s="92"/>
      <c r="H188" s="92"/>
      <c r="I188" s="92"/>
      <c r="J188" s="61">
        <f t="shared" si="58"/>
        <v>0</v>
      </c>
      <c r="L188" s="92"/>
      <c r="M188" s="92"/>
      <c r="N188" s="92"/>
      <c r="O188" s="92"/>
      <c r="P188" s="92"/>
      <c r="Q188" s="92"/>
      <c r="R188" s="588">
        <f t="shared" si="57"/>
        <v>0</v>
      </c>
    </row>
    <row r="189" spans="3:18" ht="15.75" customHeight="1" thickBot="1">
      <c r="C189" s="49" t="s">
        <v>541</v>
      </c>
      <c r="D189" s="92"/>
      <c r="E189" s="92"/>
      <c r="F189" s="92"/>
      <c r="G189" s="92"/>
      <c r="H189" s="92"/>
      <c r="I189" s="92"/>
      <c r="J189" s="61">
        <f t="shared" si="58"/>
        <v>0</v>
      </c>
      <c r="L189" s="92"/>
      <c r="M189" s="92"/>
      <c r="N189" s="92"/>
      <c r="O189" s="92"/>
      <c r="P189" s="92"/>
      <c r="Q189" s="92"/>
      <c r="R189" s="588">
        <f t="shared" si="57"/>
        <v>0</v>
      </c>
    </row>
    <row r="190" spans="3:18" ht="15.75" customHeight="1" thickBot="1">
      <c r="C190" s="48" t="s">
        <v>542</v>
      </c>
      <c r="D190" s="92"/>
      <c r="E190" s="92"/>
      <c r="F190" s="92"/>
      <c r="G190" s="92"/>
      <c r="H190" s="92"/>
      <c r="I190" s="92"/>
      <c r="J190" s="61">
        <f t="shared" si="58"/>
        <v>0</v>
      </c>
      <c r="L190" s="92"/>
      <c r="M190" s="92"/>
      <c r="N190" s="92"/>
      <c r="O190" s="92"/>
      <c r="P190" s="92"/>
      <c r="Q190" s="92"/>
      <c r="R190" s="588">
        <f t="shared" si="57"/>
        <v>0</v>
      </c>
    </row>
    <row r="191" spans="3:18" ht="15.75" customHeight="1" thickBot="1">
      <c r="C191" s="48" t="s">
        <v>543</v>
      </c>
      <c r="D191" s="92"/>
      <c r="E191" s="92"/>
      <c r="F191" s="92"/>
      <c r="G191" s="92"/>
      <c r="H191" s="92"/>
      <c r="I191" s="92"/>
      <c r="J191" s="61">
        <f t="shared" si="58"/>
        <v>0</v>
      </c>
      <c r="L191" s="92"/>
      <c r="M191" s="92"/>
      <c r="N191" s="92"/>
      <c r="O191" s="92"/>
      <c r="P191" s="92"/>
      <c r="Q191" s="92"/>
      <c r="R191" s="588">
        <f t="shared" si="57"/>
        <v>0</v>
      </c>
    </row>
    <row r="192" spans="3:18" ht="15.75" customHeight="1" thickBot="1">
      <c r="C192" s="48" t="s">
        <v>544</v>
      </c>
      <c r="D192" s="92"/>
      <c r="E192" s="92"/>
      <c r="F192" s="92"/>
      <c r="G192" s="92"/>
      <c r="H192" s="92"/>
      <c r="I192" s="92"/>
      <c r="J192" s="61">
        <f t="shared" si="58"/>
        <v>0</v>
      </c>
      <c r="L192" s="92"/>
      <c r="M192" s="92"/>
      <c r="N192" s="92"/>
      <c r="O192" s="92"/>
      <c r="P192" s="92"/>
      <c r="Q192" s="92"/>
      <c r="R192" s="588">
        <f t="shared" si="57"/>
        <v>0</v>
      </c>
    </row>
    <row r="193" spans="3:18" ht="15.75" customHeight="1" thickBot="1">
      <c r="C193" s="53" t="s">
        <v>21</v>
      </c>
      <c r="D193" s="62">
        <f aca="true" t="shared" si="59" ref="D193:I193">SUM(D186:D192)</f>
        <v>0</v>
      </c>
      <c r="E193" s="62">
        <f t="shared" si="59"/>
        <v>0</v>
      </c>
      <c r="F193" s="62">
        <f t="shared" si="59"/>
        <v>0</v>
      </c>
      <c r="G193" s="62">
        <f t="shared" si="59"/>
        <v>0</v>
      </c>
      <c r="H193" s="62">
        <f t="shared" si="59"/>
        <v>0</v>
      </c>
      <c r="I193" s="62">
        <f t="shared" si="59"/>
        <v>0</v>
      </c>
      <c r="J193" s="61">
        <f t="shared" si="58"/>
        <v>0</v>
      </c>
      <c r="L193" s="590">
        <f aca="true" t="shared" si="60" ref="L193:Q193">SUM(L186:L192)</f>
        <v>0</v>
      </c>
      <c r="M193" s="590">
        <f t="shared" si="60"/>
        <v>0</v>
      </c>
      <c r="N193" s="590">
        <f t="shared" si="60"/>
        <v>0</v>
      </c>
      <c r="O193" s="590">
        <f t="shared" si="60"/>
        <v>0</v>
      </c>
      <c r="P193" s="590">
        <f t="shared" si="60"/>
        <v>0</v>
      </c>
      <c r="Q193" s="590">
        <f t="shared" si="60"/>
        <v>0</v>
      </c>
      <c r="R193" s="588">
        <f t="shared" si="57"/>
        <v>0</v>
      </c>
    </row>
    <row r="194" spans="13:17" ht="15.75" customHeight="1">
      <c r="M194" s="52"/>
      <c r="N194" s="52"/>
      <c r="O194" s="52"/>
      <c r="P194" s="52"/>
      <c r="Q194" s="612"/>
    </row>
    <row r="195" spans="3:18" ht="15.75" customHeight="1">
      <c r="C195" s="805" t="s">
        <v>567</v>
      </c>
      <c r="D195" s="806"/>
      <c r="E195" s="806"/>
      <c r="F195" s="806"/>
      <c r="G195" s="806"/>
      <c r="H195" s="806"/>
      <c r="I195" s="806"/>
      <c r="J195" s="807"/>
      <c r="L195" s="793"/>
      <c r="M195" s="793"/>
      <c r="N195" s="793"/>
      <c r="O195" s="793"/>
      <c r="P195" s="793"/>
      <c r="Q195" s="793"/>
      <c r="R195" s="794"/>
    </row>
    <row r="196" spans="3:18" ht="36" customHeight="1" thickBot="1">
      <c r="C196" s="59" t="s">
        <v>568</v>
      </c>
      <c r="D196" s="60">
        <v>494275.7009345794</v>
      </c>
      <c r="E196" s="60">
        <v>215745</v>
      </c>
      <c r="F196" s="60">
        <v>215745</v>
      </c>
      <c r="G196" s="60">
        <v>635529.4463615823</v>
      </c>
      <c r="H196" s="60">
        <v>208862</v>
      </c>
      <c r="I196" s="60">
        <v>222168.1534968847</v>
      </c>
      <c r="J196" s="61">
        <f>SUM(D196:I196)</f>
        <v>1992325.3007930464</v>
      </c>
      <c r="L196" s="587">
        <v>261061.43</v>
      </c>
      <c r="M196" s="587">
        <v>126839.48999999999</v>
      </c>
      <c r="N196" s="587">
        <v>101467.63</v>
      </c>
      <c r="O196" s="587">
        <v>222311.09</v>
      </c>
      <c r="P196" s="587">
        <v>160332.90909090918</v>
      </c>
      <c r="Q196" s="587">
        <v>170148.7476635514</v>
      </c>
      <c r="R196" s="588">
        <f>SUM(L196:Q196)</f>
        <v>1042161.2967544605</v>
      </c>
    </row>
    <row r="197" spans="3:18" ht="15.75" customHeight="1" thickBot="1">
      <c r="C197" s="58" t="s">
        <v>538</v>
      </c>
      <c r="D197" s="90">
        <v>336448.5981308411</v>
      </c>
      <c r="E197" s="90">
        <v>100000</v>
      </c>
      <c r="F197" s="90">
        <v>100000</v>
      </c>
      <c r="G197" s="91">
        <v>368080.435028249</v>
      </c>
      <c r="H197" s="91">
        <v>109407</v>
      </c>
      <c r="I197" s="91">
        <v>91907.0025</v>
      </c>
      <c r="J197" s="61">
        <f aca="true" t="shared" si="61" ref="J197:J203">SUM(D197:I197)</f>
        <v>1105843.03565909</v>
      </c>
      <c r="L197" s="90">
        <v>190486.93</v>
      </c>
      <c r="M197" s="90">
        <v>72646.01</v>
      </c>
      <c r="N197" s="90">
        <v>48824.26</v>
      </c>
      <c r="O197" s="661">
        <v>141902.37</v>
      </c>
      <c r="P197" s="655">
        <v>69556</v>
      </c>
      <c r="Q197" s="655">
        <f>45715.0725+46191.93</f>
        <v>91907.0025</v>
      </c>
      <c r="R197" s="588">
        <f>SUM(L197:Q197)</f>
        <v>615322.5725</v>
      </c>
    </row>
    <row r="198" spans="3:18" ht="15.75" customHeight="1" thickBot="1">
      <c r="C198" s="48" t="s">
        <v>539</v>
      </c>
      <c r="D198" s="92"/>
      <c r="E198" s="18"/>
      <c r="F198" s="18"/>
      <c r="G198" s="18"/>
      <c r="H198" s="18"/>
      <c r="I198" s="18"/>
      <c r="J198" s="61">
        <f t="shared" si="61"/>
        <v>0</v>
      </c>
      <c r="L198" s="92"/>
      <c r="M198" s="92"/>
      <c r="N198" s="18"/>
      <c r="O198" s="18"/>
      <c r="P198" s="609"/>
      <c r="Q198" s="18"/>
      <c r="R198" s="588">
        <f aca="true" t="shared" si="62" ref="R198:R203">SUM(M198:Q198)</f>
        <v>0</v>
      </c>
    </row>
    <row r="199" spans="3:18" ht="15.75" customHeight="1" thickBot="1">
      <c r="C199" s="48" t="s">
        <v>540</v>
      </c>
      <c r="D199" s="92"/>
      <c r="E199" s="92"/>
      <c r="F199" s="92"/>
      <c r="G199" s="92"/>
      <c r="H199" s="92"/>
      <c r="I199" s="92">
        <v>2044</v>
      </c>
      <c r="J199" s="61">
        <f t="shared" si="61"/>
        <v>2044</v>
      </c>
      <c r="L199" s="92"/>
      <c r="M199" s="92"/>
      <c r="N199" s="92"/>
      <c r="O199" s="607">
        <v>10044</v>
      </c>
      <c r="P199" s="607"/>
      <c r="Q199" s="607">
        <f>2044+5000</f>
        <v>7044</v>
      </c>
      <c r="R199" s="588">
        <f>SUM(L199:Q199)</f>
        <v>17088</v>
      </c>
    </row>
    <row r="200" spans="3:18" ht="15.75" customHeight="1" thickBot="1">
      <c r="C200" s="49" t="s">
        <v>541</v>
      </c>
      <c r="D200" s="92"/>
      <c r="E200" s="92"/>
      <c r="F200" s="92"/>
      <c r="G200" s="92"/>
      <c r="H200" s="92"/>
      <c r="I200" s="92"/>
      <c r="J200" s="61">
        <f t="shared" si="61"/>
        <v>0</v>
      </c>
      <c r="L200" s="92"/>
      <c r="M200" s="92"/>
      <c r="N200" s="92"/>
      <c r="O200" s="92"/>
      <c r="P200" s="607"/>
      <c r="Q200" s="92"/>
      <c r="R200" s="588">
        <f t="shared" si="62"/>
        <v>0</v>
      </c>
    </row>
    <row r="201" spans="3:18" ht="15.75" customHeight="1" thickBot="1">
      <c r="C201" s="48" t="s">
        <v>542</v>
      </c>
      <c r="D201" s="92">
        <v>85000</v>
      </c>
      <c r="E201" s="92">
        <v>55500</v>
      </c>
      <c r="F201" s="92">
        <v>55500</v>
      </c>
      <c r="G201" s="92">
        <v>80088</v>
      </c>
      <c r="H201" s="92">
        <v>28955</v>
      </c>
      <c r="I201" s="92">
        <v>30000</v>
      </c>
      <c r="J201" s="61">
        <f t="shared" si="61"/>
        <v>335043</v>
      </c>
      <c r="L201" s="92">
        <v>37807.5</v>
      </c>
      <c r="M201" s="92">
        <v>32305.28</v>
      </c>
      <c r="N201" s="92">
        <v>32305.28</v>
      </c>
      <c r="O201" s="607">
        <v>30000</v>
      </c>
      <c r="P201" s="607">
        <v>15000</v>
      </c>
      <c r="Q201" s="607">
        <f>15000+15000</f>
        <v>30000</v>
      </c>
      <c r="R201" s="588">
        <f t="shared" si="62"/>
        <v>139610.56</v>
      </c>
    </row>
    <row r="202" spans="3:18" ht="15.75" customHeight="1" thickBot="1">
      <c r="C202" s="48" t="s">
        <v>543</v>
      </c>
      <c r="D202" s="92"/>
      <c r="E202" s="92"/>
      <c r="F202" s="92"/>
      <c r="G202" s="92"/>
      <c r="H202" s="92"/>
      <c r="I202" s="92"/>
      <c r="J202" s="61">
        <f t="shared" si="61"/>
        <v>0</v>
      </c>
      <c r="L202" s="92"/>
      <c r="M202" s="92"/>
      <c r="N202" s="92"/>
      <c r="O202" s="92"/>
      <c r="P202" s="607"/>
      <c r="Q202" s="92"/>
      <c r="R202" s="588">
        <f t="shared" si="62"/>
        <v>0</v>
      </c>
    </row>
    <row r="203" spans="3:18" ht="15.75" customHeight="1" thickBot="1">
      <c r="C203" s="48" t="s">
        <v>544</v>
      </c>
      <c r="D203" s="92">
        <v>72827.10280373831</v>
      </c>
      <c r="E203" s="92">
        <v>60245</v>
      </c>
      <c r="F203" s="92">
        <v>60245</v>
      </c>
      <c r="G203" s="92">
        <v>151361.0113333333</v>
      </c>
      <c r="H203" s="92">
        <v>70500</v>
      </c>
      <c r="I203" s="92">
        <v>98217.15099688471</v>
      </c>
      <c r="J203" s="61">
        <f t="shared" si="61"/>
        <v>513395.26513395633</v>
      </c>
      <c r="L203" s="92">
        <v>32767</v>
      </c>
      <c r="M203" s="92">
        <v>21888.2</v>
      </c>
      <c r="N203" s="92">
        <v>20338.09</v>
      </c>
      <c r="O203" s="677">
        <v>177317.0113333333</v>
      </c>
      <c r="P203" s="607">
        <v>63276.90909090918</v>
      </c>
      <c r="Q203" s="607">
        <f>48848.3333333333+44368.8176635514</f>
        <v>93217.15099688471</v>
      </c>
      <c r="R203" s="588">
        <f t="shared" si="62"/>
        <v>376037.3614211272</v>
      </c>
    </row>
    <row r="204" spans="3:18" ht="15.75" customHeight="1">
      <c r="C204" s="53" t="s">
        <v>21</v>
      </c>
      <c r="D204" s="62">
        <f aca="true" t="shared" si="63" ref="D204:I204">SUM(D197:D203)</f>
        <v>494275.7009345794</v>
      </c>
      <c r="E204" s="62">
        <f t="shared" si="63"/>
        <v>215745</v>
      </c>
      <c r="F204" s="62">
        <f t="shared" si="63"/>
        <v>215745</v>
      </c>
      <c r="G204" s="62">
        <f t="shared" si="63"/>
        <v>599529.4463615823</v>
      </c>
      <c r="H204" s="62">
        <f t="shared" si="63"/>
        <v>208862</v>
      </c>
      <c r="I204" s="62">
        <f t="shared" si="63"/>
        <v>222168.1534968847</v>
      </c>
      <c r="J204" s="57">
        <f>SUM(D204:I204)</f>
        <v>1956325.3007930464</v>
      </c>
      <c r="L204" s="590">
        <f aca="true" t="shared" si="64" ref="L204:Q204">SUM(L197:L203)</f>
        <v>261061.43</v>
      </c>
      <c r="M204" s="590">
        <f t="shared" si="64"/>
        <v>126839.48999999999</v>
      </c>
      <c r="N204" s="590">
        <f t="shared" si="64"/>
        <v>101467.63</v>
      </c>
      <c r="O204" s="590">
        <f t="shared" si="64"/>
        <v>359263.3813333333</v>
      </c>
      <c r="P204" s="590">
        <f t="shared" si="64"/>
        <v>147832.90909090918</v>
      </c>
      <c r="Q204" s="590">
        <f t="shared" si="64"/>
        <v>222168.1534968847</v>
      </c>
      <c r="R204" s="591">
        <f>SUM(L204:Q204)</f>
        <v>1218632.9939211272</v>
      </c>
    </row>
    <row r="205" spans="13:17" ht="15.75" customHeight="1" thickBot="1">
      <c r="M205" s="52"/>
      <c r="N205" s="52"/>
      <c r="O205" s="52"/>
      <c r="P205" s="52"/>
      <c r="Q205" s="612"/>
    </row>
    <row r="206" spans="3:18" ht="19.5" customHeight="1" thickBot="1">
      <c r="C206" s="808" t="s">
        <v>534</v>
      </c>
      <c r="D206" s="809"/>
      <c r="E206" s="809"/>
      <c r="F206" s="809"/>
      <c r="G206" s="809"/>
      <c r="H206" s="809"/>
      <c r="I206" s="809"/>
      <c r="J206" s="810"/>
      <c r="L206" s="797"/>
      <c r="M206" s="797"/>
      <c r="N206" s="797"/>
      <c r="O206" s="797"/>
      <c r="P206" s="797"/>
      <c r="Q206" s="797"/>
      <c r="R206" s="798"/>
    </row>
    <row r="207" spans="3:18" ht="42.75" customHeight="1">
      <c r="C207" s="69"/>
      <c r="D207" s="19" t="s">
        <v>524</v>
      </c>
      <c r="E207" s="19" t="s">
        <v>525</v>
      </c>
      <c r="F207" s="19" t="s">
        <v>526</v>
      </c>
      <c r="G207" s="19" t="s">
        <v>620</v>
      </c>
      <c r="H207" s="19" t="s">
        <v>621</v>
      </c>
      <c r="I207" s="19" t="s">
        <v>622</v>
      </c>
      <c r="J207" s="803" t="s">
        <v>534</v>
      </c>
      <c r="L207" s="585" t="s">
        <v>524</v>
      </c>
      <c r="M207" s="585" t="s">
        <v>524</v>
      </c>
      <c r="N207" s="585" t="s">
        <v>525</v>
      </c>
      <c r="O207" s="585" t="s">
        <v>526</v>
      </c>
      <c r="P207" s="585" t="s">
        <v>620</v>
      </c>
      <c r="Q207" s="585" t="s">
        <v>621</v>
      </c>
      <c r="R207" s="795" t="s">
        <v>534</v>
      </c>
    </row>
    <row r="208" spans="3:18" ht="27" customHeight="1">
      <c r="C208" s="136"/>
      <c r="D208" s="676" t="s">
        <v>648</v>
      </c>
      <c r="E208" s="51" t="s">
        <v>649</v>
      </c>
      <c r="F208" s="51" t="s">
        <v>650</v>
      </c>
      <c r="G208" s="51" t="s">
        <v>656</v>
      </c>
      <c r="H208" s="51" t="s">
        <v>657</v>
      </c>
      <c r="I208" s="51" t="s">
        <v>658</v>
      </c>
      <c r="J208" s="804"/>
      <c r="L208" s="675" t="s">
        <v>648</v>
      </c>
      <c r="M208" s="594" t="s">
        <v>649</v>
      </c>
      <c r="N208" s="594" t="s">
        <v>650</v>
      </c>
      <c r="O208" s="594" t="s">
        <v>656</v>
      </c>
      <c r="P208" s="594" t="s">
        <v>658</v>
      </c>
      <c r="Q208" s="594" t="s">
        <v>658</v>
      </c>
      <c r="R208" s="796"/>
    </row>
    <row r="209" spans="3:18" ht="19.5" customHeight="1">
      <c r="C209" s="133" t="s">
        <v>538</v>
      </c>
      <c r="D209" s="70">
        <f>SUM(D186,D175,D164,D153,D141,D130,D119,D108,D96,D85,D74,D63,D51,D40,D29,D18,D197)</f>
        <v>336448.5981308411</v>
      </c>
      <c r="E209" s="70">
        <f aca="true" t="shared" si="65" ref="D209:I215">SUM(E186,E175,E164,E153,E141,E130,E119,E108,E96,E85,E74,E63,E51,E40,E29,E18,E197)</f>
        <v>100000</v>
      </c>
      <c r="F209" s="70">
        <f t="shared" si="65"/>
        <v>100000</v>
      </c>
      <c r="G209" s="555">
        <f t="shared" si="65"/>
        <v>368080.435028249</v>
      </c>
      <c r="H209" s="70">
        <f t="shared" si="65"/>
        <v>109407</v>
      </c>
      <c r="I209" s="70">
        <f t="shared" si="65"/>
        <v>91907.0025</v>
      </c>
      <c r="J209" s="68">
        <f>SUM(D209:I209)</f>
        <v>1105843.03565909</v>
      </c>
      <c r="L209" s="595">
        <f aca="true" t="shared" si="66" ref="L209:Q215">SUM(L186,L175,L164,L153,L141,L130,L119,L108,L96,L85,L74,L63,L51,L40,L29,L18,L197)</f>
        <v>190486.93</v>
      </c>
      <c r="M209" s="595">
        <f>SUM(M186,M175,M164,M153,M141,M130,M119,M108,M96,M85,M74,M63,M51,M40,M29,M18,M197)</f>
        <v>72646.01</v>
      </c>
      <c r="N209" s="595">
        <f t="shared" si="66"/>
        <v>48824.26</v>
      </c>
      <c r="O209" s="596">
        <f t="shared" si="66"/>
        <v>141902.37</v>
      </c>
      <c r="P209" s="596">
        <f t="shared" si="66"/>
        <v>69556</v>
      </c>
      <c r="Q209" s="596">
        <f t="shared" si="66"/>
        <v>111907.0025</v>
      </c>
      <c r="R209" s="597">
        <f aca="true" t="shared" si="67" ref="R209:R217">SUM(L209:Q209)</f>
        <v>635322.5725</v>
      </c>
    </row>
    <row r="210" spans="3:18" ht="34.5" customHeight="1">
      <c r="C210" s="134" t="s">
        <v>539</v>
      </c>
      <c r="D210" s="70">
        <f>SUM(D187,D176,D165,D154,D142,D131,D120,D109,D97,D86,D75,D64,D52,D41,D30,D19,D198)</f>
        <v>89385</v>
      </c>
      <c r="E210" s="70">
        <f t="shared" si="65"/>
        <v>107935</v>
      </c>
      <c r="F210" s="70">
        <f t="shared" si="65"/>
        <v>107935</v>
      </c>
      <c r="G210" s="555">
        <f t="shared" si="65"/>
        <v>84999.64</v>
      </c>
      <c r="H210" s="70">
        <f t="shared" si="65"/>
        <v>44000</v>
      </c>
      <c r="I210" s="70">
        <f t="shared" si="65"/>
        <v>102412.09450436561</v>
      </c>
      <c r="J210" s="68">
        <f aca="true" t="shared" si="68" ref="J210:J216">SUM(D210:I210)</f>
        <v>536666.7345043656</v>
      </c>
      <c r="L210" s="648">
        <f t="shared" si="66"/>
        <v>0</v>
      </c>
      <c r="M210" s="648">
        <f t="shared" si="66"/>
        <v>0</v>
      </c>
      <c r="N210" s="648">
        <f t="shared" si="66"/>
        <v>0</v>
      </c>
      <c r="O210" s="649">
        <f t="shared" si="66"/>
        <v>112239.6</v>
      </c>
      <c r="P210" s="649">
        <f t="shared" si="66"/>
        <v>110865.6</v>
      </c>
      <c r="Q210" s="649">
        <f t="shared" si="66"/>
        <v>152412.09450436558</v>
      </c>
      <c r="R210" s="597">
        <f t="shared" si="67"/>
        <v>375517.2945043656</v>
      </c>
    </row>
    <row r="211" spans="3:18" ht="48" customHeight="1">
      <c r="C211" s="134" t="s">
        <v>540</v>
      </c>
      <c r="D211" s="70">
        <f t="shared" si="65"/>
        <v>0</v>
      </c>
      <c r="E211" s="70">
        <f t="shared" si="65"/>
        <v>0</v>
      </c>
      <c r="F211" s="70">
        <f t="shared" si="65"/>
        <v>0</v>
      </c>
      <c r="G211" s="70">
        <f t="shared" si="65"/>
        <v>0</v>
      </c>
      <c r="H211" s="70">
        <f t="shared" si="65"/>
        <v>0</v>
      </c>
      <c r="I211" s="70">
        <f t="shared" si="65"/>
        <v>2044</v>
      </c>
      <c r="J211" s="68">
        <f t="shared" si="68"/>
        <v>2044</v>
      </c>
      <c r="L211" s="648">
        <f t="shared" si="66"/>
        <v>0</v>
      </c>
      <c r="M211" s="648">
        <f t="shared" si="66"/>
        <v>0</v>
      </c>
      <c r="N211" s="648">
        <f t="shared" si="66"/>
        <v>0</v>
      </c>
      <c r="O211" s="648">
        <f t="shared" si="66"/>
        <v>10044</v>
      </c>
      <c r="P211" s="648">
        <f t="shared" si="66"/>
        <v>0</v>
      </c>
      <c r="Q211" s="648">
        <f t="shared" si="66"/>
        <v>17044</v>
      </c>
      <c r="R211" s="597">
        <f t="shared" si="67"/>
        <v>27088</v>
      </c>
    </row>
    <row r="212" spans="3:18" ht="33" customHeight="1">
      <c r="C212" s="135" t="s">
        <v>541</v>
      </c>
      <c r="D212" s="70">
        <f t="shared" si="65"/>
        <v>28661.5</v>
      </c>
      <c r="E212" s="70">
        <f t="shared" si="65"/>
        <v>33661.5</v>
      </c>
      <c r="F212" s="70">
        <f t="shared" si="65"/>
        <v>33661.5</v>
      </c>
      <c r="G212" s="555">
        <f t="shared" si="65"/>
        <v>230295.26400000002</v>
      </c>
      <c r="H212" s="70">
        <f t="shared" si="65"/>
        <v>217000</v>
      </c>
      <c r="I212" s="70">
        <f t="shared" si="65"/>
        <v>60000</v>
      </c>
      <c r="J212" s="68">
        <f t="shared" si="68"/>
        <v>603279.764</v>
      </c>
      <c r="L212" s="648">
        <f t="shared" si="66"/>
        <v>76140.91</v>
      </c>
      <c r="M212" s="648">
        <f>SUM(M189,M178,M167,M156,M144,M133,M122,M111,M99,M88,M77,M66,M54,M43,M32,M21,M200)</f>
        <v>89857.47</v>
      </c>
      <c r="N212" s="648">
        <f t="shared" si="66"/>
        <v>125035.94</v>
      </c>
      <c r="O212" s="649">
        <f t="shared" si="66"/>
        <v>375518.07</v>
      </c>
      <c r="P212" s="649">
        <f t="shared" si="66"/>
        <v>217000</v>
      </c>
      <c r="Q212" s="649">
        <f t="shared" si="66"/>
        <v>85000</v>
      </c>
      <c r="R212" s="597">
        <f t="shared" si="67"/>
        <v>968552.39</v>
      </c>
    </row>
    <row r="213" spans="3:18" ht="21" customHeight="1">
      <c r="C213" s="134" t="s">
        <v>542</v>
      </c>
      <c r="D213" s="70">
        <f t="shared" si="65"/>
        <v>85000</v>
      </c>
      <c r="E213" s="70">
        <f t="shared" si="65"/>
        <v>55500</v>
      </c>
      <c r="F213" s="70">
        <f t="shared" si="65"/>
        <v>55500</v>
      </c>
      <c r="G213" s="70">
        <f t="shared" si="65"/>
        <v>80088</v>
      </c>
      <c r="H213" s="70">
        <f t="shared" si="65"/>
        <v>28955</v>
      </c>
      <c r="I213" s="70">
        <f t="shared" si="65"/>
        <v>30000</v>
      </c>
      <c r="J213" s="68">
        <f t="shared" si="68"/>
        <v>335043</v>
      </c>
      <c r="L213" s="648">
        <f t="shared" si="66"/>
        <v>37807.5</v>
      </c>
      <c r="M213" s="648">
        <f>SUM(M190,M179,M168,M157,M145,M134,M123,M112,M100,M89,M78,M67,M55,M44,M33,M22,M201)</f>
        <v>32305.28</v>
      </c>
      <c r="N213" s="648">
        <f t="shared" si="66"/>
        <v>32305.28</v>
      </c>
      <c r="O213" s="648">
        <f t="shared" si="66"/>
        <v>30000</v>
      </c>
      <c r="P213" s="648">
        <f t="shared" si="66"/>
        <v>22422</v>
      </c>
      <c r="Q213" s="648">
        <f t="shared" si="66"/>
        <v>65000</v>
      </c>
      <c r="R213" s="597">
        <f t="shared" si="67"/>
        <v>219840.06</v>
      </c>
    </row>
    <row r="214" spans="3:18" ht="39.75" customHeight="1">
      <c r="C214" s="134" t="s">
        <v>543</v>
      </c>
      <c r="D214" s="70">
        <f t="shared" si="65"/>
        <v>226572.62616822426</v>
      </c>
      <c r="E214" s="70">
        <f t="shared" si="65"/>
        <v>65705</v>
      </c>
      <c r="F214" s="70">
        <f t="shared" si="65"/>
        <v>65705</v>
      </c>
      <c r="G214" s="70">
        <f t="shared" si="65"/>
        <v>40000</v>
      </c>
      <c r="H214" s="70">
        <f t="shared" si="65"/>
        <v>37500</v>
      </c>
      <c r="I214" s="70">
        <f t="shared" si="65"/>
        <v>116541.24293785311</v>
      </c>
      <c r="J214" s="68">
        <f t="shared" si="68"/>
        <v>552023.8691060774</v>
      </c>
      <c r="L214" s="648">
        <f t="shared" si="66"/>
        <v>298820.18</v>
      </c>
      <c r="M214" s="648">
        <f t="shared" si="66"/>
        <v>117951.12</v>
      </c>
      <c r="N214" s="648">
        <f t="shared" si="66"/>
        <v>111031.93</v>
      </c>
      <c r="O214" s="648">
        <f t="shared" si="66"/>
        <v>169426.07</v>
      </c>
      <c r="P214" s="648">
        <f t="shared" si="66"/>
        <v>238600</v>
      </c>
      <c r="Q214" s="648">
        <f t="shared" si="66"/>
        <v>231541.2429378531</v>
      </c>
      <c r="R214" s="597">
        <f>SUM(L214:Q214)</f>
        <v>1167370.5429378531</v>
      </c>
    </row>
    <row r="215" spans="3:18" ht="39.75" customHeight="1">
      <c r="C215" s="134" t="s">
        <v>544</v>
      </c>
      <c r="D215" s="119">
        <f t="shared" si="65"/>
        <v>72827.10280373831</v>
      </c>
      <c r="E215" s="119">
        <f t="shared" si="65"/>
        <v>60245</v>
      </c>
      <c r="F215" s="119">
        <f t="shared" si="65"/>
        <v>60245</v>
      </c>
      <c r="G215" s="559">
        <f t="shared" si="65"/>
        <v>214347.8898380062</v>
      </c>
      <c r="H215" s="119">
        <f t="shared" si="65"/>
        <v>115500</v>
      </c>
      <c r="I215" s="119">
        <f t="shared" si="65"/>
        <v>128217.15099688471</v>
      </c>
      <c r="J215" s="68">
        <f t="shared" si="68"/>
        <v>651382.1436386292</v>
      </c>
      <c r="L215" s="650">
        <f t="shared" si="66"/>
        <v>32767</v>
      </c>
      <c r="M215" s="650">
        <f>SUM(M192,M181,M170,M159,M147,M136,M125,M114,M102,M91,M80,M69,M57,M46,M35,M24,M203)</f>
        <v>21888.2</v>
      </c>
      <c r="N215" s="650">
        <f t="shared" si="66"/>
        <v>20338.09</v>
      </c>
      <c r="O215" s="651">
        <f t="shared" si="66"/>
        <v>253893.8898380062</v>
      </c>
      <c r="P215" s="651">
        <f t="shared" si="66"/>
        <v>100148.90909090918</v>
      </c>
      <c r="Q215" s="651">
        <f t="shared" si="66"/>
        <v>178217.1509968847</v>
      </c>
      <c r="R215" s="597">
        <f>SUM(L215:Q215)</f>
        <v>607253.2399258001</v>
      </c>
    </row>
    <row r="216" spans="3:18" ht="22.5" customHeight="1">
      <c r="C216" s="107" t="s">
        <v>522</v>
      </c>
      <c r="D216" s="120">
        <f aca="true" t="shared" si="69" ref="D216:I216">SUM(D209:D215)</f>
        <v>838894.8271028036</v>
      </c>
      <c r="E216" s="120">
        <f t="shared" si="69"/>
        <v>423046.5</v>
      </c>
      <c r="F216" s="120">
        <f t="shared" si="69"/>
        <v>423046.5</v>
      </c>
      <c r="G216" s="556">
        <f t="shared" si="69"/>
        <v>1017811.2288662553</v>
      </c>
      <c r="H216" s="120">
        <f t="shared" si="69"/>
        <v>552362</v>
      </c>
      <c r="I216" s="120">
        <f t="shared" si="69"/>
        <v>531121.4909391034</v>
      </c>
      <c r="J216" s="68">
        <f t="shared" si="68"/>
        <v>3786282.5469081625</v>
      </c>
      <c r="L216" s="598">
        <f aca="true" t="shared" si="70" ref="L216:Q216">SUM(L209:L215)</f>
        <v>636022.52</v>
      </c>
      <c r="M216" s="598">
        <f t="shared" si="70"/>
        <v>334648.08</v>
      </c>
      <c r="N216" s="598">
        <f t="shared" si="70"/>
        <v>337535.50000000006</v>
      </c>
      <c r="O216" s="599">
        <f t="shared" si="70"/>
        <v>1093023.9998380062</v>
      </c>
      <c r="P216" s="599">
        <f t="shared" si="70"/>
        <v>758592.5090909092</v>
      </c>
      <c r="Q216" s="599">
        <f t="shared" si="70"/>
        <v>841121.4909391034</v>
      </c>
      <c r="R216" s="597">
        <f>SUM(L216:Q216)</f>
        <v>4000944.099868019</v>
      </c>
    </row>
    <row r="217" spans="3:18" ht="26.25" customHeight="1" thickBot="1">
      <c r="C217" s="107" t="s">
        <v>523</v>
      </c>
      <c r="D217" s="72">
        <f aca="true" t="shared" si="71" ref="D217:I217">D216*0.07</f>
        <v>58722.63789719626</v>
      </c>
      <c r="E217" s="72">
        <f t="shared" si="71"/>
        <v>29613.255</v>
      </c>
      <c r="F217" s="72">
        <f t="shared" si="71"/>
        <v>29613.255</v>
      </c>
      <c r="G217" s="557">
        <f t="shared" si="71"/>
        <v>71246.78602063787</v>
      </c>
      <c r="H217" s="72">
        <f t="shared" si="71"/>
        <v>38665.340000000004</v>
      </c>
      <c r="I217" s="72">
        <f t="shared" si="71"/>
        <v>37178.504365737244</v>
      </c>
      <c r="J217" s="68">
        <f>SUM(D217:I217)</f>
        <v>265039.77828357136</v>
      </c>
      <c r="L217" s="600">
        <f aca="true" t="shared" si="72" ref="L217:Q217">L216*0.07</f>
        <v>44521.576400000005</v>
      </c>
      <c r="M217" s="600">
        <f t="shared" si="72"/>
        <v>23425.365600000005</v>
      </c>
      <c r="N217" s="600">
        <f t="shared" si="72"/>
        <v>23627.485000000008</v>
      </c>
      <c r="O217" s="601">
        <f t="shared" si="72"/>
        <v>76511.67998866044</v>
      </c>
      <c r="P217" s="601">
        <f t="shared" si="72"/>
        <v>53101.47563636365</v>
      </c>
      <c r="Q217" s="601">
        <f t="shared" si="72"/>
        <v>58878.504365737244</v>
      </c>
      <c r="R217" s="597">
        <f t="shared" si="67"/>
        <v>280066.08699076134</v>
      </c>
    </row>
    <row r="218" spans="3:18" ht="23.25" customHeight="1" thickBot="1">
      <c r="C218" s="121" t="s">
        <v>371</v>
      </c>
      <c r="D218" s="122">
        <f aca="true" t="shared" si="73" ref="D218:J218">SUM(D216:D217)</f>
        <v>897617.4649999999</v>
      </c>
      <c r="E218" s="122">
        <f t="shared" si="73"/>
        <v>452659.755</v>
      </c>
      <c r="F218" s="122">
        <f t="shared" si="73"/>
        <v>452659.755</v>
      </c>
      <c r="G218" s="558">
        <f t="shared" si="73"/>
        <v>1089058.014886893</v>
      </c>
      <c r="H218" s="122">
        <f t="shared" si="73"/>
        <v>591027.34</v>
      </c>
      <c r="I218" s="122">
        <f t="shared" si="73"/>
        <v>568299.9953048406</v>
      </c>
      <c r="J218" s="563">
        <f t="shared" si="73"/>
        <v>4051322.325191734</v>
      </c>
      <c r="L218" s="602">
        <f aca="true" t="shared" si="74" ref="L218:R218">SUM(L216:L217)</f>
        <v>680544.0964</v>
      </c>
      <c r="M218" s="602">
        <f t="shared" si="74"/>
        <v>358073.44560000004</v>
      </c>
      <c r="N218" s="602">
        <f t="shared" si="74"/>
        <v>361162.98500000004</v>
      </c>
      <c r="O218" s="603">
        <f t="shared" si="74"/>
        <v>1169535.6798266666</v>
      </c>
      <c r="P218" s="603">
        <f t="shared" si="74"/>
        <v>811693.9847272728</v>
      </c>
      <c r="Q218" s="603">
        <f t="shared" si="74"/>
        <v>899999.9953048406</v>
      </c>
      <c r="R218" s="603">
        <f t="shared" si="74"/>
        <v>4281010.186858781</v>
      </c>
    </row>
    <row r="219" ht="15.75" customHeight="1">
      <c r="O219" s="54"/>
    </row>
    <row r="220" spans="13:15" ht="15.75" customHeight="1">
      <c r="M220" s="674">
        <v>0</v>
      </c>
      <c r="N220" s="674">
        <v>0</v>
      </c>
      <c r="O220" s="54"/>
    </row>
    <row r="221" ht="15.75" customHeight="1">
      <c r="M221" s="674">
        <f>M220/1.07</f>
        <v>0</v>
      </c>
    </row>
    <row r="222" ht="40.5" customHeight="1">
      <c r="O222" s="55"/>
    </row>
    <row r="223" ht="24.75" customHeight="1">
      <c r="O223" s="55"/>
    </row>
    <row r="224" ht="41.25" customHeight="1">
      <c r="O224" s="55"/>
    </row>
    <row r="225" ht="51.75" customHeight="1">
      <c r="O225" s="55"/>
    </row>
    <row r="226" ht="42" customHeight="1">
      <c r="O226" s="55"/>
    </row>
    <row r="227" spans="3:17" s="52" customFormat="1" ht="42" customHeight="1">
      <c r="C227" s="50"/>
      <c r="J227" s="50"/>
      <c r="K227" s="50"/>
      <c r="M227" s="50"/>
      <c r="N227" s="50"/>
      <c r="O227" s="55"/>
      <c r="P227" s="50"/>
      <c r="Q227" s="612"/>
    </row>
    <row r="228" spans="3:17" s="52" customFormat="1" ht="42" customHeight="1">
      <c r="C228" s="50"/>
      <c r="J228" s="50"/>
      <c r="K228" s="50"/>
      <c r="M228" s="50"/>
      <c r="N228" s="50"/>
      <c r="O228" s="50"/>
      <c r="P228" s="50"/>
      <c r="Q228" s="612"/>
    </row>
    <row r="229" spans="3:17" s="52" customFormat="1" ht="63.75" customHeight="1">
      <c r="C229" s="50"/>
      <c r="J229" s="50"/>
      <c r="K229" s="50"/>
      <c r="M229" s="50"/>
      <c r="N229" s="50"/>
      <c r="O229" s="50"/>
      <c r="P229" s="50"/>
      <c r="Q229" s="612"/>
    </row>
    <row r="230" spans="3:17" s="52" customFormat="1" ht="42" customHeight="1">
      <c r="C230" s="50"/>
      <c r="J230" s="50"/>
      <c r="K230" s="50"/>
      <c r="M230" s="50"/>
      <c r="N230" s="50"/>
      <c r="O230" s="50"/>
      <c r="P230" s="54"/>
      <c r="Q230" s="612"/>
    </row>
    <row r="231" ht="23.25" customHeight="1"/>
    <row r="232" ht="27.75" customHeight="1"/>
    <row r="233" ht="55.5" customHeight="1"/>
    <row r="234" ht="57.75" customHeight="1"/>
    <row r="235" ht="21.75" customHeight="1"/>
    <row r="236" ht="49.5" customHeight="1"/>
    <row r="237" ht="28.5" customHeight="1"/>
    <row r="238" ht="28.5" customHeight="1"/>
    <row r="239" ht="28.5" customHeight="1"/>
    <row r="240" ht="23.25" customHeight="1">
      <c r="Q240" s="613"/>
    </row>
    <row r="241" ht="43.5" customHeight="1">
      <c r="Q241" s="613"/>
    </row>
    <row r="242" ht="55.5" customHeight="1"/>
    <row r="243" ht="42.75" customHeight="1">
      <c r="Q243" s="613"/>
    </row>
    <row r="244" ht="21.75" customHeight="1">
      <c r="Q244" s="613"/>
    </row>
    <row r="245" ht="21.75" customHeight="1">
      <c r="Q245" s="613"/>
    </row>
    <row r="246" ht="23.25" customHeight="1"/>
    <row r="247" ht="23.25" customHeight="1"/>
    <row r="248" ht="21.75" customHeight="1"/>
    <row r="249" ht="16.5" customHeight="1"/>
    <row r="250" ht="29.25" customHeight="1"/>
    <row r="251" ht="24.75" customHeight="1"/>
    <row r="252" ht="33" customHeight="1"/>
    <row r="254" ht="15" customHeight="1"/>
    <row r="255" ht="25.5" customHeight="1"/>
  </sheetData>
  <sheetProtection insertColumns="0" insertRows="0" deleteRows="0"/>
  <mergeCells count="55">
    <mergeCell ref="C5:J5"/>
    <mergeCell ref="C27:J27"/>
    <mergeCell ref="C38:J38"/>
    <mergeCell ref="C49:J49"/>
    <mergeCell ref="R13:R14"/>
    <mergeCell ref="L15:R15"/>
    <mergeCell ref="L16:R16"/>
    <mergeCell ref="L38:R38"/>
    <mergeCell ref="L49:R49"/>
    <mergeCell ref="C6:J8"/>
    <mergeCell ref="C195:J195"/>
    <mergeCell ref="S13:S14"/>
    <mergeCell ref="C94:J94"/>
    <mergeCell ref="B105:J105"/>
    <mergeCell ref="C2:F2"/>
    <mergeCell ref="C10:F10"/>
    <mergeCell ref="B15:J15"/>
    <mergeCell ref="C16:J16"/>
    <mergeCell ref="B60:J60"/>
    <mergeCell ref="J13:J14"/>
    <mergeCell ref="C162:J162"/>
    <mergeCell ref="C61:J61"/>
    <mergeCell ref="C106:J106"/>
    <mergeCell ref="C117:J117"/>
    <mergeCell ref="C128:J128"/>
    <mergeCell ref="C139:J139"/>
    <mergeCell ref="B150:J150"/>
    <mergeCell ref="C151:J151"/>
    <mergeCell ref="C72:J72"/>
    <mergeCell ref="D12:J12"/>
    <mergeCell ref="L12:R12"/>
    <mergeCell ref="L139:R139"/>
    <mergeCell ref="L150:R150"/>
    <mergeCell ref="L151:R151"/>
    <mergeCell ref="J207:J208"/>
    <mergeCell ref="C173:J173"/>
    <mergeCell ref="C184:J184"/>
    <mergeCell ref="C206:J206"/>
    <mergeCell ref="C83:J83"/>
    <mergeCell ref="L184:R184"/>
    <mergeCell ref="L60:R60"/>
    <mergeCell ref="L61:R61"/>
    <mergeCell ref="L106:R106"/>
    <mergeCell ref="L117:R117"/>
    <mergeCell ref="R207:R208"/>
    <mergeCell ref="L128:R128"/>
    <mergeCell ref="L162:R162"/>
    <mergeCell ref="L195:R195"/>
    <mergeCell ref="L206:R206"/>
    <mergeCell ref="L27:R27"/>
    <mergeCell ref="L173:R173"/>
    <mergeCell ref="L94:R94"/>
    <mergeCell ref="L105:R105"/>
    <mergeCell ref="L72:R72"/>
    <mergeCell ref="L83:R83"/>
  </mergeCells>
  <conditionalFormatting sqref="J25">
    <cfRule type="cellIs" priority="33" dxfId="31" operator="notEqual">
      <formula>$J$17</formula>
    </cfRule>
  </conditionalFormatting>
  <conditionalFormatting sqref="J36">
    <cfRule type="cellIs" priority="32" dxfId="31" operator="notEqual">
      <formula>$J$28</formula>
    </cfRule>
  </conditionalFormatting>
  <conditionalFormatting sqref="J47">
    <cfRule type="cellIs" priority="31" dxfId="31" operator="notEqual">
      <formula>$J$39</formula>
    </cfRule>
  </conditionalFormatting>
  <conditionalFormatting sqref="J70">
    <cfRule type="cellIs" priority="29" dxfId="31" operator="notEqual">
      <formula>$J$62</formula>
    </cfRule>
  </conditionalFormatting>
  <conditionalFormatting sqref="J81">
    <cfRule type="cellIs" priority="28" dxfId="31" operator="notEqual">
      <formula>$J$73</formula>
    </cfRule>
  </conditionalFormatting>
  <conditionalFormatting sqref="J92">
    <cfRule type="cellIs" priority="27" dxfId="31" operator="notEqual">
      <formula>$J$84</formula>
    </cfRule>
  </conditionalFormatting>
  <conditionalFormatting sqref="J103">
    <cfRule type="cellIs" priority="26" dxfId="31" operator="notEqual">
      <formula>$J$95</formula>
    </cfRule>
  </conditionalFormatting>
  <conditionalFormatting sqref="J115">
    <cfRule type="cellIs" priority="25" dxfId="31" operator="notEqual">
      <formula>$J$107</formula>
    </cfRule>
  </conditionalFormatting>
  <conditionalFormatting sqref="J126">
    <cfRule type="cellIs" priority="24" dxfId="31" operator="notEqual">
      <formula>$J$118</formula>
    </cfRule>
  </conditionalFormatting>
  <conditionalFormatting sqref="J137">
    <cfRule type="cellIs" priority="23" dxfId="31" operator="notEqual">
      <formula>$J$129</formula>
    </cfRule>
  </conditionalFormatting>
  <conditionalFormatting sqref="J148">
    <cfRule type="cellIs" priority="22" dxfId="31" operator="notEqual">
      <formula>$J$140</formula>
    </cfRule>
  </conditionalFormatting>
  <conditionalFormatting sqref="J204">
    <cfRule type="cellIs" priority="17" dxfId="31" operator="notEqual">
      <formula>$J$196</formula>
    </cfRule>
  </conditionalFormatting>
  <conditionalFormatting sqref="R25">
    <cfRule type="cellIs" priority="15" dxfId="31" operator="notEqual">
      <formula>$R$17</formula>
    </cfRule>
  </conditionalFormatting>
  <conditionalFormatting sqref="R36">
    <cfRule type="cellIs" priority="14" dxfId="31" operator="notEqual">
      <formula>$R$28</formula>
    </cfRule>
  </conditionalFormatting>
  <conditionalFormatting sqref="R47">
    <cfRule type="cellIs" priority="13" dxfId="31" operator="notEqual">
      <formula>$J$39</formula>
    </cfRule>
  </conditionalFormatting>
  <conditionalFormatting sqref="R70">
    <cfRule type="cellIs" priority="12" dxfId="31" operator="notEqual">
      <formula>$R$62</formula>
    </cfRule>
  </conditionalFormatting>
  <conditionalFormatting sqref="R81">
    <cfRule type="cellIs" priority="11" dxfId="31" operator="notEqual">
      <formula>$R$73</formula>
    </cfRule>
  </conditionalFormatting>
  <conditionalFormatting sqref="R92">
    <cfRule type="cellIs" priority="10" dxfId="31" operator="notEqual">
      <formula>$R$84</formula>
    </cfRule>
  </conditionalFormatting>
  <conditionalFormatting sqref="R103">
    <cfRule type="cellIs" priority="9" dxfId="31" operator="notEqual">
      <formula>$R$95</formula>
    </cfRule>
  </conditionalFormatting>
  <conditionalFormatting sqref="R115">
    <cfRule type="cellIs" priority="8" dxfId="31" operator="notEqual">
      <formula>$R$107</formula>
    </cfRule>
  </conditionalFormatting>
  <conditionalFormatting sqref="R137">
    <cfRule type="cellIs" priority="6" dxfId="31" operator="notEqual">
      <formula>$R$129</formula>
    </cfRule>
  </conditionalFormatting>
  <conditionalFormatting sqref="R148">
    <cfRule type="cellIs" priority="5" dxfId="31" operator="notEqual">
      <formula>$R$140</formula>
    </cfRule>
  </conditionalFormatting>
  <conditionalFormatting sqref="R204">
    <cfRule type="cellIs" priority="4" dxfId="31" operator="notEqual">
      <formula>$R$196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2 C24 C35 C46 C57 C69 C80 C91 C102 C114 C125 C136 C147 C159 C170 C181 C203 C21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1 C23 C34 C45 C56 C68 C79 C90 C101 C113 C124 C135 C146 C158 C169 C180 C202 C214"/>
    <dataValidation allowBlank="1" showInputMessage="1" showErrorMessage="1" prompt="Services contracted by an organization which follow the normal procurement processes." sqref="C189 C21 C32 C43 C54 C66 C77 C88 C99 C111 C122 C133 C144 C156 C167 C178 C200 C212"/>
    <dataValidation allowBlank="1" showInputMessage="1" showErrorMessage="1" prompt="Includes staff and non-staff travel paid for by the organization directly related to a project." sqref="C190 C22 C33 C44 C55 C67 C78 C89 C100 C112 C123 C134 C145 C157 C168 C179 C201 C21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8 C20 C31 C42 C53 C65 C76 C87 C98 C110 C121 C132 C143 C155 C166 C177 C199 C21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7 C19 C30 C41 C52 C64 C75 C86 C97 C109 C120 C131 C142 C154 C165 C176 C198 C210"/>
    <dataValidation allowBlank="1" showInputMessage="1" showErrorMessage="1" prompt="Includes all related staff and temporary staff costs including base salary, post adjustment and all staff entitlements." sqref="C186 C18 C29 C40 C51 C63 C74 C85 C96 C108 C119 C130 C141 C153 C164 C175 C197 C209"/>
    <dataValidation allowBlank="1" showInputMessage="1" showErrorMessage="1" prompt="Output totals must match the original total from Table 1, and will show as red if not. " sqref="R25 J25"/>
  </dataValidations>
  <printOptions/>
  <pageMargins left="0.7" right="0.7" top="0.75" bottom="0.75" header="0.3" footer="0.3"/>
  <pageSetup horizontalDpi="600" verticalDpi="600" orientation="landscape" scale="74"/>
  <rowBreaks count="1" manualBreakCount="1">
    <brk id="71" max="255" man="1"/>
  </rowBreaks>
</worksheet>
</file>

<file path=xl/worksheets/sheet6.xml><?xml version="1.0" encoding="utf-8"?>
<worksheet xmlns="http://schemas.openxmlformats.org/spreadsheetml/2006/main" xmlns:r="http://schemas.openxmlformats.org/officeDocument/2006/relationships">
  <sheetPr>
    <tabColor theme="2" tint="-0.4999699890613556"/>
  </sheetPr>
  <dimension ref="B2:B14"/>
  <sheetViews>
    <sheetView showGridLines="0" zoomScalePageLayoutView="0" workbookViewId="0" topLeftCell="A7">
      <selection activeCell="B3" sqref="B3"/>
    </sheetView>
  </sheetViews>
  <sheetFormatPr defaultColWidth="8.8515625" defaultRowHeight="15"/>
  <cols>
    <col min="1" max="1" width="8.8515625" style="0" customWidth="1"/>
    <col min="2" max="2" width="73.421875" style="0" customWidth="1"/>
  </cols>
  <sheetData>
    <row r="1" ht="15" thickBot="1"/>
    <row r="2" ht="15" thickBot="1">
      <c r="B2" s="140" t="s">
        <v>569</v>
      </c>
    </row>
    <row r="3" ht="70.5" customHeight="1">
      <c r="B3" s="141" t="s">
        <v>578</v>
      </c>
    </row>
    <row r="4" ht="57.75">
      <c r="B4" s="138" t="s">
        <v>570</v>
      </c>
    </row>
    <row r="5" ht="14.25">
      <c r="B5" s="138"/>
    </row>
    <row r="6" ht="57.75">
      <c r="B6" s="137" t="s">
        <v>571</v>
      </c>
    </row>
    <row r="7" ht="14.25">
      <c r="B7" s="138"/>
    </row>
    <row r="8" ht="72">
      <c r="B8" s="137" t="s">
        <v>579</v>
      </c>
    </row>
    <row r="9" ht="14.25">
      <c r="B9" s="138"/>
    </row>
    <row r="10" ht="28.5">
      <c r="B10" s="138" t="s">
        <v>572</v>
      </c>
    </row>
    <row r="11" ht="14.25">
      <c r="B11" s="138"/>
    </row>
    <row r="12" ht="72">
      <c r="B12" s="137" t="s">
        <v>580</v>
      </c>
    </row>
    <row r="13" ht="14.25">
      <c r="B13" s="138"/>
    </row>
    <row r="14" ht="58.5" thickBot="1">
      <c r="B14" s="139" t="s">
        <v>573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80" workbookViewId="0" topLeftCell="A1">
      <selection activeCell="G12" sqref="G12"/>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1" ht="15" thickBot="1"/>
    <row r="2" spans="2:4" ht="14.25">
      <c r="B2" s="842" t="s">
        <v>372</v>
      </c>
      <c r="C2" s="843"/>
      <c r="D2" s="844"/>
    </row>
    <row r="3" spans="2:4" ht="15" thickBot="1">
      <c r="B3" s="845"/>
      <c r="C3" s="846"/>
      <c r="D3" s="847"/>
    </row>
    <row r="4" ht="15" thickBot="1"/>
    <row r="5" spans="2:4" ht="14.25">
      <c r="B5" s="833" t="s">
        <v>22</v>
      </c>
      <c r="C5" s="834"/>
      <c r="D5" s="835"/>
    </row>
    <row r="6" spans="2:4" ht="15" thickBot="1">
      <c r="B6" s="836"/>
      <c r="C6" s="837"/>
      <c r="D6" s="838"/>
    </row>
    <row r="7" spans="2:4" ht="14.25">
      <c r="B7" s="79" t="s">
        <v>23</v>
      </c>
      <c r="C7" s="831">
        <v>745143.2289719626</v>
      </c>
      <c r="D7" s="832"/>
    </row>
    <row r="8" spans="2:4" ht="14.25">
      <c r="B8" s="79" t="s">
        <v>370</v>
      </c>
      <c r="C8" s="829">
        <f>SUM(D10:D14)</f>
        <v>0</v>
      </c>
      <c r="D8" s="830"/>
    </row>
    <row r="9" spans="2:4" ht="14.25">
      <c r="B9" s="80" t="s">
        <v>364</v>
      </c>
      <c r="C9" s="81" t="s">
        <v>365</v>
      </c>
      <c r="D9" s="82" t="s">
        <v>366</v>
      </c>
    </row>
    <row r="10" spans="2:4" ht="35.25" customHeight="1">
      <c r="B10" s="100"/>
      <c r="C10" s="84"/>
      <c r="D10" s="85">
        <f>$C$7*C10</f>
        <v>0</v>
      </c>
    </row>
    <row r="11" spans="2:4" ht="35.25" customHeight="1">
      <c r="B11" s="100"/>
      <c r="C11" s="84"/>
      <c r="D11" s="85">
        <f>C7*C11</f>
        <v>0</v>
      </c>
    </row>
    <row r="12" spans="2:4" ht="35.25" customHeight="1">
      <c r="B12" s="101"/>
      <c r="C12" s="84"/>
      <c r="D12" s="85">
        <f>C7*C12</f>
        <v>0</v>
      </c>
    </row>
    <row r="13" spans="2:4" ht="35.25" customHeight="1">
      <c r="B13" s="101"/>
      <c r="C13" s="84"/>
      <c r="D13" s="85">
        <f>C7*C13</f>
        <v>0</v>
      </c>
    </row>
    <row r="14" spans="2:4" ht="35.25" customHeight="1" thickBot="1">
      <c r="B14" s="102"/>
      <c r="C14" s="84"/>
      <c r="D14" s="89">
        <f>C7*C14</f>
        <v>0</v>
      </c>
    </row>
    <row r="15" ht="15" thickBot="1"/>
    <row r="16" spans="2:4" ht="14.25">
      <c r="B16" s="833" t="s">
        <v>367</v>
      </c>
      <c r="C16" s="834"/>
      <c r="D16" s="835"/>
    </row>
    <row r="17" spans="2:4" ht="15" thickBot="1">
      <c r="B17" s="839"/>
      <c r="C17" s="840"/>
      <c r="D17" s="841"/>
    </row>
    <row r="18" spans="2:4" ht="14.25">
      <c r="B18" s="79" t="s">
        <v>23</v>
      </c>
      <c r="C18" s="831">
        <v>945913.5</v>
      </c>
      <c r="D18" s="832"/>
    </row>
    <row r="19" spans="2:4" ht="14.25">
      <c r="B19" s="79" t="s">
        <v>370</v>
      </c>
      <c r="C19" s="829">
        <f>SUM(D21:D25)</f>
        <v>0</v>
      </c>
      <c r="D19" s="830"/>
    </row>
    <row r="20" spans="2:4" ht="14.25">
      <c r="B20" s="80" t="s">
        <v>364</v>
      </c>
      <c r="C20" s="81" t="s">
        <v>365</v>
      </c>
      <c r="D20" s="82" t="s">
        <v>366</v>
      </c>
    </row>
    <row r="21" spans="2:4" ht="35.25" customHeight="1">
      <c r="B21" s="83"/>
      <c r="C21" s="84"/>
      <c r="D21" s="85">
        <f>$C$18*C21</f>
        <v>0</v>
      </c>
    </row>
    <row r="22" spans="2:4" ht="35.25" customHeight="1">
      <c r="B22" s="86"/>
      <c r="C22" s="84"/>
      <c r="D22" s="85">
        <f>$C$18*C22</f>
        <v>0</v>
      </c>
    </row>
    <row r="23" spans="2:4" ht="35.25" customHeight="1">
      <c r="B23" s="87"/>
      <c r="C23" s="84"/>
      <c r="D23" s="85">
        <f>$C$18*C23</f>
        <v>0</v>
      </c>
    </row>
    <row r="24" spans="2:4" ht="35.25" customHeight="1">
      <c r="B24" s="87"/>
      <c r="C24" s="84"/>
      <c r="D24" s="85">
        <f>$C$18*C24</f>
        <v>0</v>
      </c>
    </row>
    <row r="25" spans="2:4" ht="35.25" customHeight="1" thickBot="1">
      <c r="B25" s="88"/>
      <c r="C25" s="84"/>
      <c r="D25" s="85">
        <f>$C$18*C25</f>
        <v>0</v>
      </c>
    </row>
    <row r="26" ht="15" thickBot="1"/>
    <row r="27" spans="2:4" ht="14.25">
      <c r="B27" s="833" t="s">
        <v>368</v>
      </c>
      <c r="C27" s="834"/>
      <c r="D27" s="835"/>
    </row>
    <row r="28" spans="2:4" ht="15" thickBot="1">
      <c r="B28" s="836"/>
      <c r="C28" s="837"/>
      <c r="D28" s="838"/>
    </row>
    <row r="29" spans="2:4" ht="14.25">
      <c r="B29" s="79" t="s">
        <v>23</v>
      </c>
      <c r="C29" s="831">
        <v>0</v>
      </c>
      <c r="D29" s="832"/>
    </row>
    <row r="30" spans="2:4" ht="14.25">
      <c r="B30" s="79" t="s">
        <v>370</v>
      </c>
      <c r="C30" s="829">
        <f>SUM(D32:D36)</f>
        <v>0</v>
      </c>
      <c r="D30" s="830"/>
    </row>
    <row r="31" spans="2:4" ht="14.25">
      <c r="B31" s="80" t="s">
        <v>364</v>
      </c>
      <c r="C31" s="81" t="s">
        <v>365</v>
      </c>
      <c r="D31" s="82" t="s">
        <v>366</v>
      </c>
    </row>
    <row r="32" spans="2:4" ht="35.25" customHeight="1">
      <c r="B32" s="83"/>
      <c r="C32" s="84"/>
      <c r="D32" s="85">
        <f>$C$29*C32</f>
        <v>0</v>
      </c>
    </row>
    <row r="33" spans="2:4" ht="35.25" customHeight="1">
      <c r="B33" s="86"/>
      <c r="C33" s="84"/>
      <c r="D33" s="85">
        <f>$C$29*C33</f>
        <v>0</v>
      </c>
    </row>
    <row r="34" spans="2:4" ht="35.25" customHeight="1">
      <c r="B34" s="87"/>
      <c r="C34" s="84"/>
      <c r="D34" s="85">
        <f>$C$29*C34</f>
        <v>0</v>
      </c>
    </row>
    <row r="35" spans="2:4" ht="35.25" customHeight="1">
      <c r="B35" s="87"/>
      <c r="C35" s="84"/>
      <c r="D35" s="85">
        <f>$C$29*C35</f>
        <v>0</v>
      </c>
    </row>
    <row r="36" spans="2:4" ht="35.25" customHeight="1" thickBot="1">
      <c r="B36" s="88"/>
      <c r="C36" s="84"/>
      <c r="D36" s="85">
        <f>$C$29*C36</f>
        <v>0</v>
      </c>
    </row>
    <row r="37" ht="15" thickBot="1"/>
    <row r="38" spans="2:4" ht="14.25">
      <c r="B38" s="833" t="s">
        <v>369</v>
      </c>
      <c r="C38" s="834"/>
      <c r="D38" s="835"/>
    </row>
    <row r="39" spans="2:4" ht="15" thickBot="1">
      <c r="B39" s="836"/>
      <c r="C39" s="837"/>
      <c r="D39" s="838"/>
    </row>
    <row r="40" spans="2:4" ht="14.25">
      <c r="B40" s="79" t="s">
        <v>23</v>
      </c>
      <c r="C40" s="831">
        <v>0</v>
      </c>
      <c r="D40" s="832"/>
    </row>
    <row r="41" spans="2:4" ht="14.25">
      <c r="B41" s="79" t="s">
        <v>370</v>
      </c>
      <c r="C41" s="829">
        <f>SUM(D43:D47)</f>
        <v>0</v>
      </c>
      <c r="D41" s="830"/>
    </row>
    <row r="42" spans="2:4" ht="14.25">
      <c r="B42" s="80" t="s">
        <v>364</v>
      </c>
      <c r="C42" s="81" t="s">
        <v>365</v>
      </c>
      <c r="D42" s="82" t="s">
        <v>366</v>
      </c>
    </row>
    <row r="43" spans="2:4" ht="35.25" customHeight="1">
      <c r="B43" s="83"/>
      <c r="C43" s="84"/>
      <c r="D43" s="85">
        <f>$C$40*C43</f>
        <v>0</v>
      </c>
    </row>
    <row r="44" spans="2:4" ht="35.25" customHeight="1">
      <c r="B44" s="86"/>
      <c r="C44" s="84"/>
      <c r="D44" s="85">
        <f>$C$40*C44</f>
        <v>0</v>
      </c>
    </row>
    <row r="45" spans="2:4" ht="35.25" customHeight="1">
      <c r="B45" s="87"/>
      <c r="C45" s="84"/>
      <c r="D45" s="85">
        <f>$C$40*C45</f>
        <v>0</v>
      </c>
    </row>
    <row r="46" spans="2:4" ht="35.25" customHeight="1">
      <c r="B46" s="87"/>
      <c r="C46" s="84"/>
      <c r="D46" s="85">
        <f>$C$40*C46</f>
        <v>0</v>
      </c>
    </row>
    <row r="47" spans="2:4" ht="35.25" customHeight="1" thickBot="1">
      <c r="B47" s="88"/>
      <c r="C47" s="84"/>
      <c r="D47" s="89">
        <f>$C$40*C47</f>
        <v>0</v>
      </c>
    </row>
  </sheetData>
  <sheetProtection/>
  <mergeCells count="17">
    <mergeCell ref="B17:D17"/>
    <mergeCell ref="C18:D18"/>
    <mergeCell ref="B2:D3"/>
    <mergeCell ref="C7:D7"/>
    <mergeCell ref="B6:D6"/>
    <mergeCell ref="B5:D5"/>
    <mergeCell ref="C8:D8"/>
    <mergeCell ref="B16:D16"/>
    <mergeCell ref="C41:D41"/>
    <mergeCell ref="C29:D29"/>
    <mergeCell ref="B38:D38"/>
    <mergeCell ref="B39:D39"/>
    <mergeCell ref="C40:D40"/>
    <mergeCell ref="C19:D19"/>
    <mergeCell ref="B27:D27"/>
    <mergeCell ref="B28:D28"/>
    <mergeCell ref="C30:D30"/>
  </mergeCells>
  <conditionalFormatting sqref="C30:D30">
    <cfRule type="cellIs" priority="2" dxfId="31" operator="greaterThan">
      <formula>$C$29</formula>
    </cfRule>
    <cfRule type="cellIs" priority="5" dxfId="31" operator="greaterThan">
      <formula>$C$29</formula>
    </cfRule>
  </conditionalFormatting>
  <conditionalFormatting sqref="C8:D8">
    <cfRule type="cellIs" priority="4" dxfId="31" operator="greaterThan">
      <formula>$C$7</formula>
    </cfRule>
  </conditionalFormatting>
  <conditionalFormatting sqref="C19:D19">
    <cfRule type="cellIs" priority="3" dxfId="31" operator="greaterThan">
      <formula>$C$18</formula>
    </cfRule>
  </conditionalFormatting>
  <conditionalFormatting sqref="C41:D41">
    <cfRule type="cellIs" priority="1" dxfId="31" operator="greaterThan">
      <formula>$C$40</formula>
    </cfRule>
  </conditionalFormatting>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sheetPr>
    <tabColor theme="2" tint="-0.4999699890613556"/>
  </sheetPr>
  <dimension ref="B2:V27"/>
  <sheetViews>
    <sheetView showGridLines="0" zoomScale="85" zoomScaleNormal="85" zoomScalePageLayoutView="85" workbookViewId="0" topLeftCell="B5">
      <pane xSplit="1" ySplit="3" topLeftCell="J8" activePane="bottomRight" state="frozen"/>
      <selection pane="topLeft" activeCell="B5" sqref="B5"/>
      <selection pane="topRight" activeCell="C5" sqref="C5"/>
      <selection pane="bottomLeft" activeCell="B8" sqref="B8"/>
      <selection pane="bottomRight" activeCell="A13" sqref="A13"/>
    </sheetView>
  </sheetViews>
  <sheetFormatPr defaultColWidth="8.8515625" defaultRowHeight="15"/>
  <cols>
    <col min="1" max="1" width="12.421875" style="0" customWidth="1"/>
    <col min="2" max="2" width="22.8515625" style="0" customWidth="1"/>
    <col min="3" max="8" width="25.421875" style="0" customWidth="1"/>
    <col min="9" max="9" width="24.421875" style="0" customWidth="1"/>
    <col min="10" max="10" width="18.421875" style="0" customWidth="1"/>
    <col min="11" max="11" width="23.8515625" style="0" customWidth="1"/>
    <col min="12" max="18" width="25.421875" style="0" customWidth="1"/>
    <col min="19" max="21" width="8.8515625" style="0" customWidth="1"/>
    <col min="22" max="22" width="13.57421875" style="0" customWidth="1"/>
  </cols>
  <sheetData>
    <row r="1" ht="15" thickBot="1"/>
    <row r="2" spans="2:18" s="73" customFormat="1" ht="15">
      <c r="B2" s="855" t="s">
        <v>14</v>
      </c>
      <c r="C2" s="856"/>
      <c r="D2" s="856"/>
      <c r="E2" s="856"/>
      <c r="F2" s="856"/>
      <c r="G2" s="856"/>
      <c r="H2" s="856"/>
      <c r="I2" s="857"/>
      <c r="K2" s="861" t="s">
        <v>14</v>
      </c>
      <c r="L2" s="862"/>
      <c r="M2" s="862"/>
      <c r="N2" s="862"/>
      <c r="O2" s="862"/>
      <c r="P2" s="862"/>
      <c r="Q2" s="862"/>
      <c r="R2" s="863"/>
    </row>
    <row r="3" spans="2:18" s="73" customFormat="1" ht="15.75" thickBot="1">
      <c r="B3" s="858"/>
      <c r="C3" s="859"/>
      <c r="D3" s="859"/>
      <c r="E3" s="859"/>
      <c r="F3" s="859"/>
      <c r="G3" s="859"/>
      <c r="H3" s="859"/>
      <c r="I3" s="860"/>
      <c r="K3" s="864"/>
      <c r="L3" s="865"/>
      <c r="M3" s="865"/>
      <c r="N3" s="865"/>
      <c r="O3" s="865"/>
      <c r="P3" s="865"/>
      <c r="Q3" s="865"/>
      <c r="R3" s="866"/>
    </row>
    <row r="4" s="73" customFormat="1" ht="15.75" thickBot="1"/>
    <row r="5" spans="2:18" s="73" customFormat="1" ht="24.75" thickBot="1">
      <c r="B5" s="852" t="s">
        <v>947</v>
      </c>
      <c r="C5" s="853"/>
      <c r="D5" s="853"/>
      <c r="E5" s="853"/>
      <c r="F5" s="853"/>
      <c r="G5" s="853"/>
      <c r="H5" s="853"/>
      <c r="I5" s="854"/>
      <c r="K5" s="867" t="s">
        <v>885</v>
      </c>
      <c r="L5" s="868"/>
      <c r="M5" s="868"/>
      <c r="N5" s="868"/>
      <c r="O5" s="868"/>
      <c r="P5" s="868"/>
      <c r="Q5" s="868"/>
      <c r="R5" s="869"/>
    </row>
    <row r="6" spans="2:18" s="73" customFormat="1" ht="15">
      <c r="B6" s="69"/>
      <c r="C6" s="56" t="s">
        <v>12</v>
      </c>
      <c r="D6" s="56" t="s">
        <v>15</v>
      </c>
      <c r="E6" s="56" t="s">
        <v>16</v>
      </c>
      <c r="F6" s="56" t="s">
        <v>623</v>
      </c>
      <c r="G6" s="56" t="s">
        <v>624</v>
      </c>
      <c r="H6" s="56" t="s">
        <v>625</v>
      </c>
      <c r="I6" s="803" t="s">
        <v>7</v>
      </c>
      <c r="K6" s="616"/>
      <c r="L6" s="617" t="s">
        <v>12</v>
      </c>
      <c r="M6" s="617" t="s">
        <v>15</v>
      </c>
      <c r="N6" s="617" t="s">
        <v>16</v>
      </c>
      <c r="O6" s="617" t="s">
        <v>623</v>
      </c>
      <c r="P6" s="617" t="s">
        <v>624</v>
      </c>
      <c r="Q6" s="617" t="s">
        <v>625</v>
      </c>
      <c r="R6" s="795" t="s">
        <v>7</v>
      </c>
    </row>
    <row r="7" spans="2:18" s="73" customFormat="1" ht="15">
      <c r="B7" s="69"/>
      <c r="C7" s="51" t="s">
        <v>648</v>
      </c>
      <c r="D7" s="51" t="s">
        <v>649</v>
      </c>
      <c r="E7" s="51" t="s">
        <v>650</v>
      </c>
      <c r="F7" s="51" t="s">
        <v>656</v>
      </c>
      <c r="G7" s="51" t="s">
        <v>657</v>
      </c>
      <c r="H7" s="51" t="s">
        <v>658</v>
      </c>
      <c r="I7" s="804"/>
      <c r="K7" s="616"/>
      <c r="L7" s="594" t="s">
        <v>648</v>
      </c>
      <c r="M7" s="594" t="s">
        <v>649</v>
      </c>
      <c r="N7" s="594" t="s">
        <v>650</v>
      </c>
      <c r="O7" s="594" t="s">
        <v>656</v>
      </c>
      <c r="P7" s="594" t="s">
        <v>657</v>
      </c>
      <c r="Q7" s="594" t="s">
        <v>658</v>
      </c>
      <c r="R7" s="796"/>
    </row>
    <row r="8" spans="2:22" s="73" customFormat="1" ht="30.75">
      <c r="B8" s="20" t="s">
        <v>0</v>
      </c>
      <c r="C8" s="70">
        <v>336448.5981308411</v>
      </c>
      <c r="D8" s="70">
        <v>100000</v>
      </c>
      <c r="E8" s="70">
        <v>100000</v>
      </c>
      <c r="F8" s="555">
        <v>368080.435028249</v>
      </c>
      <c r="G8" s="70">
        <v>109407</v>
      </c>
      <c r="H8" s="70">
        <v>91907.0025</v>
      </c>
      <c r="I8" s="564">
        <f>SUM(C8:H8)</f>
        <v>1105843.03565909</v>
      </c>
      <c r="K8" s="618" t="s">
        <v>0</v>
      </c>
      <c r="L8" s="596">
        <v>190486.93</v>
      </c>
      <c r="M8" s="596">
        <v>72646.01</v>
      </c>
      <c r="N8" s="596">
        <v>48824.26</v>
      </c>
      <c r="O8" s="596">
        <v>141902.37</v>
      </c>
      <c r="P8" s="596">
        <v>69556</v>
      </c>
      <c r="Q8" s="596">
        <v>111907.0025</v>
      </c>
      <c r="R8" s="619">
        <f>SUM(L8:Q8)</f>
        <v>635322.5725</v>
      </c>
      <c r="V8" s="673"/>
    </row>
    <row r="9" spans="2:18" s="73" customFormat="1" ht="46.5">
      <c r="B9" s="20" t="s">
        <v>1</v>
      </c>
      <c r="C9" s="70">
        <v>89385</v>
      </c>
      <c r="D9" s="70">
        <v>107935</v>
      </c>
      <c r="E9" s="70">
        <v>107935</v>
      </c>
      <c r="F9" s="555">
        <v>84999.64</v>
      </c>
      <c r="G9" s="70">
        <v>44000</v>
      </c>
      <c r="H9" s="70">
        <v>102412.09450436561</v>
      </c>
      <c r="I9" s="564">
        <f aca="true" t="shared" si="0" ref="I9:I15">SUM(C9:H9)</f>
        <v>536666.7345043656</v>
      </c>
      <c r="K9" s="618" t="s">
        <v>1</v>
      </c>
      <c r="L9" s="596">
        <v>0</v>
      </c>
      <c r="M9" s="596">
        <v>0</v>
      </c>
      <c r="N9" s="596">
        <v>0</v>
      </c>
      <c r="O9" s="596">
        <v>112239.6</v>
      </c>
      <c r="P9" s="596">
        <v>110865.6</v>
      </c>
      <c r="Q9" s="596">
        <v>152412.09450436558</v>
      </c>
      <c r="R9" s="619">
        <f aca="true" t="shared" si="1" ref="R9:R17">SUM(L9:Q9)</f>
        <v>375517.2945043656</v>
      </c>
    </row>
    <row r="10" spans="2:22" s="73" customFormat="1" ht="46.5">
      <c r="B10" s="20" t="s">
        <v>2</v>
      </c>
      <c r="C10" s="70">
        <v>0</v>
      </c>
      <c r="D10" s="70">
        <v>0</v>
      </c>
      <c r="E10" s="70">
        <v>0</v>
      </c>
      <c r="F10" s="70">
        <v>0</v>
      </c>
      <c r="G10" s="70">
        <v>0</v>
      </c>
      <c r="H10" s="70">
        <v>2044</v>
      </c>
      <c r="I10" s="564">
        <f t="shared" si="0"/>
        <v>2044</v>
      </c>
      <c r="K10" s="618" t="s">
        <v>2</v>
      </c>
      <c r="L10" s="596">
        <v>0</v>
      </c>
      <c r="M10" s="596">
        <v>0</v>
      </c>
      <c r="N10" s="596">
        <v>0</v>
      </c>
      <c r="O10" s="596">
        <v>10044</v>
      </c>
      <c r="P10" s="596">
        <v>0</v>
      </c>
      <c r="Q10" s="596">
        <v>17044</v>
      </c>
      <c r="R10" s="619">
        <f t="shared" si="1"/>
        <v>27088</v>
      </c>
      <c r="V10" s="673"/>
    </row>
    <row r="11" spans="2:18" s="73" customFormat="1" ht="15">
      <c r="B11" s="33" t="s">
        <v>3</v>
      </c>
      <c r="C11" s="70">
        <v>28661.5</v>
      </c>
      <c r="D11" s="70">
        <v>33661.5</v>
      </c>
      <c r="E11" s="70">
        <v>33661.5</v>
      </c>
      <c r="F11" s="555">
        <v>230295.26400000002</v>
      </c>
      <c r="G11" s="70">
        <v>217000</v>
      </c>
      <c r="H11" s="70">
        <v>60000</v>
      </c>
      <c r="I11" s="564">
        <f t="shared" si="0"/>
        <v>603279.764</v>
      </c>
      <c r="K11" s="620" t="s">
        <v>3</v>
      </c>
      <c r="L11" s="596">
        <v>76140.91</v>
      </c>
      <c r="M11" s="596">
        <v>89857.47</v>
      </c>
      <c r="N11" s="596">
        <v>125035.94</v>
      </c>
      <c r="O11" s="596">
        <v>375518.07</v>
      </c>
      <c r="P11" s="596">
        <v>217000</v>
      </c>
      <c r="Q11" s="596">
        <v>85000</v>
      </c>
      <c r="R11" s="619">
        <f t="shared" si="1"/>
        <v>968552.39</v>
      </c>
    </row>
    <row r="12" spans="2:18" s="73" customFormat="1" ht="15">
      <c r="B12" s="20" t="s">
        <v>6</v>
      </c>
      <c r="C12" s="70">
        <v>85000</v>
      </c>
      <c r="D12" s="70">
        <v>55500</v>
      </c>
      <c r="E12" s="70">
        <v>55500</v>
      </c>
      <c r="F12" s="70">
        <v>80088</v>
      </c>
      <c r="G12" s="70">
        <v>28955</v>
      </c>
      <c r="H12" s="70">
        <v>30000</v>
      </c>
      <c r="I12" s="564">
        <f t="shared" si="0"/>
        <v>335043</v>
      </c>
      <c r="K12" s="618" t="s">
        <v>6</v>
      </c>
      <c r="L12" s="596">
        <v>37807.5</v>
      </c>
      <c r="M12" s="596">
        <v>32305.28</v>
      </c>
      <c r="N12" s="596">
        <v>32305.28</v>
      </c>
      <c r="O12" s="596">
        <v>30000</v>
      </c>
      <c r="P12" s="596">
        <v>22422</v>
      </c>
      <c r="Q12" s="596">
        <v>65000</v>
      </c>
      <c r="R12" s="619">
        <f t="shared" si="1"/>
        <v>219840.06</v>
      </c>
    </row>
    <row r="13" spans="2:18" s="73" customFormat="1" ht="30.75">
      <c r="B13" s="20" t="s">
        <v>4</v>
      </c>
      <c r="C13" s="70">
        <v>226572.62616822426</v>
      </c>
      <c r="D13" s="70">
        <v>65705</v>
      </c>
      <c r="E13" s="70">
        <v>65705</v>
      </c>
      <c r="F13" s="70">
        <v>40000</v>
      </c>
      <c r="G13" s="70">
        <v>37500</v>
      </c>
      <c r="H13" s="70">
        <v>116541.24293785311</v>
      </c>
      <c r="I13" s="564">
        <f t="shared" si="0"/>
        <v>552023.8691060774</v>
      </c>
      <c r="K13" s="618" t="s">
        <v>4</v>
      </c>
      <c r="L13" s="596">
        <v>298820.18</v>
      </c>
      <c r="M13" s="596">
        <v>117951.12</v>
      </c>
      <c r="N13" s="596">
        <v>111031.93</v>
      </c>
      <c r="O13" s="596">
        <v>169426.07</v>
      </c>
      <c r="P13" s="596">
        <v>238600</v>
      </c>
      <c r="Q13" s="596">
        <v>231541.2429378531</v>
      </c>
      <c r="R13" s="619">
        <f t="shared" si="1"/>
        <v>1167370.5429378531</v>
      </c>
    </row>
    <row r="14" spans="2:22" s="73" customFormat="1" ht="31.5" thickBot="1">
      <c r="B14" s="32" t="s">
        <v>20</v>
      </c>
      <c r="C14" s="72">
        <v>72827.10280373831</v>
      </c>
      <c r="D14" s="72">
        <v>60245</v>
      </c>
      <c r="E14" s="72">
        <v>60245</v>
      </c>
      <c r="F14" s="72">
        <v>214347.8898380062</v>
      </c>
      <c r="G14" s="72">
        <v>115500</v>
      </c>
      <c r="H14" s="72">
        <v>128217.15099688471</v>
      </c>
      <c r="I14" s="564">
        <f t="shared" si="0"/>
        <v>651382.1436386292</v>
      </c>
      <c r="K14" s="621" t="s">
        <v>20</v>
      </c>
      <c r="L14" s="596">
        <v>32767</v>
      </c>
      <c r="M14" s="596">
        <v>21888.2</v>
      </c>
      <c r="N14" s="596">
        <v>20338.09</v>
      </c>
      <c r="O14" s="596">
        <v>253893.8898380062</v>
      </c>
      <c r="P14" s="596">
        <v>100148.90909090918</v>
      </c>
      <c r="Q14" s="596">
        <v>178217.1509968847</v>
      </c>
      <c r="R14" s="619">
        <f t="shared" si="1"/>
        <v>607253.2399258001</v>
      </c>
      <c r="V14" s="673"/>
    </row>
    <row r="15" spans="2:18" s="73" customFormat="1" ht="30" customHeight="1" thickBot="1">
      <c r="B15" s="148" t="s">
        <v>660</v>
      </c>
      <c r="C15" s="71">
        <f aca="true" t="shared" si="2" ref="C15:H15">SUM(C8:C14)</f>
        <v>838894.8271028036</v>
      </c>
      <c r="D15" s="71">
        <f t="shared" si="2"/>
        <v>423046.5</v>
      </c>
      <c r="E15" s="71">
        <f t="shared" si="2"/>
        <v>423046.5</v>
      </c>
      <c r="F15" s="551">
        <f t="shared" si="2"/>
        <v>1017811.2288662553</v>
      </c>
      <c r="G15" s="71">
        <f t="shared" si="2"/>
        <v>552362</v>
      </c>
      <c r="H15" s="71">
        <f t="shared" si="2"/>
        <v>531121.4909391034</v>
      </c>
      <c r="I15" s="564">
        <f t="shared" si="0"/>
        <v>3786282.5469081625</v>
      </c>
      <c r="K15" s="622" t="s">
        <v>660</v>
      </c>
      <c r="L15" s="623">
        <f aca="true" t="shared" si="3" ref="L15:Q15">SUM(L8:L14)</f>
        <v>636022.52</v>
      </c>
      <c r="M15" s="623">
        <f t="shared" si="3"/>
        <v>334648.08</v>
      </c>
      <c r="N15" s="623">
        <f t="shared" si="3"/>
        <v>337535.50000000006</v>
      </c>
      <c r="O15" s="623">
        <f t="shared" si="3"/>
        <v>1093023.9998380062</v>
      </c>
      <c r="P15" s="623">
        <f t="shared" si="3"/>
        <v>758592.5090909092</v>
      </c>
      <c r="Q15" s="623">
        <f t="shared" si="3"/>
        <v>841121.4909391034</v>
      </c>
      <c r="R15" s="619">
        <f t="shared" si="1"/>
        <v>4000944.099868019</v>
      </c>
    </row>
    <row r="16" spans="2:18" s="73" customFormat="1" ht="30" customHeight="1" thickBot="1">
      <c r="B16" s="149" t="s">
        <v>661</v>
      </c>
      <c r="C16" s="150">
        <f aca="true" t="shared" si="4" ref="C16:H16">C15*7%</f>
        <v>58722.63789719626</v>
      </c>
      <c r="D16" s="150">
        <f t="shared" si="4"/>
        <v>29613.255</v>
      </c>
      <c r="E16" s="150">
        <f t="shared" si="4"/>
        <v>29613.255</v>
      </c>
      <c r="F16" s="552">
        <f t="shared" si="4"/>
        <v>71246.78602063787</v>
      </c>
      <c r="G16" s="150">
        <f t="shared" si="4"/>
        <v>38665.340000000004</v>
      </c>
      <c r="H16" s="150">
        <f t="shared" si="4"/>
        <v>37178.504365737244</v>
      </c>
      <c r="I16" s="565">
        <f>SUM(C16:H16)</f>
        <v>265039.77828357136</v>
      </c>
      <c r="K16" s="624" t="s">
        <v>661</v>
      </c>
      <c r="L16" s="625">
        <f aca="true" t="shared" si="5" ref="L16:Q16">L15*7%</f>
        <v>44521.576400000005</v>
      </c>
      <c r="M16" s="625">
        <f t="shared" si="5"/>
        <v>23425.365600000005</v>
      </c>
      <c r="N16" s="625">
        <f t="shared" si="5"/>
        <v>23627.485000000008</v>
      </c>
      <c r="O16" s="625">
        <f t="shared" si="5"/>
        <v>76511.67998866044</v>
      </c>
      <c r="P16" s="625">
        <f t="shared" si="5"/>
        <v>53101.47563636365</v>
      </c>
      <c r="Q16" s="625">
        <f t="shared" si="5"/>
        <v>58878.504365737244</v>
      </c>
      <c r="R16" s="626">
        <f t="shared" si="1"/>
        <v>280066.08699076134</v>
      </c>
    </row>
    <row r="17" spans="2:18" s="73" customFormat="1" ht="30" customHeight="1" thickBot="1">
      <c r="B17" s="148" t="s">
        <v>13</v>
      </c>
      <c r="C17" s="71">
        <f aca="true" t="shared" si="6" ref="C17:H17">SUM(C15:C16)</f>
        <v>897617.4649999999</v>
      </c>
      <c r="D17" s="71">
        <f t="shared" si="6"/>
        <v>452659.755</v>
      </c>
      <c r="E17" s="71">
        <f t="shared" si="6"/>
        <v>452659.755</v>
      </c>
      <c r="F17" s="551">
        <f t="shared" si="6"/>
        <v>1089058.014886893</v>
      </c>
      <c r="G17" s="71">
        <f t="shared" si="6"/>
        <v>591027.34</v>
      </c>
      <c r="H17" s="71">
        <f t="shared" si="6"/>
        <v>568299.9953048406</v>
      </c>
      <c r="I17" s="564">
        <f>SUM(C17:H17)</f>
        <v>4051322.3251917334</v>
      </c>
      <c r="K17" s="622" t="s">
        <v>13</v>
      </c>
      <c r="L17" s="623">
        <f aca="true" t="shared" si="7" ref="L17:Q17">SUM(L15:L16)</f>
        <v>680544.0964</v>
      </c>
      <c r="M17" s="623">
        <f t="shared" si="7"/>
        <v>358073.44560000004</v>
      </c>
      <c r="N17" s="623">
        <f t="shared" si="7"/>
        <v>361162.98500000004</v>
      </c>
      <c r="O17" s="623">
        <f t="shared" si="7"/>
        <v>1169535.6798266666</v>
      </c>
      <c r="P17" s="623">
        <f t="shared" si="7"/>
        <v>811693.9847272728</v>
      </c>
      <c r="Q17" s="623">
        <f t="shared" si="7"/>
        <v>899999.9953048406</v>
      </c>
      <c r="R17" s="619">
        <f t="shared" si="1"/>
        <v>4281010.186858781</v>
      </c>
    </row>
    <row r="18" spans="12:14" s="73" customFormat="1" ht="75" customHeight="1" thickBot="1">
      <c r="L18" s="673">
        <v>0</v>
      </c>
      <c r="M18" s="673">
        <v>0</v>
      </c>
      <c r="N18" s="673">
        <f>M18/1.07</f>
        <v>0</v>
      </c>
    </row>
    <row r="19" spans="2:18" s="73" customFormat="1" ht="15">
      <c r="B19" s="848" t="s">
        <v>8</v>
      </c>
      <c r="C19" s="849"/>
      <c r="D19" s="850"/>
      <c r="E19" s="850"/>
      <c r="F19" s="850"/>
      <c r="G19" s="850"/>
      <c r="H19" s="850"/>
      <c r="I19" s="851"/>
      <c r="K19" s="870" t="s">
        <v>8</v>
      </c>
      <c r="L19" s="871"/>
      <c r="M19" s="872"/>
      <c r="N19" s="872"/>
      <c r="O19" s="872"/>
      <c r="P19" s="872"/>
      <c r="Q19" s="872"/>
      <c r="R19" s="873"/>
    </row>
    <row r="20" spans="2:18" ht="15">
      <c r="B20" s="28"/>
      <c r="C20" s="26" t="s">
        <v>17</v>
      </c>
      <c r="D20" s="36" t="s">
        <v>18</v>
      </c>
      <c r="E20" s="36" t="s">
        <v>19</v>
      </c>
      <c r="F20" s="36" t="s">
        <v>626</v>
      </c>
      <c r="G20" s="36" t="s">
        <v>627</v>
      </c>
      <c r="H20" s="36" t="s">
        <v>628</v>
      </c>
      <c r="I20" s="29" t="s">
        <v>10</v>
      </c>
      <c r="K20" s="627"/>
      <c r="L20" s="614" t="s">
        <v>17</v>
      </c>
      <c r="M20" s="628" t="s">
        <v>18</v>
      </c>
      <c r="N20" s="628" t="s">
        <v>19</v>
      </c>
      <c r="O20" s="628" t="s">
        <v>626</v>
      </c>
      <c r="P20" s="628" t="s">
        <v>627</v>
      </c>
      <c r="Q20" s="628" t="s">
        <v>628</v>
      </c>
      <c r="R20" s="629" t="s">
        <v>10</v>
      </c>
    </row>
    <row r="21" spans="2:18" ht="15">
      <c r="B21" s="28"/>
      <c r="C21" s="26" t="s">
        <v>648</v>
      </c>
      <c r="D21" s="26" t="s">
        <v>649</v>
      </c>
      <c r="E21" s="26" t="s">
        <v>650</v>
      </c>
      <c r="F21" s="26" t="s">
        <v>656</v>
      </c>
      <c r="G21" s="26" t="s">
        <v>657</v>
      </c>
      <c r="H21" s="26" t="s">
        <v>658</v>
      </c>
      <c r="I21" s="29"/>
      <c r="K21" s="627"/>
      <c r="L21" s="614" t="s">
        <v>648</v>
      </c>
      <c r="M21" s="614" t="s">
        <v>649</v>
      </c>
      <c r="N21" s="614" t="s">
        <v>650</v>
      </c>
      <c r="O21" s="614" t="s">
        <v>656</v>
      </c>
      <c r="P21" s="614" t="s">
        <v>657</v>
      </c>
      <c r="Q21" s="614" t="s">
        <v>658</v>
      </c>
      <c r="R21" s="629"/>
    </row>
    <row r="22" spans="2:18" ht="23.25" customHeight="1">
      <c r="B22" s="27" t="s">
        <v>9</v>
      </c>
      <c r="C22" s="25">
        <v>232469.99867</v>
      </c>
      <c r="D22" s="25">
        <v>128765.00161</v>
      </c>
      <c r="E22" s="25">
        <v>128765.00161</v>
      </c>
      <c r="F22" s="553">
        <v>244999.97879941246</v>
      </c>
      <c r="G22" s="25">
        <v>157500</v>
      </c>
      <c r="H22" s="25">
        <v>157499.99835669424</v>
      </c>
      <c r="I22" s="8">
        <v>0.35</v>
      </c>
      <c r="K22" s="630" t="s">
        <v>9</v>
      </c>
      <c r="L22" s="671">
        <v>0</v>
      </c>
      <c r="M22" s="671">
        <v>0</v>
      </c>
      <c r="N22" s="671">
        <v>0</v>
      </c>
      <c r="O22" s="671">
        <v>0</v>
      </c>
      <c r="P22" s="671">
        <v>0</v>
      </c>
      <c r="Q22" s="631">
        <v>0</v>
      </c>
      <c r="R22" s="632">
        <v>0.35</v>
      </c>
    </row>
    <row r="23" spans="2:18" ht="24.75" customHeight="1" thickBot="1">
      <c r="B23" s="9" t="s">
        <v>11</v>
      </c>
      <c r="C23" s="30">
        <v>232469.99867</v>
      </c>
      <c r="D23" s="30">
        <v>128765.00161</v>
      </c>
      <c r="E23" s="30">
        <v>128765.00161</v>
      </c>
      <c r="F23" s="554">
        <v>244999.97879941246</v>
      </c>
      <c r="G23" s="30">
        <v>157500</v>
      </c>
      <c r="H23" s="30">
        <v>157499.99835669424</v>
      </c>
      <c r="I23" s="10">
        <v>0.35</v>
      </c>
      <c r="K23" s="666" t="s">
        <v>11</v>
      </c>
      <c r="L23" s="671">
        <v>0</v>
      </c>
      <c r="M23" s="672">
        <v>0</v>
      </c>
      <c r="N23" s="672">
        <v>0</v>
      </c>
      <c r="O23" s="672">
        <v>0</v>
      </c>
      <c r="P23" s="672">
        <v>0</v>
      </c>
      <c r="Q23" s="667">
        <v>0</v>
      </c>
      <c r="R23" s="668">
        <v>0.35</v>
      </c>
    </row>
    <row r="24" spans="2:18" ht="24.75" customHeight="1" thickBot="1">
      <c r="B24" s="9" t="s">
        <v>882</v>
      </c>
      <c r="C24" s="30">
        <v>199259.99886000002</v>
      </c>
      <c r="D24" s="30">
        <v>110370.00138000002</v>
      </c>
      <c r="E24" s="30">
        <v>110370.00138000002</v>
      </c>
      <c r="F24" s="554">
        <v>209999.98182806783</v>
      </c>
      <c r="G24" s="30">
        <v>135000</v>
      </c>
      <c r="H24" s="30">
        <v>134999.99859145223</v>
      </c>
      <c r="I24" s="10">
        <v>0.3</v>
      </c>
      <c r="K24" s="669" t="s">
        <v>882</v>
      </c>
      <c r="L24" s="671">
        <v>0</v>
      </c>
      <c r="M24" s="671">
        <v>0</v>
      </c>
      <c r="N24" s="671">
        <v>0</v>
      </c>
      <c r="O24" s="671">
        <v>0</v>
      </c>
      <c r="P24" s="671">
        <v>0</v>
      </c>
      <c r="Q24" s="631">
        <v>0</v>
      </c>
      <c r="R24" s="670">
        <v>0.3</v>
      </c>
    </row>
    <row r="25" spans="11:18" ht="15">
      <c r="K25" s="669" t="s">
        <v>932</v>
      </c>
      <c r="L25" s="671">
        <v>0</v>
      </c>
      <c r="M25" s="671">
        <v>0</v>
      </c>
      <c r="N25" s="671">
        <v>0</v>
      </c>
      <c r="O25" s="671">
        <v>0</v>
      </c>
      <c r="P25" s="671">
        <v>0</v>
      </c>
      <c r="Q25" s="631">
        <v>0</v>
      </c>
      <c r="R25" s="670">
        <v>0.7</v>
      </c>
    </row>
    <row r="26" spans="11:18" ht="15">
      <c r="K26" s="669" t="s">
        <v>933</v>
      </c>
      <c r="L26" s="671">
        <v>0</v>
      </c>
      <c r="M26" s="671">
        <v>0</v>
      </c>
      <c r="N26" s="671">
        <v>0</v>
      </c>
      <c r="O26" s="671">
        <v>0</v>
      </c>
      <c r="P26" s="671">
        <v>0</v>
      </c>
      <c r="Q26" s="631">
        <v>0</v>
      </c>
      <c r="R26" s="670">
        <v>0.3</v>
      </c>
    </row>
    <row r="27" spans="11:18" ht="15">
      <c r="K27" s="669" t="s">
        <v>371</v>
      </c>
      <c r="L27" s="671">
        <v>0</v>
      </c>
      <c r="M27" s="671">
        <v>0</v>
      </c>
      <c r="N27" s="671">
        <v>0</v>
      </c>
      <c r="O27" s="671">
        <v>0</v>
      </c>
      <c r="P27" s="671">
        <v>0</v>
      </c>
      <c r="Q27" s="631">
        <v>0</v>
      </c>
      <c r="R27" s="670">
        <v>1</v>
      </c>
    </row>
  </sheetData>
  <sheetProtection/>
  <mergeCells count="8">
    <mergeCell ref="B19:I19"/>
    <mergeCell ref="B5:I5"/>
    <mergeCell ref="I6:I7"/>
    <mergeCell ref="B2:I3"/>
    <mergeCell ref="K2:R3"/>
    <mergeCell ref="K5:R5"/>
    <mergeCell ref="R6:R7"/>
    <mergeCell ref="K19:R19"/>
  </mergeCells>
  <dataValidations count="7">
    <dataValidation allowBlank="1" showInputMessage="1" showErrorMessage="1" prompt="Includes all related staff and temporary staff costs including base salary, post adjustment and all staff entitlements." sqref="B8 K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K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K10"/>
    <dataValidation allowBlank="1" showInputMessage="1" showErrorMessage="1" prompt="Includes staff and non-staff travel paid for by the organization directly related to a project." sqref="B12 K12"/>
    <dataValidation allowBlank="1" showInputMessage="1" showErrorMessage="1" prompt="Services contracted by an organization which follow the normal procurement processes." sqref="B11 K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K13"/>
    <dataValidation allowBlank="1" showInputMessage="1" showErrorMessage="1" prompt=" Includes all general operating costs for running an office. Examples include telecommunication, rents, finance charges and other costs which cannot be mapped to other expense categories." sqref="B14 K14"/>
  </dataValidation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A9" sqref="A9"/>
    </sheetView>
  </sheetViews>
  <sheetFormatPr defaultColWidth="8.8515625" defaultRowHeight="15"/>
  <sheetData>
    <row r="1" ht="14.25">
      <c r="A1" s="123">
        <v>0</v>
      </c>
    </row>
    <row r="2" ht="14.25">
      <c r="A2" s="123">
        <v>0.2</v>
      </c>
    </row>
    <row r="3" ht="14.25">
      <c r="A3" s="123">
        <v>0.4</v>
      </c>
    </row>
    <row r="4" ht="14.25">
      <c r="A4" s="123">
        <v>0.6</v>
      </c>
    </row>
    <row r="5" ht="14.25">
      <c r="A5" s="123">
        <v>0.8</v>
      </c>
    </row>
    <row r="6" ht="14.25">
      <c r="A6" s="123">
        <v>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Niger 00120165_annual financial_2023.xls</dc:title>
  <dc:subject/>
  <dc:creator>Jelena Zelenovic</dc:creator>
  <cp:keywords/>
  <dc:description/>
  <cp:lastModifiedBy>Memel, Elise (FAOBF)</cp:lastModifiedBy>
  <cp:lastPrinted>2023-11-08T05:33:46Z</cp:lastPrinted>
  <dcterms:created xsi:type="dcterms:W3CDTF">2017-11-15T21:17:43Z</dcterms:created>
  <dcterms:modified xsi:type="dcterms:W3CDTF">2023-11-15T20:51:11Z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Ty">
    <vt:lpwstr>Annual Report</vt:lpwstr>
  </property>
  <property fmtid="{D5CDD505-2E9C-101B-9397-08002B2CF9AE}" pid="4" name="Uploaded">
    <vt:lpwstr>gabriel.velastegui@undp.org</vt:lpwstr>
  </property>
  <property fmtid="{D5CDD505-2E9C-101B-9397-08002B2CF9AE}" pid="5" name="Classificati">
    <vt:lpwstr>External</vt:lpwstr>
  </property>
  <property fmtid="{D5CDD505-2E9C-101B-9397-08002B2CF9AE}" pid="6" name="Featur">
    <vt:lpwstr>1</vt:lpwstr>
  </property>
  <property fmtid="{D5CDD505-2E9C-101B-9397-08002B2CF9AE}" pid="7" name="ProjectTy">
    <vt:lpwstr>PROJECT</vt:lpwstr>
  </property>
  <property fmtid="{D5CDD505-2E9C-101B-9397-08002B2CF9AE}" pid="8" name="NarrativeCo">
    <vt:lpwstr/>
  </property>
  <property fmtid="{D5CDD505-2E9C-101B-9397-08002B2CF9AE}" pid="9" name="FormTypeCo">
    <vt:lpwstr/>
  </property>
  <property fmtid="{D5CDD505-2E9C-101B-9397-08002B2CF9AE}" pid="10" name="Fund">
    <vt:lpwstr>6.00000000000000</vt:lpwstr>
  </property>
  <property fmtid="{D5CDD505-2E9C-101B-9397-08002B2CF9AE}" pid="11" name="Project">
    <vt:lpwstr>MPTF_00006_00722</vt:lpwstr>
  </property>
  <property fmtid="{D5CDD505-2E9C-101B-9397-08002B2CF9AE}" pid="12" name="DocumentDa">
    <vt:lpwstr>2023-11-15T00:00:00Z</vt:lpwstr>
  </property>
  <property fmtid="{D5CDD505-2E9C-101B-9397-08002B2CF9AE}" pid="13" name="FundCo">
    <vt:lpwstr>MPTF_00006</vt:lpwstr>
  </property>
  <property fmtid="{D5CDD505-2E9C-101B-9397-08002B2CF9AE}" pid="14" name="Commen">
    <vt:lpwstr>Annual financial 2023</vt:lpwstr>
  </property>
  <property fmtid="{D5CDD505-2E9C-101B-9397-08002B2CF9AE}" pid="15" name="DocumentOrig">
    <vt:lpwstr>Project</vt:lpwstr>
  </property>
  <property fmtid="{D5CDD505-2E9C-101B-9397-08002B2CF9AE}" pid="16" name="Stat">
    <vt:lpwstr>Finalized - Signature Redacted</vt:lpwstr>
  </property>
  <property fmtid="{D5CDD505-2E9C-101B-9397-08002B2CF9AE}" pid="17" name="FormCo">
    <vt:lpwstr/>
  </property>
</Properties>
</file>