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della.faye.colley\Desktop\Final Projects - Land Conflict\"/>
    </mc:Choice>
  </mc:AlternateContent>
  <xr:revisionPtr revIDLastSave="0" documentId="13_ncr:1_{59568A30-39E7-419F-AAC1-3DD3D9AE360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ted" sheetId="12" r:id="rId1"/>
    <sheet name="Output Budget 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12" l="1"/>
  <c r="D34" i="13" l="1"/>
  <c r="D38" i="13" s="1"/>
  <c r="D39" i="13" s="1"/>
  <c r="D40" i="13" s="1"/>
  <c r="F34" i="13" l="1"/>
  <c r="F20" i="13"/>
  <c r="M15" i="12"/>
  <c r="L15" i="12"/>
  <c r="K15" i="12"/>
  <c r="O15" i="12" s="1"/>
  <c r="J15" i="12"/>
  <c r="E15" i="12"/>
  <c r="D15" i="12"/>
  <c r="C15" i="12"/>
  <c r="G15" i="12" s="1"/>
  <c r="B15" i="12"/>
  <c r="M14" i="12"/>
  <c r="L14" i="12"/>
  <c r="K14" i="12"/>
  <c r="O14" i="12" s="1"/>
  <c r="J14" i="12"/>
  <c r="G14" i="12"/>
  <c r="F14" i="12"/>
  <c r="H14" i="12" s="1"/>
  <c r="E14" i="12"/>
  <c r="D14" i="12"/>
  <c r="C14" i="12"/>
  <c r="M13" i="12"/>
  <c r="L13" i="12"/>
  <c r="K13" i="12"/>
  <c r="J13" i="12"/>
  <c r="E13" i="12"/>
  <c r="D13" i="12"/>
  <c r="C13" i="12"/>
  <c r="B13" i="12"/>
  <c r="M12" i="12"/>
  <c r="L12" i="12"/>
  <c r="K12" i="12"/>
  <c r="J12" i="12"/>
  <c r="N12" i="12" s="1"/>
  <c r="E12" i="12"/>
  <c r="D12" i="12"/>
  <c r="C12" i="12"/>
  <c r="B12" i="12"/>
  <c r="F12" i="12" s="1"/>
  <c r="O11" i="12"/>
  <c r="K11" i="12"/>
  <c r="J11" i="12"/>
  <c r="N11" i="12" s="1"/>
  <c r="P11" i="12" s="1"/>
  <c r="F11" i="12"/>
  <c r="C11" i="12"/>
  <c r="G11" i="12" s="1"/>
  <c r="B11" i="12"/>
  <c r="K10" i="12"/>
  <c r="O10" i="12" s="1"/>
  <c r="J10" i="12"/>
  <c r="N10" i="12" s="1"/>
  <c r="P10" i="12" s="1"/>
  <c r="G10" i="12"/>
  <c r="C10" i="12"/>
  <c r="B10" i="12"/>
  <c r="F10" i="12" s="1"/>
  <c r="K9" i="12"/>
  <c r="O9" i="12" s="1"/>
  <c r="J9" i="12"/>
  <c r="C9" i="12"/>
  <c r="G9" i="12" s="1"/>
  <c r="B9" i="12"/>
  <c r="B16" i="12" s="1"/>
  <c r="O12" i="12" l="1"/>
  <c r="P12" i="12" s="1"/>
  <c r="P14" i="12"/>
  <c r="N13" i="12"/>
  <c r="N15" i="12"/>
  <c r="P15" i="12" s="1"/>
  <c r="H10" i="12"/>
  <c r="M16" i="12"/>
  <c r="M17" i="12" s="1"/>
  <c r="G12" i="12"/>
  <c r="G13" i="12"/>
  <c r="G16" i="12" s="1"/>
  <c r="H12" i="12"/>
  <c r="J16" i="12"/>
  <c r="F13" i="12"/>
  <c r="F15" i="12"/>
  <c r="K16" i="12"/>
  <c r="E16" i="12"/>
  <c r="F38" i="13"/>
  <c r="E17" i="12"/>
  <c r="E18" i="12" s="1"/>
  <c r="H11" i="12"/>
  <c r="B17" i="12"/>
  <c r="B18" i="12" s="1"/>
  <c r="J17" i="12"/>
  <c r="J18" i="12"/>
  <c r="H15" i="12"/>
  <c r="O13" i="12"/>
  <c r="F9" i="12"/>
  <c r="C16" i="12"/>
  <c r="L16" i="12"/>
  <c r="N9" i="12"/>
  <c r="D16" i="12"/>
  <c r="K18" i="12" l="1"/>
  <c r="O16" i="12"/>
  <c r="M18" i="12"/>
  <c r="H13" i="12"/>
  <c r="K17" i="12"/>
  <c r="F39" i="13"/>
  <c r="F40" i="13" s="1"/>
  <c r="O17" i="12"/>
  <c r="O18" i="12"/>
  <c r="G17" i="12"/>
  <c r="G18" i="12" s="1"/>
  <c r="P13" i="12"/>
  <c r="L17" i="12"/>
  <c r="L18" i="12" s="1"/>
  <c r="P9" i="12"/>
  <c r="N16" i="12"/>
  <c r="C17" i="12"/>
  <c r="C18" i="12"/>
  <c r="H9" i="12"/>
  <c r="H16" i="12" s="1"/>
  <c r="F16" i="12"/>
  <c r="D17" i="12"/>
  <c r="D18" i="12" s="1"/>
  <c r="H17" i="12" l="1"/>
  <c r="H18" i="12" s="1"/>
  <c r="F17" i="12"/>
  <c r="F18" i="12"/>
  <c r="N17" i="12"/>
  <c r="N18" i="12" s="1"/>
  <c r="P16" i="12"/>
  <c r="P17" i="12" l="1"/>
  <c r="P18" i="12" s="1"/>
</calcChain>
</file>

<file path=xl/sharedStrings.xml><?xml version="1.0" encoding="utf-8"?>
<sst xmlns="http://schemas.openxmlformats.org/spreadsheetml/2006/main" count="102" uniqueCount="90">
  <si>
    <t>Annex D - PBF project budget</t>
  </si>
  <si>
    <t>Note: If this is a budget revision, insert extra columns to show budget changes.</t>
  </si>
  <si>
    <t>Table 1 - PBF project budget by Outcome, output and activity</t>
  </si>
  <si>
    <t>Outcome/ Output number</t>
  </si>
  <si>
    <t>Outcome/ output/ activity formulation:</t>
  </si>
  <si>
    <t>Percent of budget for each output reserved for direct action on gender eqaulity (if any):</t>
  </si>
  <si>
    <t>Level of expenditure/ commitments in USD (to provide at time of project progress reporting):</t>
  </si>
  <si>
    <t>Any remarks (e.g. on types of inputs provided or budget justification, for example if high TA or travel costs)</t>
  </si>
  <si>
    <t xml:space="preserve">OUTCOME 1: Local and national authorities adopt strengthened, inclusive legislative and policy frameworks for land and natural resources dispute resolutiontransfer and dispute resolution </t>
  </si>
  <si>
    <t xml:space="preserve">Output 1.1: </t>
  </si>
  <si>
    <t>Strengthened frameworks for LNR governance and conflict resolution</t>
  </si>
  <si>
    <t>Activity 1.1.1:</t>
  </si>
  <si>
    <t>Assess policy, legal and institutional frameworks for the governance of LNR in The gambia against internationally accepted standars]ds and best practises, including gender equitable land governance</t>
  </si>
  <si>
    <t>Activity 1.1.2</t>
  </si>
  <si>
    <t>Conduct empirical assessment of judicial and non judicial greivance mechanisms relating to Land disputs in The Gambia</t>
  </si>
  <si>
    <t>Activity 1.1.3</t>
  </si>
  <si>
    <t>Organise inclusive and participatory stakeholders consultation with a view to identify key causes of LNR conflict</t>
  </si>
  <si>
    <t>Activity 1.1.4:</t>
  </si>
  <si>
    <t>Revise legislative frameworks and  related policies</t>
  </si>
  <si>
    <t>Output 1.2:</t>
  </si>
  <si>
    <t>Capacity of National and local institutions strengthened to enforce inclusive LNR governance and conflict resolution mechanisms</t>
  </si>
  <si>
    <t>Activity 1.2.1:</t>
  </si>
  <si>
    <t>Train national and local authorities in the application of inclusive LNR frameworks</t>
  </si>
  <si>
    <t>Activity 1.2.2:</t>
  </si>
  <si>
    <t>Increase capacity of LNR institutions to facilitate LNR-conflict resolution</t>
  </si>
  <si>
    <t xml:space="preserve">Activity 1.2.3 </t>
  </si>
  <si>
    <t xml:space="preserve">Gender and youth desk established at Ministry of Justice and regional levels </t>
  </si>
  <si>
    <t>Output 1.3:</t>
  </si>
  <si>
    <t>Increased awareness of authorities and communities on revised legal frameworks/policies</t>
  </si>
  <si>
    <t>Activity 1.3.1:</t>
  </si>
  <si>
    <t>Advocate at  national and local level for adoption and application of revised LNR frameworks</t>
  </si>
  <si>
    <t>Activity 1.3.2:</t>
  </si>
  <si>
    <t>Conduct sensitization of community members on legal and statutory frameworks through media channels</t>
  </si>
  <si>
    <t>TOTAL $ FOR OUTCOME 1:</t>
  </si>
  <si>
    <t xml:space="preserve">OUTCOME 2: National authorities and communities use dispute resolution mechanisms to address LNR disputes in conflict hot spots, </t>
  </si>
  <si>
    <t>Output 2.1:</t>
  </si>
  <si>
    <t xml:space="preserve">Information system  to track land disputes and to inform policy and investments established   </t>
  </si>
  <si>
    <t>Activity 2.1.1:</t>
  </si>
  <si>
    <t>Introduce and agree on scope and format of information system for the tracking of land disputes</t>
  </si>
  <si>
    <t>Activity 2.1.2:</t>
  </si>
  <si>
    <t>Provide needed equipment and train concerned national and regional actors to populate and maintain information system</t>
  </si>
  <si>
    <t>Output 2.2:</t>
  </si>
  <si>
    <t>Strengthened capacity of rural communities to prevent conflict LNR disputes</t>
  </si>
  <si>
    <t>Activity 2.2.1:</t>
  </si>
  <si>
    <t xml:space="preserve">Build consensus on re-demarcation of cattle tracks with established watering point in conflict regions (WCR &amp; CRR); </t>
  </si>
  <si>
    <t>Activity 2.2.2:</t>
  </si>
  <si>
    <t xml:space="preserve">Re-demarcate forest parks and enhance community in conflict regions (WCR &amp; CRR); </t>
  </si>
  <si>
    <t>Activity 2.2.3:</t>
  </si>
  <si>
    <t>Output 2.3</t>
  </si>
  <si>
    <t>Enhanced capacity of Alkalos and local chiefs to facilitate community dialogue and resolve land disputes</t>
  </si>
  <si>
    <t xml:space="preserve">Activity 2.3.1 </t>
  </si>
  <si>
    <t>Consultations with local chiefs on state of land conflicts</t>
  </si>
  <si>
    <t xml:space="preserve">Activity 2.3.2 </t>
  </si>
  <si>
    <t>Capacity needs assessment of local communities on land dispute resolution</t>
  </si>
  <si>
    <t>Activity 2.3.3</t>
  </si>
  <si>
    <t>Sensitization and Training of Chiefs, Alkalos and VDCs in capacity gaps</t>
  </si>
  <si>
    <t>Activity 2.3.4</t>
  </si>
  <si>
    <t>Development of guidelines for local land dispute resolution in local languages (UNDP)</t>
  </si>
  <si>
    <t>TOTAL $ FOR OUTCOME 2: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</si>
  <si>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</si>
  <si>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</si>
  <si>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</si>
  <si>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</si>
  <si>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>SUB-TOTAL PROJECT BUDGET:</t>
  </si>
  <si>
    <t>Indirect support costs (7%):</t>
  </si>
  <si>
    <t>TOTAL PROJECT BUDGET:</t>
  </si>
  <si>
    <t>Table 2 - PBF project budget by UN cost category</t>
  </si>
  <si>
    <t>CATEGORIES</t>
  </si>
  <si>
    <t xml:space="preserve">Approved Consilidated Budget </t>
  </si>
  <si>
    <t>Proposed Budget Revision - Consolidated</t>
  </si>
  <si>
    <t>Amount Recipient  Agency FAO</t>
  </si>
  <si>
    <t>Amount Recipient  Agency UNDP</t>
  </si>
  <si>
    <t>Total Tranche 1</t>
  </si>
  <si>
    <t>Total Tranche 2</t>
  </si>
  <si>
    <t>PROJECT 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</si>
  <si>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</si>
  <si>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</si>
  <si>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</si>
  <si>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</si>
  <si>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</si>
  <si>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</si>
  <si>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</si>
  <si>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</si>
  <si>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</si>
  <si>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</si>
  <si>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</si>
  <si>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</si>
  <si>
    <t>Budget by recipient organization in USD - FAO</t>
  </si>
  <si>
    <t>Budget by recipient organization in USD - UNDP</t>
  </si>
  <si>
    <t>Establish livestock identification system, conduct sensitization campaign and conduct tagging 1st wave of and tagging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</si>
</sst>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B3B3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9" fontId="19" fillId="0" borderId="0" xfId="0" applyNumberFormat="1" applyFont="1"/>
    <xf numFmtId="1" fontId="19" fillId="0" borderId="0" xfId="0" applyNumberFormat="1" applyFont="1"/>
    <xf numFmtId="164" fontId="19" fillId="0" borderId="0" xfId="28" applyFont="1"/>
    <xf numFmtId="0" fontId="18" fillId="34" borderId="12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166" fontId="21" fillId="0" borderId="30" xfId="28" applyNumberFormat="1" applyFont="1" applyBorder="1" applyAlignment="1">
      <alignment horizontal="right" vertical="center" wrapText="1"/>
    </xf>
    <xf numFmtId="166" fontId="21" fillId="0" borderId="31" xfId="28" applyNumberFormat="1" applyFont="1" applyBorder="1" applyAlignment="1">
      <alignment horizontal="right" vertical="center" wrapText="1"/>
    </xf>
    <xf numFmtId="166" fontId="21" fillId="0" borderId="31" xfId="28" applyNumberFormat="1" applyFont="1" applyBorder="1" applyAlignment="1">
      <alignment horizontal="center" vertical="center" wrapText="1"/>
    </xf>
    <xf numFmtId="166" fontId="21" fillId="0" borderId="32" xfId="28" applyNumberFormat="1" applyFont="1" applyBorder="1" applyAlignment="1">
      <alignment horizontal="right" vertical="center" wrapText="1"/>
    </xf>
    <xf numFmtId="166" fontId="21" fillId="34" borderId="33" xfId="28" applyNumberFormat="1" applyFont="1" applyFill="1" applyBorder="1" applyAlignment="1">
      <alignment horizontal="right" vertical="center" wrapText="1"/>
    </xf>
    <xf numFmtId="166" fontId="21" fillId="0" borderId="34" xfId="28" applyNumberFormat="1" applyFont="1" applyBorder="1" applyAlignment="1">
      <alignment horizontal="right" vertical="center" wrapText="1"/>
    </xf>
    <xf numFmtId="0" fontId="21" fillId="0" borderId="35" xfId="0" applyFont="1" applyBorder="1" applyAlignment="1">
      <alignment vertical="center" wrapText="1"/>
    </xf>
    <xf numFmtId="166" fontId="21" fillId="0" borderId="36" xfId="28" applyNumberFormat="1" applyFont="1" applyBorder="1" applyAlignment="1">
      <alignment horizontal="right" vertical="center" wrapText="1"/>
    </xf>
    <xf numFmtId="166" fontId="21" fillId="0" borderId="10" xfId="28" applyNumberFormat="1" applyFont="1" applyBorder="1" applyAlignment="1">
      <alignment horizontal="right" vertical="center" wrapText="1"/>
    </xf>
    <xf numFmtId="166" fontId="21" fillId="0" borderId="10" xfId="28" applyNumberFormat="1" applyFont="1" applyBorder="1" applyAlignment="1">
      <alignment horizontal="center" vertical="center" wrapText="1"/>
    </xf>
    <xf numFmtId="166" fontId="21" fillId="0" borderId="37" xfId="28" applyNumberFormat="1" applyFont="1" applyBorder="1" applyAlignment="1">
      <alignment horizontal="right" vertical="center" wrapText="1"/>
    </xf>
    <xf numFmtId="166" fontId="21" fillId="34" borderId="38" xfId="28" applyNumberFormat="1" applyFont="1" applyFill="1" applyBorder="1" applyAlignment="1">
      <alignment horizontal="right" vertical="center" wrapText="1"/>
    </xf>
    <xf numFmtId="166" fontId="21" fillId="0" borderId="39" xfId="28" applyNumberFormat="1" applyFont="1" applyBorder="1" applyAlignment="1">
      <alignment horizontal="right" vertical="center" wrapText="1"/>
    </xf>
    <xf numFmtId="0" fontId="20" fillId="36" borderId="35" xfId="0" applyFont="1" applyFill="1" applyBorder="1" applyAlignment="1">
      <alignment vertical="center" wrapText="1"/>
    </xf>
    <xf numFmtId="166" fontId="21" fillId="36" borderId="36" xfId="28" applyNumberFormat="1" applyFont="1" applyFill="1" applyBorder="1" applyAlignment="1">
      <alignment horizontal="right" vertical="center" wrapText="1"/>
    </xf>
    <xf numFmtId="166" fontId="21" fillId="36" borderId="10" xfId="28" applyNumberFormat="1" applyFont="1" applyFill="1" applyBorder="1" applyAlignment="1">
      <alignment horizontal="right" vertical="center" wrapText="1"/>
    </xf>
    <xf numFmtId="166" fontId="21" fillId="36" borderId="37" xfId="28" applyNumberFormat="1" applyFont="1" applyFill="1" applyBorder="1" applyAlignment="1">
      <alignment horizontal="right" vertical="center" wrapText="1"/>
    </xf>
    <xf numFmtId="166" fontId="21" fillId="36" borderId="39" xfId="28" applyNumberFormat="1" applyFont="1" applyFill="1" applyBorder="1" applyAlignment="1">
      <alignment horizontal="right" vertical="center" wrapText="1"/>
    </xf>
    <xf numFmtId="0" fontId="21" fillId="0" borderId="40" xfId="0" applyFont="1" applyBorder="1" applyAlignment="1">
      <alignment vertical="center" wrapText="1"/>
    </xf>
    <xf numFmtId="166" fontId="21" fillId="0" borderId="41" xfId="28" applyNumberFormat="1" applyFont="1" applyBorder="1" applyAlignment="1">
      <alignment horizontal="right" vertical="center" wrapText="1"/>
    </xf>
    <xf numFmtId="166" fontId="21" fillId="0" borderId="42" xfId="28" applyNumberFormat="1" applyFont="1" applyBorder="1" applyAlignment="1">
      <alignment horizontal="right" vertical="center" wrapText="1"/>
    </xf>
    <xf numFmtId="166" fontId="21" fillId="0" borderId="43" xfId="28" applyNumberFormat="1" applyFont="1" applyBorder="1" applyAlignment="1">
      <alignment horizontal="right" vertical="center" wrapText="1"/>
    </xf>
    <xf numFmtId="166" fontId="21" fillId="34" borderId="44" xfId="28" applyNumberFormat="1" applyFont="1" applyFill="1" applyBorder="1" applyAlignment="1">
      <alignment horizontal="right" vertical="center" wrapText="1"/>
    </xf>
    <xf numFmtId="166" fontId="21" fillId="0" borderId="45" xfId="28" applyNumberFormat="1" applyFont="1" applyBorder="1" applyAlignment="1">
      <alignment horizontal="right" vertical="center" wrapText="1"/>
    </xf>
    <xf numFmtId="0" fontId="20" fillId="36" borderId="46" xfId="0" applyFont="1" applyFill="1" applyBorder="1" applyAlignment="1">
      <alignment vertical="center" wrapText="1"/>
    </xf>
    <xf numFmtId="166" fontId="21" fillId="36" borderId="47" xfId="28" applyNumberFormat="1" applyFont="1" applyFill="1" applyBorder="1" applyAlignment="1">
      <alignment horizontal="right" vertical="center" wrapText="1"/>
    </xf>
    <xf numFmtId="166" fontId="21" fillId="36" borderId="48" xfId="28" applyNumberFormat="1" applyFont="1" applyFill="1" applyBorder="1" applyAlignment="1">
      <alignment horizontal="right" vertical="center" wrapText="1"/>
    </xf>
    <xf numFmtId="166" fontId="21" fillId="36" borderId="49" xfId="28" applyNumberFormat="1" applyFont="1" applyFill="1" applyBorder="1" applyAlignment="1">
      <alignment horizontal="right" vertical="center" wrapText="1"/>
    </xf>
    <xf numFmtId="166" fontId="21" fillId="34" borderId="12" xfId="28" applyNumberFormat="1" applyFont="1" applyFill="1" applyBorder="1" applyAlignment="1">
      <alignment horizontal="right" vertical="center" wrapText="1"/>
    </xf>
    <xf numFmtId="166" fontId="21" fillId="36" borderId="50" xfId="28" applyNumberFormat="1" applyFont="1" applyFill="1" applyBorder="1" applyAlignment="1">
      <alignment horizontal="right" vertical="center" wrapText="1"/>
    </xf>
    <xf numFmtId="0" fontId="22" fillId="0" borderId="0" xfId="0" applyFont="1"/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165" fontId="22" fillId="0" borderId="10" xfId="28" applyNumberFormat="1" applyFont="1" applyBorder="1"/>
    <xf numFmtId="0" fontId="22" fillId="0" borderId="10" xfId="0" applyFont="1" applyBorder="1"/>
    <xf numFmtId="165" fontId="22" fillId="0" borderId="10" xfId="28" applyNumberFormat="1" applyFont="1" applyBorder="1" applyAlignment="1">
      <alignment vertical="center"/>
    </xf>
    <xf numFmtId="0" fontId="23" fillId="0" borderId="10" xfId="0" applyFont="1" applyBorder="1"/>
    <xf numFmtId="0" fontId="23" fillId="0" borderId="0" xfId="0" applyFont="1"/>
    <xf numFmtId="165" fontId="23" fillId="0" borderId="10" xfId="28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164" fontId="22" fillId="0" borderId="10" xfId="28" applyNumberFormat="1" applyFont="1" applyBorder="1" applyAlignment="1">
      <alignment vertic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51" xfId="0" applyFont="1" applyBorder="1" applyAlignment="1">
      <alignment horizontal="left" wrapText="1"/>
    </xf>
    <xf numFmtId="0" fontId="23" fillId="0" borderId="38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43" fontId="22" fillId="0" borderId="0" xfId="0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zoomScale="60" zoomScaleNormal="60" workbookViewId="0">
      <selection activeCell="M21" sqref="M21"/>
    </sheetView>
  </sheetViews>
  <sheetFormatPr defaultColWidth="8.85546875" defaultRowHeight="15.75" x14ac:dyDescent="0.25"/>
  <cols>
    <col min="1" max="1" width="28.7109375" style="2" customWidth="1"/>
    <col min="2" max="2" width="11.85546875" style="2" customWidth="1"/>
    <col min="3" max="3" width="12.85546875" style="2" customWidth="1"/>
    <col min="4" max="4" width="13.42578125" style="2" customWidth="1"/>
    <col min="5" max="5" width="14.28515625" style="2" customWidth="1"/>
    <col min="6" max="7" width="11.7109375" style="2" customWidth="1"/>
    <col min="8" max="8" width="16" style="2" customWidth="1"/>
    <col min="9" max="9" width="4.85546875" style="2" customWidth="1"/>
    <col min="10" max="10" width="13.42578125" style="2" bestFit="1" customWidth="1"/>
    <col min="11" max="11" width="11.42578125" style="2" bestFit="1" customWidth="1"/>
    <col min="12" max="12" width="13" style="2" customWidth="1"/>
    <col min="13" max="13" width="10.42578125" style="2" bestFit="1" customWidth="1"/>
    <col min="14" max="14" width="11.7109375" style="2" bestFit="1" customWidth="1"/>
    <col min="15" max="15" width="11.42578125" style="2" bestFit="1" customWidth="1"/>
    <col min="16" max="16" width="13.42578125" style="2" bestFit="1" customWidth="1"/>
    <col min="17" max="16384" width="8.85546875" style="2"/>
  </cols>
  <sheetData>
    <row r="1" spans="1:17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7" ht="16.5" thickBot="1" x14ac:dyDescent="0.3"/>
    <row r="6" spans="1:17" s="3" customFormat="1" ht="16.5" thickBot="1" x14ac:dyDescent="0.3">
      <c r="A6" s="63" t="s">
        <v>67</v>
      </c>
      <c r="B6" s="66" t="s">
        <v>68</v>
      </c>
      <c r="C6" s="66"/>
      <c r="D6" s="66"/>
      <c r="E6" s="66"/>
      <c r="F6" s="66"/>
      <c r="G6" s="66"/>
      <c r="H6" s="67"/>
      <c r="I6" s="7"/>
      <c r="J6" s="68" t="s">
        <v>69</v>
      </c>
      <c r="K6" s="66"/>
      <c r="L6" s="66"/>
      <c r="M6" s="66"/>
      <c r="N6" s="66"/>
      <c r="O6" s="66"/>
      <c r="P6" s="67"/>
    </row>
    <row r="7" spans="1:17" x14ac:dyDescent="0.25">
      <c r="A7" s="64"/>
      <c r="B7" s="69" t="s">
        <v>70</v>
      </c>
      <c r="C7" s="70"/>
      <c r="D7" s="70" t="s">
        <v>71</v>
      </c>
      <c r="E7" s="70"/>
      <c r="F7" s="70" t="s">
        <v>72</v>
      </c>
      <c r="G7" s="70" t="s">
        <v>73</v>
      </c>
      <c r="H7" s="61" t="s">
        <v>74</v>
      </c>
      <c r="I7" s="8"/>
      <c r="J7" s="72" t="s">
        <v>70</v>
      </c>
      <c r="K7" s="70"/>
      <c r="L7" s="70" t="s">
        <v>71</v>
      </c>
      <c r="M7" s="70"/>
      <c r="N7" s="59" t="s">
        <v>72</v>
      </c>
      <c r="O7" s="59" t="s">
        <v>73</v>
      </c>
      <c r="P7" s="61" t="s">
        <v>74</v>
      </c>
    </row>
    <row r="8" spans="1:17" ht="32.25" thickBot="1" x14ac:dyDescent="0.3">
      <c r="A8" s="65"/>
      <c r="B8" s="9" t="s">
        <v>75</v>
      </c>
      <c r="C8" s="10" t="s">
        <v>76</v>
      </c>
      <c r="D8" s="10" t="s">
        <v>75</v>
      </c>
      <c r="E8" s="10" t="s">
        <v>76</v>
      </c>
      <c r="F8" s="71"/>
      <c r="G8" s="71"/>
      <c r="H8" s="62"/>
      <c r="I8" s="11"/>
      <c r="J8" s="12" t="s">
        <v>75</v>
      </c>
      <c r="K8" s="10" t="s">
        <v>76</v>
      </c>
      <c r="L8" s="10" t="s">
        <v>75</v>
      </c>
      <c r="M8" s="10" t="s">
        <v>76</v>
      </c>
      <c r="N8" s="60"/>
      <c r="O8" s="60"/>
      <c r="P8" s="62"/>
      <c r="Q8" s="4"/>
    </row>
    <row r="9" spans="1:17" x14ac:dyDescent="0.25">
      <c r="A9" s="13" t="s">
        <v>77</v>
      </c>
      <c r="B9" s="14">
        <f>54000*70%</f>
        <v>37800</v>
      </c>
      <c r="C9" s="15">
        <f>54000*30%</f>
        <v>16200</v>
      </c>
      <c r="D9" s="16">
        <v>0</v>
      </c>
      <c r="E9" s="15">
        <v>0</v>
      </c>
      <c r="F9" s="15">
        <f t="shared" ref="F9:G15" si="0">B9+D9</f>
        <v>37800</v>
      </c>
      <c r="G9" s="15">
        <f t="shared" si="0"/>
        <v>16200</v>
      </c>
      <c r="H9" s="17">
        <f>SUM(F9:G9)</f>
        <v>54000</v>
      </c>
      <c r="I9" s="18"/>
      <c r="J9" s="19">
        <f>176716*70%</f>
        <v>123701.2</v>
      </c>
      <c r="K9" s="15">
        <f>176716*30%</f>
        <v>53014.799999999996</v>
      </c>
      <c r="L9" s="16">
        <v>0</v>
      </c>
      <c r="M9" s="15">
        <v>0</v>
      </c>
      <c r="N9" s="15">
        <f t="shared" ref="N9:O15" si="1">J9+L9</f>
        <v>123701.2</v>
      </c>
      <c r="O9" s="15">
        <f t="shared" si="1"/>
        <v>53014.799999999996</v>
      </c>
      <c r="P9" s="17">
        <f>SUM(N9:O9)</f>
        <v>176716</v>
      </c>
    </row>
    <row r="10" spans="1:17" ht="31.5" x14ac:dyDescent="0.25">
      <c r="A10" s="20" t="s">
        <v>78</v>
      </c>
      <c r="B10" s="21">
        <f>95626*70%</f>
        <v>66938.2</v>
      </c>
      <c r="C10" s="22">
        <f>95626*30%</f>
        <v>28687.8</v>
      </c>
      <c r="D10" s="23">
        <v>0</v>
      </c>
      <c r="E10" s="22">
        <v>0</v>
      </c>
      <c r="F10" s="22">
        <f t="shared" si="0"/>
        <v>66938.2</v>
      </c>
      <c r="G10" s="22">
        <f t="shared" si="0"/>
        <v>28687.8</v>
      </c>
      <c r="H10" s="24">
        <f>SUM(F10:G10)</f>
        <v>95626</v>
      </c>
      <c r="I10" s="25"/>
      <c r="J10" s="26">
        <f>30000*70%</f>
        <v>21000</v>
      </c>
      <c r="K10" s="22">
        <f>30000*30%</f>
        <v>9000</v>
      </c>
      <c r="L10" s="23">
        <v>0</v>
      </c>
      <c r="M10" s="22">
        <v>0</v>
      </c>
      <c r="N10" s="22">
        <f t="shared" si="1"/>
        <v>21000</v>
      </c>
      <c r="O10" s="22">
        <f t="shared" si="1"/>
        <v>9000</v>
      </c>
      <c r="P10" s="24">
        <f>SUM(N10:O10)</f>
        <v>30000</v>
      </c>
    </row>
    <row r="11" spans="1:17" ht="47.25" x14ac:dyDescent="0.25">
      <c r="A11" s="20" t="s">
        <v>79</v>
      </c>
      <c r="B11" s="21">
        <f>99973*70%</f>
        <v>69981.099999999991</v>
      </c>
      <c r="C11" s="22">
        <f>99973*0.3</f>
        <v>29991.899999999998</v>
      </c>
      <c r="D11" s="23">
        <v>0</v>
      </c>
      <c r="E11" s="22">
        <v>0</v>
      </c>
      <c r="F11" s="22">
        <f t="shared" si="0"/>
        <v>69981.099999999991</v>
      </c>
      <c r="G11" s="22">
        <f t="shared" si="0"/>
        <v>29991.899999999998</v>
      </c>
      <c r="H11" s="24">
        <f t="shared" ref="H11:H15" si="2">SUM(F11:G11)</f>
        <v>99972.999999999985</v>
      </c>
      <c r="I11" s="25"/>
      <c r="J11" s="26">
        <f>38440*70%</f>
        <v>26908</v>
      </c>
      <c r="K11" s="22">
        <f>38440*30%</f>
        <v>11532</v>
      </c>
      <c r="L11" s="23">
        <v>0</v>
      </c>
      <c r="M11" s="22">
        <v>0</v>
      </c>
      <c r="N11" s="22">
        <f t="shared" si="1"/>
        <v>26908</v>
      </c>
      <c r="O11" s="22">
        <f t="shared" si="1"/>
        <v>11532</v>
      </c>
      <c r="P11" s="24">
        <f t="shared" ref="P11:P15" si="3">SUM(N11:O11)</f>
        <v>38440</v>
      </c>
    </row>
    <row r="12" spans="1:17" x14ac:dyDescent="0.25">
      <c r="A12" s="20" t="s">
        <v>80</v>
      </c>
      <c r="B12" s="21">
        <f>(231000*0.7)+200000</f>
        <v>361700</v>
      </c>
      <c r="C12" s="22">
        <f>231000*0.3</f>
        <v>69300</v>
      </c>
      <c r="D12" s="22">
        <f>80374.1*0.7</f>
        <v>56261.87</v>
      </c>
      <c r="E12" s="22">
        <f>80374.1*0.3</f>
        <v>24112.23</v>
      </c>
      <c r="F12" s="22">
        <f t="shared" si="0"/>
        <v>417961.87</v>
      </c>
      <c r="G12" s="22">
        <f t="shared" si="0"/>
        <v>93412.23</v>
      </c>
      <c r="H12" s="24">
        <f t="shared" si="2"/>
        <v>511374.1</v>
      </c>
      <c r="I12" s="25"/>
      <c r="J12" s="26">
        <f>206984*70%</f>
        <v>144888.79999999999</v>
      </c>
      <c r="K12" s="22">
        <f>206984*30%</f>
        <v>62095.199999999997</v>
      </c>
      <c r="L12" s="22">
        <f>80374.1*0.7</f>
        <v>56261.87</v>
      </c>
      <c r="M12" s="22">
        <f>80374.1*0.3</f>
        <v>24112.23</v>
      </c>
      <c r="N12" s="22">
        <f t="shared" si="1"/>
        <v>201150.66999999998</v>
      </c>
      <c r="O12" s="22">
        <f t="shared" si="1"/>
        <v>86207.43</v>
      </c>
      <c r="P12" s="24">
        <f t="shared" si="3"/>
        <v>287358.09999999998</v>
      </c>
    </row>
    <row r="13" spans="1:17" x14ac:dyDescent="0.25">
      <c r="A13" s="20" t="s">
        <v>81</v>
      </c>
      <c r="B13" s="21">
        <f>109438*0.7</f>
        <v>76606.599999999991</v>
      </c>
      <c r="C13" s="22">
        <f>109438*0.3</f>
        <v>32831.4</v>
      </c>
      <c r="D13" s="22">
        <f>90000*0.7</f>
        <v>62999.999999999993</v>
      </c>
      <c r="E13" s="22">
        <f>90000*0.3</f>
        <v>27000</v>
      </c>
      <c r="F13" s="22">
        <f t="shared" si="0"/>
        <v>139606.59999999998</v>
      </c>
      <c r="G13" s="22">
        <f t="shared" si="0"/>
        <v>59831.4</v>
      </c>
      <c r="H13" s="24">
        <f t="shared" si="2"/>
        <v>199437.99999999997</v>
      </c>
      <c r="I13" s="25"/>
      <c r="J13" s="26">
        <f>109291*0.7</f>
        <v>76503.7</v>
      </c>
      <c r="K13" s="22">
        <f>109291*0.3</f>
        <v>32787.299999999996</v>
      </c>
      <c r="L13" s="22">
        <f>90000*0.7</f>
        <v>62999.999999999993</v>
      </c>
      <c r="M13" s="22">
        <f>90000*0.3</f>
        <v>27000</v>
      </c>
      <c r="N13" s="22">
        <f t="shared" si="1"/>
        <v>139503.69999999998</v>
      </c>
      <c r="O13" s="22">
        <f t="shared" si="1"/>
        <v>59787.299999999996</v>
      </c>
      <c r="P13" s="24">
        <f t="shared" si="3"/>
        <v>199290.99999999997</v>
      </c>
    </row>
    <row r="14" spans="1:17" ht="31.5" x14ac:dyDescent="0.25">
      <c r="A14" s="20" t="s">
        <v>82</v>
      </c>
      <c r="B14" s="21">
        <v>94700</v>
      </c>
      <c r="C14" s="22">
        <f>421000*0.3</f>
        <v>126300</v>
      </c>
      <c r="D14" s="22">
        <f>100000*0.7</f>
        <v>70000</v>
      </c>
      <c r="E14" s="22">
        <f>100000*0.3</f>
        <v>30000</v>
      </c>
      <c r="F14" s="22">
        <f t="shared" si="0"/>
        <v>164700</v>
      </c>
      <c r="G14" s="22">
        <f t="shared" si="0"/>
        <v>156300</v>
      </c>
      <c r="H14" s="24">
        <f t="shared" si="2"/>
        <v>321000</v>
      </c>
      <c r="I14" s="25"/>
      <c r="J14" s="26">
        <f>221000*70%</f>
        <v>154700</v>
      </c>
      <c r="K14" s="22">
        <f>221000*30%</f>
        <v>66300</v>
      </c>
      <c r="L14" s="22">
        <f>100000*0.7</f>
        <v>70000</v>
      </c>
      <c r="M14" s="22">
        <f>100000*0.3</f>
        <v>30000</v>
      </c>
      <c r="N14" s="22">
        <f t="shared" si="1"/>
        <v>224700</v>
      </c>
      <c r="O14" s="22">
        <f t="shared" si="1"/>
        <v>96300</v>
      </c>
      <c r="P14" s="24">
        <f t="shared" si="3"/>
        <v>321000</v>
      </c>
    </row>
    <row r="15" spans="1:17" ht="31.5" x14ac:dyDescent="0.25">
      <c r="A15" s="20" t="s">
        <v>83</v>
      </c>
      <c r="B15" s="21">
        <f>17000*0.7</f>
        <v>11900</v>
      </c>
      <c r="C15" s="22">
        <f>17000*0.3</f>
        <v>5100</v>
      </c>
      <c r="D15" s="22">
        <f>10000*0.7</f>
        <v>7000</v>
      </c>
      <c r="E15" s="22">
        <f>10000*0.3</f>
        <v>3000</v>
      </c>
      <c r="F15" s="22">
        <f t="shared" si="0"/>
        <v>18900</v>
      </c>
      <c r="G15" s="22">
        <f t="shared" si="0"/>
        <v>8100</v>
      </c>
      <c r="H15" s="24">
        <f t="shared" si="2"/>
        <v>27000</v>
      </c>
      <c r="I15" s="25"/>
      <c r="J15" s="26">
        <f>245606*70%</f>
        <v>171924.19999999998</v>
      </c>
      <c r="K15" s="22">
        <f>245606*30%</f>
        <v>73681.8</v>
      </c>
      <c r="L15" s="22">
        <f>10000*0.7</f>
        <v>7000</v>
      </c>
      <c r="M15" s="22">
        <f>10000*0.3</f>
        <v>3000</v>
      </c>
      <c r="N15" s="22">
        <f t="shared" si="1"/>
        <v>178924.19999999998</v>
      </c>
      <c r="O15" s="22">
        <f t="shared" si="1"/>
        <v>76681.8</v>
      </c>
      <c r="P15" s="24">
        <f t="shared" si="3"/>
        <v>255606</v>
      </c>
    </row>
    <row r="16" spans="1:17" x14ac:dyDescent="0.25">
      <c r="A16" s="27" t="s">
        <v>84</v>
      </c>
      <c r="B16" s="28">
        <f>SUM(B9:B15)</f>
        <v>719625.9</v>
      </c>
      <c r="C16" s="29">
        <f>SUM(C9:C15)</f>
        <v>308411.09999999998</v>
      </c>
      <c r="D16" s="29">
        <f>SUM(D12:D15)</f>
        <v>196261.87</v>
      </c>
      <c r="E16" s="29">
        <f>SUM(E12:E15)</f>
        <v>84112.23</v>
      </c>
      <c r="F16" s="29">
        <f>SUM(F9:F15)</f>
        <v>915887.7699999999</v>
      </c>
      <c r="G16" s="29">
        <f t="shared" ref="G16:H16" si="4">SUM(G9:G15)</f>
        <v>392523.32999999996</v>
      </c>
      <c r="H16" s="30">
        <f t="shared" si="4"/>
        <v>1308411.1000000001</v>
      </c>
      <c r="I16" s="25"/>
      <c r="J16" s="31">
        <f>J9+J10+J11+J12+J13+J14+J15</f>
        <v>719625.89999999991</v>
      </c>
      <c r="K16" s="29">
        <f>K9+K10+K11+K12+K13+K14+K15</f>
        <v>308411.09999999998</v>
      </c>
      <c r="L16" s="29">
        <f>SUM(L12:L15)</f>
        <v>196261.87</v>
      </c>
      <c r="M16" s="29">
        <f>SUM(M12:M15)</f>
        <v>84112.23</v>
      </c>
      <c r="N16" s="29">
        <f>SUM(N9:N15)</f>
        <v>915887.7699999999</v>
      </c>
      <c r="O16" s="29">
        <f t="shared" ref="O16:P16" si="5">SUM(O9:O15)</f>
        <v>392523.32999999996</v>
      </c>
      <c r="P16" s="30">
        <f t="shared" si="5"/>
        <v>1308411.1000000001</v>
      </c>
    </row>
    <row r="17" spans="1:16" ht="32.25" thickBot="1" x14ac:dyDescent="0.3">
      <c r="A17" s="32" t="s">
        <v>85</v>
      </c>
      <c r="B17" s="33">
        <f>B16*0.07</f>
        <v>50373.813000000009</v>
      </c>
      <c r="C17" s="34">
        <f t="shared" ref="C17:E17" si="6">C16*0.07</f>
        <v>21588.777000000002</v>
      </c>
      <c r="D17" s="34">
        <f t="shared" si="6"/>
        <v>13738.330900000001</v>
      </c>
      <c r="E17" s="34">
        <f t="shared" si="6"/>
        <v>5887.8561</v>
      </c>
      <c r="F17" s="34">
        <f>F16*0.07</f>
        <v>64112.143900000003</v>
      </c>
      <c r="G17" s="34">
        <f t="shared" ref="G17:H17" si="7">G16*0.07</f>
        <v>27476.633099999999</v>
      </c>
      <c r="H17" s="35">
        <f t="shared" si="7"/>
        <v>91588.777000000016</v>
      </c>
      <c r="I17" s="36"/>
      <c r="J17" s="37">
        <f>J16*0.07</f>
        <v>50373.812999999995</v>
      </c>
      <c r="K17" s="34">
        <f t="shared" ref="K17:M17" si="8">K16*0.07</f>
        <v>21588.777000000002</v>
      </c>
      <c r="L17" s="34">
        <f t="shared" si="8"/>
        <v>13738.330900000001</v>
      </c>
      <c r="M17" s="34">
        <f t="shared" si="8"/>
        <v>5887.8561</v>
      </c>
      <c r="N17" s="34">
        <f>N16*0.07</f>
        <v>64112.143900000003</v>
      </c>
      <c r="O17" s="34">
        <f t="shared" ref="O17:P17" si="9">O16*0.07</f>
        <v>27476.633099999999</v>
      </c>
      <c r="P17" s="35">
        <f t="shared" si="9"/>
        <v>91588.777000000016</v>
      </c>
    </row>
    <row r="18" spans="1:16" ht="16.5" thickBot="1" x14ac:dyDescent="0.3">
      <c r="A18" s="38" t="s">
        <v>86</v>
      </c>
      <c r="B18" s="39">
        <f>SUM(B16:B17)</f>
        <v>769999.71299999999</v>
      </c>
      <c r="C18" s="40">
        <f>SUM(C16:C17)</f>
        <v>329999.87699999998</v>
      </c>
      <c r="D18" s="40">
        <f>SUM(D16:D17)</f>
        <v>210000.2009</v>
      </c>
      <c r="E18" s="40">
        <f>SUM(E16:E17)</f>
        <v>90000.0861</v>
      </c>
      <c r="F18" s="40">
        <f>SUM(F16:F17)</f>
        <v>979999.91389999993</v>
      </c>
      <c r="G18" s="40">
        <f t="shared" ref="G18:H18" si="10">SUM(G16:G17)</f>
        <v>419999.96309999994</v>
      </c>
      <c r="H18" s="41">
        <f t="shared" si="10"/>
        <v>1399999.8770000001</v>
      </c>
      <c r="I18" s="42"/>
      <c r="J18" s="43">
        <f>SUM(J16:J17)</f>
        <v>769999.71299999987</v>
      </c>
      <c r="K18" s="40">
        <f>SUM(K16:K17)</f>
        <v>329999.87699999998</v>
      </c>
      <c r="L18" s="40">
        <f>SUM(L16:L17)</f>
        <v>210000.2009</v>
      </c>
      <c r="M18" s="40">
        <f>SUM(M16:M17)</f>
        <v>90000.0861</v>
      </c>
      <c r="N18" s="40">
        <f>SUM(N16:N17)</f>
        <v>979999.91389999993</v>
      </c>
      <c r="O18" s="40">
        <f t="shared" ref="O18:P18" si="11">SUM(O16:O17)</f>
        <v>419999.96309999994</v>
      </c>
      <c r="P18" s="41">
        <f t="shared" si="11"/>
        <v>1399999.8770000001</v>
      </c>
    </row>
    <row r="19" spans="1:16" x14ac:dyDescent="0.25">
      <c r="K19" s="5"/>
      <c r="M19" s="5"/>
    </row>
    <row r="20" spans="1:16" x14ac:dyDescent="0.25">
      <c r="J20" s="6"/>
      <c r="K20" s="6"/>
      <c r="L20" s="6"/>
      <c r="M20" s="6"/>
    </row>
  </sheetData>
  <mergeCells count="13">
    <mergeCell ref="N7:N8"/>
    <mergeCell ref="O7:O8"/>
    <mergeCell ref="P7:P8"/>
    <mergeCell ref="A6:A8"/>
    <mergeCell ref="B6:H6"/>
    <mergeCell ref="J6:P6"/>
    <mergeCell ref="B7:C7"/>
    <mergeCell ref="D7:E7"/>
    <mergeCell ref="F7:F8"/>
    <mergeCell ref="G7:G8"/>
    <mergeCell ref="H7:H8"/>
    <mergeCell ref="J7:K7"/>
    <mergeCell ref="L7:M7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abSelected="1" zoomScale="90" zoomScaleNormal="90" workbookViewId="0">
      <selection activeCell="F43" sqref="F43"/>
    </sheetView>
  </sheetViews>
  <sheetFormatPr defaultColWidth="8.7109375" defaultRowHeight="12.75" x14ac:dyDescent="0.2"/>
  <cols>
    <col min="1" max="1" width="16.42578125" style="44" customWidth="1"/>
    <col min="2" max="2" width="35.42578125" style="44" customWidth="1"/>
    <col min="3" max="3" width="12.28515625" style="44" customWidth="1"/>
    <col min="4" max="4" width="13.42578125" style="44" customWidth="1"/>
    <col min="5" max="5" width="16.42578125" style="44" customWidth="1"/>
    <col min="6" max="6" width="19.140625" style="44" customWidth="1"/>
    <col min="7" max="7" width="21" style="44" customWidth="1"/>
    <col min="8" max="16384" width="8.7109375" style="44"/>
  </cols>
  <sheetData>
    <row r="1" spans="1:7" x14ac:dyDescent="0.2">
      <c r="A1" s="44" t="s">
        <v>0</v>
      </c>
    </row>
    <row r="3" spans="1:7" x14ac:dyDescent="0.2">
      <c r="A3" s="44" t="s">
        <v>1</v>
      </c>
    </row>
    <row r="4" spans="1:7" x14ac:dyDescent="0.2">
      <c r="A4" s="44" t="s">
        <v>2</v>
      </c>
    </row>
    <row r="6" spans="1:7" s="53" customFormat="1" ht="59.1" customHeight="1" x14ac:dyDescent="0.25">
      <c r="A6" s="55" t="s">
        <v>3</v>
      </c>
      <c r="B6" s="55" t="s">
        <v>4</v>
      </c>
      <c r="C6" s="55" t="s">
        <v>87</v>
      </c>
      <c r="D6" s="55" t="s">
        <v>88</v>
      </c>
      <c r="E6" s="55" t="s">
        <v>5</v>
      </c>
      <c r="F6" s="55" t="s">
        <v>6</v>
      </c>
      <c r="G6" s="55" t="s">
        <v>7</v>
      </c>
    </row>
    <row r="7" spans="1:7" s="56" customFormat="1" ht="26.45" customHeight="1" x14ac:dyDescent="0.25">
      <c r="A7" s="73" t="s">
        <v>8</v>
      </c>
      <c r="B7" s="74"/>
      <c r="C7" s="74"/>
      <c r="D7" s="74"/>
      <c r="E7" s="74"/>
      <c r="F7" s="74"/>
      <c r="G7" s="75"/>
    </row>
    <row r="8" spans="1:7" s="53" customFormat="1" ht="25.5" customHeight="1" x14ac:dyDescent="0.25">
      <c r="A8" s="46" t="s">
        <v>9</v>
      </c>
      <c r="B8" s="55" t="s">
        <v>10</v>
      </c>
      <c r="C8" s="49"/>
      <c r="D8" s="49"/>
      <c r="E8" s="49">
        <v>40</v>
      </c>
      <c r="F8" s="49"/>
      <c r="G8" s="46"/>
    </row>
    <row r="9" spans="1:7" ht="65.45" customHeight="1" x14ac:dyDescent="0.2">
      <c r="A9" s="46" t="s">
        <v>11</v>
      </c>
      <c r="B9" s="45" t="s">
        <v>12</v>
      </c>
      <c r="C9" s="49">
        <v>30000</v>
      </c>
      <c r="D9" s="49"/>
      <c r="E9" s="49"/>
      <c r="F9" s="49">
        <v>27652.949999999997</v>
      </c>
      <c r="G9" s="46"/>
    </row>
    <row r="10" spans="1:7" s="53" customFormat="1" ht="38.25" x14ac:dyDescent="0.25">
      <c r="A10" s="46" t="s">
        <v>13</v>
      </c>
      <c r="B10" s="55" t="s">
        <v>14</v>
      </c>
      <c r="C10" s="49">
        <v>35000</v>
      </c>
      <c r="D10" s="49"/>
      <c r="E10" s="49"/>
      <c r="F10" s="49">
        <v>30726.92</v>
      </c>
      <c r="G10" s="46"/>
    </row>
    <row r="11" spans="1:7" s="53" customFormat="1" ht="38.25" x14ac:dyDescent="0.25">
      <c r="A11" s="46" t="s">
        <v>15</v>
      </c>
      <c r="B11" s="55" t="s">
        <v>16</v>
      </c>
      <c r="C11" s="49">
        <v>5000</v>
      </c>
      <c r="D11" s="49"/>
      <c r="E11" s="49"/>
      <c r="F11" s="49"/>
      <c r="G11" s="46"/>
    </row>
    <row r="12" spans="1:7" s="53" customFormat="1" ht="25.5" customHeight="1" x14ac:dyDescent="0.25">
      <c r="A12" s="46" t="s">
        <v>17</v>
      </c>
      <c r="B12" s="55" t="s">
        <v>18</v>
      </c>
      <c r="C12" s="49">
        <v>35000</v>
      </c>
      <c r="D12" s="49"/>
      <c r="E12" s="49"/>
      <c r="F12" s="49">
        <v>96.12</v>
      </c>
      <c r="G12" s="46"/>
    </row>
    <row r="13" spans="1:7" ht="38.25" x14ac:dyDescent="0.2">
      <c r="A13" s="48" t="s">
        <v>19</v>
      </c>
      <c r="B13" s="45" t="s">
        <v>20</v>
      </c>
      <c r="C13" s="49"/>
      <c r="D13" s="49"/>
      <c r="E13" s="49">
        <v>40</v>
      </c>
      <c r="F13" s="49"/>
      <c r="G13" s="48"/>
    </row>
    <row r="14" spans="1:7" ht="30" customHeight="1" x14ac:dyDescent="0.2">
      <c r="A14" s="46" t="s">
        <v>21</v>
      </c>
      <c r="B14" s="55" t="s">
        <v>22</v>
      </c>
      <c r="C14" s="49">
        <v>50000</v>
      </c>
      <c r="D14" s="49"/>
      <c r="E14" s="49"/>
      <c r="F14" s="49">
        <v>12694.93</v>
      </c>
      <c r="G14" s="48"/>
    </row>
    <row r="15" spans="1:7" ht="24" customHeight="1" x14ac:dyDescent="0.2">
      <c r="A15" s="46" t="s">
        <v>23</v>
      </c>
      <c r="B15" s="55" t="s">
        <v>24</v>
      </c>
      <c r="C15" s="49">
        <v>55000</v>
      </c>
      <c r="D15" s="49"/>
      <c r="E15" s="49"/>
      <c r="F15" s="49">
        <v>40442.370000000003</v>
      </c>
      <c r="G15" s="48"/>
    </row>
    <row r="16" spans="1:7" ht="30.6" customHeight="1" x14ac:dyDescent="0.2">
      <c r="A16" s="46" t="s">
        <v>25</v>
      </c>
      <c r="B16" s="55" t="s">
        <v>26</v>
      </c>
      <c r="C16" s="49">
        <v>15000</v>
      </c>
      <c r="D16" s="49"/>
      <c r="E16" s="49"/>
      <c r="F16" s="49">
        <v>14372</v>
      </c>
      <c r="G16" s="48"/>
    </row>
    <row r="17" spans="1:7" ht="25.5" x14ac:dyDescent="0.2">
      <c r="A17" s="48" t="s">
        <v>27</v>
      </c>
      <c r="B17" s="45" t="s">
        <v>28</v>
      </c>
      <c r="C17" s="47"/>
      <c r="D17" s="47"/>
      <c r="E17" s="47">
        <v>40</v>
      </c>
      <c r="F17" s="47"/>
      <c r="G17" s="48"/>
    </row>
    <row r="18" spans="1:7" ht="25.5" x14ac:dyDescent="0.2">
      <c r="A18" s="48" t="s">
        <v>29</v>
      </c>
      <c r="B18" s="45" t="s">
        <v>30</v>
      </c>
      <c r="C18" s="49">
        <v>18200</v>
      </c>
      <c r="D18" s="47"/>
      <c r="E18" s="47"/>
      <c r="F18" s="47"/>
      <c r="G18" s="48"/>
    </row>
    <row r="19" spans="1:7" ht="38.25" x14ac:dyDescent="0.2">
      <c r="A19" s="46" t="s">
        <v>31</v>
      </c>
      <c r="B19" s="55" t="s">
        <v>32</v>
      </c>
      <c r="C19" s="49">
        <v>50000</v>
      </c>
      <c r="D19" s="49"/>
      <c r="E19" s="49"/>
      <c r="F19" s="49">
        <v>27835.430000000004</v>
      </c>
      <c r="G19" s="48"/>
    </row>
    <row r="20" spans="1:7" s="56" customFormat="1" ht="21" customHeight="1" x14ac:dyDescent="0.25">
      <c r="A20" s="57" t="s">
        <v>33</v>
      </c>
      <c r="B20" s="57"/>
      <c r="C20" s="52">
        <v>293200</v>
      </c>
      <c r="D20" s="52"/>
      <c r="E20" s="52"/>
      <c r="F20" s="52">
        <f>SUM(F9:F19)</f>
        <v>153820.72</v>
      </c>
      <c r="G20" s="57"/>
    </row>
    <row r="21" spans="1:7" ht="17.100000000000001" customHeight="1" x14ac:dyDescent="0.2">
      <c r="A21" s="76" t="s">
        <v>34</v>
      </c>
      <c r="B21" s="77"/>
      <c r="C21" s="77"/>
      <c r="D21" s="77"/>
      <c r="E21" s="77"/>
      <c r="F21" s="77"/>
      <c r="G21" s="78"/>
    </row>
    <row r="22" spans="1:7" ht="25.5" x14ac:dyDescent="0.2">
      <c r="A22" s="48" t="s">
        <v>35</v>
      </c>
      <c r="B22" s="45" t="s">
        <v>36</v>
      </c>
      <c r="C22" s="47"/>
      <c r="D22" s="47"/>
      <c r="E22" s="47">
        <v>40</v>
      </c>
      <c r="F22" s="47"/>
      <c r="G22" s="48"/>
    </row>
    <row r="23" spans="1:7" ht="25.5" x14ac:dyDescent="0.2">
      <c r="A23" s="48" t="s">
        <v>37</v>
      </c>
      <c r="B23" s="45" t="s">
        <v>38</v>
      </c>
      <c r="C23" s="47">
        <v>100000</v>
      </c>
      <c r="D23" s="47"/>
      <c r="E23" s="47"/>
      <c r="F23" s="47"/>
      <c r="G23" s="48"/>
    </row>
    <row r="24" spans="1:7" ht="38.25" x14ac:dyDescent="0.2">
      <c r="A24" s="48" t="s">
        <v>39</v>
      </c>
      <c r="B24" s="45" t="s">
        <v>40</v>
      </c>
      <c r="C24" s="47">
        <v>50000</v>
      </c>
      <c r="D24" s="47"/>
      <c r="E24" s="47"/>
      <c r="F24" s="47"/>
      <c r="G24" s="48"/>
    </row>
    <row r="25" spans="1:7" ht="25.5" x14ac:dyDescent="0.2">
      <c r="A25" s="48" t="s">
        <v>41</v>
      </c>
      <c r="B25" s="45" t="s">
        <v>42</v>
      </c>
      <c r="C25" s="47"/>
      <c r="D25" s="47"/>
      <c r="E25" s="47"/>
      <c r="F25" s="47"/>
      <c r="G25" s="48"/>
    </row>
    <row r="26" spans="1:7" ht="38.25" x14ac:dyDescent="0.2">
      <c r="A26" s="48" t="s">
        <v>43</v>
      </c>
      <c r="B26" s="45" t="s">
        <v>44</v>
      </c>
      <c r="C26" s="47">
        <v>236837</v>
      </c>
      <c r="D26" s="47"/>
      <c r="E26" s="47">
        <v>40</v>
      </c>
      <c r="F26" s="47">
        <v>260188.6</v>
      </c>
      <c r="G26" s="48"/>
    </row>
    <row r="27" spans="1:7" ht="25.5" x14ac:dyDescent="0.2">
      <c r="A27" s="48" t="s">
        <v>45</v>
      </c>
      <c r="B27" s="45" t="s">
        <v>46</v>
      </c>
      <c r="C27" s="47">
        <v>100000</v>
      </c>
      <c r="D27" s="47"/>
      <c r="E27" s="47"/>
      <c r="F27" s="47">
        <v>44634.990000000005</v>
      </c>
      <c r="G27" s="48"/>
    </row>
    <row r="28" spans="1:7" ht="38.25" x14ac:dyDescent="0.2">
      <c r="A28" s="48" t="s">
        <v>47</v>
      </c>
      <c r="B28" s="45" t="s">
        <v>89</v>
      </c>
      <c r="C28" s="47">
        <v>100000</v>
      </c>
      <c r="D28" s="47"/>
      <c r="E28" s="47"/>
      <c r="F28" s="47">
        <v>61920.330000000009</v>
      </c>
      <c r="G28" s="48"/>
    </row>
    <row r="29" spans="1:7" ht="38.25" x14ac:dyDescent="0.2">
      <c r="A29" s="48" t="s">
        <v>48</v>
      </c>
      <c r="B29" s="45" t="s">
        <v>49</v>
      </c>
      <c r="C29" s="47"/>
      <c r="D29" s="47"/>
      <c r="E29" s="47">
        <v>40</v>
      </c>
      <c r="F29" s="47"/>
      <c r="G29" s="48"/>
    </row>
    <row r="30" spans="1:7" ht="25.5" x14ac:dyDescent="0.2">
      <c r="A30" s="48" t="s">
        <v>50</v>
      </c>
      <c r="B30" s="45" t="s">
        <v>51</v>
      </c>
      <c r="C30" s="47"/>
      <c r="D30" s="47"/>
      <c r="E30" s="47"/>
      <c r="F30" s="47"/>
      <c r="G30" s="48"/>
    </row>
    <row r="31" spans="1:7" ht="25.5" x14ac:dyDescent="0.2">
      <c r="A31" s="48" t="s">
        <v>52</v>
      </c>
      <c r="B31" s="45" t="s">
        <v>53</v>
      </c>
      <c r="C31" s="47"/>
      <c r="D31" s="47"/>
      <c r="E31" s="47"/>
      <c r="F31" s="47"/>
      <c r="G31" s="48"/>
    </row>
    <row r="32" spans="1:7" ht="25.5" x14ac:dyDescent="0.2">
      <c r="A32" s="48" t="s">
        <v>54</v>
      </c>
      <c r="B32" s="45" t="s">
        <v>55</v>
      </c>
      <c r="C32" s="47"/>
      <c r="D32" s="47"/>
      <c r="E32" s="47"/>
      <c r="F32" s="47"/>
      <c r="G32" s="48"/>
    </row>
    <row r="33" spans="1:7" ht="25.5" x14ac:dyDescent="0.2">
      <c r="A33" s="48" t="s">
        <v>56</v>
      </c>
      <c r="B33" s="45" t="s">
        <v>57</v>
      </c>
      <c r="C33" s="47"/>
      <c r="D33" s="44">
        <v>186916</v>
      </c>
      <c r="E33" s="47"/>
      <c r="F33" s="47">
        <v>145818.5</v>
      </c>
      <c r="G33" s="48"/>
    </row>
    <row r="34" spans="1:7" s="53" customFormat="1" ht="23.1" customHeight="1" x14ac:dyDescent="0.25">
      <c r="A34" s="46" t="s">
        <v>58</v>
      </c>
      <c r="B34" s="46"/>
      <c r="C34" s="49">
        <v>586837</v>
      </c>
      <c r="D34" s="49">
        <f>D33</f>
        <v>186916</v>
      </c>
      <c r="E34" s="49"/>
      <c r="F34" s="52">
        <f>SUM(F22:F33)</f>
        <v>512562.42000000004</v>
      </c>
      <c r="G34" s="46"/>
    </row>
    <row r="35" spans="1:7" ht="55.5" customHeight="1" x14ac:dyDescent="0.2">
      <c r="A35" s="45" t="s">
        <v>59</v>
      </c>
      <c r="B35" s="45"/>
      <c r="C35" s="49">
        <v>54000</v>
      </c>
      <c r="D35" s="49"/>
      <c r="E35" s="49"/>
      <c r="F35" s="49">
        <v>62653.489999999976</v>
      </c>
      <c r="G35" s="48"/>
    </row>
    <row r="36" spans="1:7" ht="38.25" x14ac:dyDescent="0.2">
      <c r="A36" s="45" t="s">
        <v>60</v>
      </c>
      <c r="B36" s="48"/>
      <c r="C36" s="49">
        <v>24000</v>
      </c>
      <c r="D36" s="49"/>
      <c r="E36" s="49"/>
      <c r="F36" s="49">
        <v>24417.039999999994</v>
      </c>
      <c r="G36" s="48"/>
    </row>
    <row r="37" spans="1:7" x14ac:dyDescent="0.2">
      <c r="A37" s="45" t="s">
        <v>61</v>
      </c>
      <c r="B37" s="48" t="s">
        <v>62</v>
      </c>
      <c r="C37" s="49">
        <v>70000</v>
      </c>
      <c r="D37" s="49"/>
      <c r="E37" s="49"/>
      <c r="F37" s="49">
        <v>78022.399999999994</v>
      </c>
      <c r="G37" s="48"/>
    </row>
    <row r="38" spans="1:7" s="51" customFormat="1" ht="25.5" x14ac:dyDescent="0.2">
      <c r="A38" s="54" t="s">
        <v>63</v>
      </c>
      <c r="B38" s="50"/>
      <c r="C38" s="52">
        <v>1028037</v>
      </c>
      <c r="D38" s="52">
        <f>D34</f>
        <v>186916</v>
      </c>
      <c r="E38" s="52"/>
      <c r="F38" s="52">
        <f>F20+F34+F35+F36+F37</f>
        <v>831476.07000000007</v>
      </c>
      <c r="G38" s="50"/>
    </row>
    <row r="39" spans="1:7" ht="25.5" x14ac:dyDescent="0.2">
      <c r="A39" s="45" t="s">
        <v>64</v>
      </c>
      <c r="B39" s="48"/>
      <c r="C39" s="49">
        <v>71962.590000000011</v>
      </c>
      <c r="D39" s="58">
        <f>D38*7%</f>
        <v>13084.12</v>
      </c>
      <c r="E39" s="49"/>
      <c r="F39" s="58">
        <f>F38*7%</f>
        <v>58203.324900000007</v>
      </c>
      <c r="G39" s="48"/>
    </row>
    <row r="40" spans="1:7" s="51" customFormat="1" ht="25.5" x14ac:dyDescent="0.2">
      <c r="A40" s="54" t="s">
        <v>65</v>
      </c>
      <c r="B40" s="50"/>
      <c r="C40" s="52">
        <v>1099999.5900000001</v>
      </c>
      <c r="D40" s="52">
        <f>D39+D38</f>
        <v>200000.12</v>
      </c>
      <c r="E40" s="52"/>
      <c r="F40" s="52">
        <f>F38+F39</f>
        <v>889679.39490000007</v>
      </c>
      <c r="G40" s="50"/>
    </row>
    <row r="41" spans="1:7" x14ac:dyDescent="0.2">
      <c r="F41" s="79"/>
    </row>
  </sheetData>
  <mergeCells count="2">
    <mergeCell ref="A7:G7"/>
    <mergeCell ref="A21:G21"/>
  </mergeCells>
  <pageMargins left="0.25" right="0.25" top="0.75" bottom="0.75" header="0.3" footer="0.3"/>
  <pageSetup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2" ma:contentTypeDescription="Create a new document." ma:contentTypeScope="" ma:versionID="cea61b834f8ee701850a84e4d098b1dc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b7c69fab125bdb54e21c4307976656df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f9695bc1-6109-4dcd-a27a-f8a0370b00e2">Final narrative report</DocumentType>
    <UploadedBy xmlns="b1528a4b-5ccb-40f7-a09e-43427183cd95">mamadou.salieu.bah@undp.org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Yes</DocModified>
    <NarrativeCode xmlns="b1528a4b-5ccb-40f7-a09e-43427183cd95" xsi:nil="true"/>
    <DocumentOrigin xmlns="b1528a4b-5ccb-40f7-a09e-43427183cd95">Project</DocumentOrigin>
    <DrupalDocId xmlns="b1528a4b-5ccb-40f7-a09e-43427183cd95">5443e0f9-2da2-4e19-85ae-dea56d7f5d4e</DrupalDocId>
    <TaxCatchAll xmlns="cb759e4c-f0d7-4feb-bda3-ed2800574e06" xsi:nil="true"/>
    <Status xmlns="b1528a4b-5ccb-40f7-a09e-43427183cd95">Finalized - Signature Redacted</Status>
    <lcf76f155ced4ddcb4097134ff3c332f xmlns="b1528a4b-5ccb-40f7-a09e-43427183cd95">
      <Terms xmlns="http://schemas.microsoft.com/office/infopath/2007/PartnerControls"/>
    </lcf76f155ced4ddcb4097134ff3c332f>
    <ProjectId xmlns="f9695bc1-6109-4dcd-a27a-f8a0370b00e2">MPTF_00006_00579</ProjectId>
    <FundCode xmlns="f9695bc1-6109-4dcd-a27a-f8a0370b00e2">MPTF_00006</FundCode>
    <Comments xmlns="f9695bc1-6109-4dcd-a27a-f8a0370b00e2">final Financial Report</Comments>
    <Active xmlns="f9695bc1-6109-4dcd-a27a-f8a0370b00e2">Yes</Active>
    <DocumentDate xmlns="b1528a4b-5ccb-40f7-a09e-43427183cd95">2021-05-11T07:00:00+00:00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2564816E-16A7-4C7E-BBBD-629794DCB4B3}"/>
</file>

<file path=customXml/itemProps2.xml><?xml version="1.0" encoding="utf-8"?>
<ds:datastoreItem xmlns:ds="http://schemas.openxmlformats.org/officeDocument/2006/customXml" ds:itemID="{247C72DB-0254-4061-9802-445ED9484F9B}"/>
</file>

<file path=customXml/itemProps3.xml><?xml version="1.0" encoding="utf-8"?>
<ds:datastoreItem xmlns:ds="http://schemas.openxmlformats.org/officeDocument/2006/customXml" ds:itemID="{D5FBE90E-FA88-472C-AD02-E7967E47D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Consolidated</vt:lpstr>
      <vt:lpstr>Output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PBF Land Project Financial Report - May 2021.xlsx</dc:title>
  <dc:creator>Windows User</dc:creator>
  <cp:lastModifiedBy>Ndella Faye Colley</cp:lastModifiedBy>
  <cp:lastPrinted>2021-05-05T15:13:33Z</cp:lastPrinted>
  <dcterms:created xsi:type="dcterms:W3CDTF">2021-04-29T14:15:58Z</dcterms:created>
  <dcterms:modified xsi:type="dcterms:W3CDTF">2021-05-11T13:00:47Z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  <property fmtid="{D5CDD505-2E9C-101B-9397-08002B2CF9AE}" pid="3" name="MediaServiceImageTags">
    <vt:lpwstr/>
  </property>
</Properties>
</file>