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2019 PBF Reporting\Annual Reports\Advancing Reconciliation\Final\"/>
    </mc:Choice>
  </mc:AlternateContent>
  <xr:revisionPtr revIDLastSave="0" documentId="8_{8B0EB123-54B5-4A34-AE08-EDE6B4CA959B}" xr6:coauthVersionLast="41" xr6:coauthVersionMax="41" xr10:uidLastSave="{00000000-0000-0000-0000-000000000000}"/>
  <bookViews>
    <workbookView xWindow="-108" yWindow="-108" windowWidth="23256" windowHeight="12576" activeTab="1" xr2:uid="{00000000-000D-0000-FFFF-FFFF00000000}"/>
  </bookViews>
  <sheets>
    <sheet name="Activity" sheetId="3" r:id="rId1"/>
    <sheet name="Category"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3" l="1"/>
  <c r="G13" i="3"/>
  <c r="G14" i="3"/>
  <c r="G15" i="3"/>
  <c r="G16" i="3"/>
  <c r="G17" i="3"/>
  <c r="G18" i="3"/>
  <c r="G19" i="3"/>
  <c r="G20" i="3"/>
  <c r="G21" i="3"/>
  <c r="G22" i="3"/>
  <c r="G25" i="3"/>
  <c r="G26" i="3"/>
  <c r="G27" i="3"/>
  <c r="G28" i="3"/>
  <c r="G29" i="3"/>
  <c r="G30" i="3"/>
  <c r="G41" i="3"/>
  <c r="G42" i="3"/>
  <c r="G43" i="3"/>
  <c r="G44" i="3"/>
  <c r="G45" i="3"/>
  <c r="G46" i="3"/>
  <c r="G47" i="3"/>
  <c r="G48" i="3"/>
  <c r="G49" i="3"/>
  <c r="G50" i="3"/>
  <c r="G51" i="3"/>
  <c r="G52" i="3"/>
  <c r="G53" i="3"/>
  <c r="G70" i="3"/>
  <c r="G72" i="3"/>
  <c r="G73" i="3"/>
  <c r="G74" i="3"/>
  <c r="G75" i="3"/>
  <c r="G78" i="3"/>
  <c r="G77" i="3"/>
  <c r="F6" i="3"/>
  <c r="F7" i="3"/>
  <c r="F41" i="3"/>
  <c r="F42" i="3"/>
  <c r="F70" i="3"/>
  <c r="F75" i="3"/>
  <c r="F78" i="3" l="1"/>
  <c r="M24" i="3"/>
  <c r="M23" i="3"/>
  <c r="M42" i="3"/>
  <c r="M41" i="3"/>
  <c r="M33" i="3"/>
  <c r="M34" i="3"/>
  <c r="M35" i="3"/>
  <c r="M36" i="3"/>
  <c r="M37" i="3"/>
  <c r="M38" i="3"/>
  <c r="M39" i="3"/>
  <c r="M40" i="3"/>
  <c r="M32" i="3"/>
  <c r="M31" i="3"/>
  <c r="M55" i="3"/>
  <c r="M54" i="3"/>
  <c r="M70" i="3"/>
  <c r="M71" i="3"/>
  <c r="M80" i="3"/>
  <c r="M79" i="3"/>
  <c r="M78" i="3"/>
  <c r="M77" i="3"/>
  <c r="M76" i="3"/>
  <c r="M6" i="3"/>
  <c r="G6" i="3"/>
  <c r="L79" i="3"/>
  <c r="T6" i="4"/>
  <c r="T7" i="4"/>
  <c r="S13" i="4"/>
  <c r="J80" i="3" l="1"/>
  <c r="J79" i="3"/>
  <c r="J78" i="3"/>
  <c r="J72" i="3"/>
  <c r="J70" i="3"/>
  <c r="J64" i="3"/>
  <c r="J65" i="3"/>
  <c r="J66" i="3"/>
  <c r="J67" i="3"/>
  <c r="J68" i="3"/>
  <c r="J69" i="3"/>
  <c r="J60" i="3"/>
  <c r="J61" i="3"/>
  <c r="J62" i="3"/>
  <c r="J63" i="3"/>
  <c r="J58" i="3"/>
  <c r="J59" i="3"/>
  <c r="J57" i="3"/>
  <c r="J56" i="3"/>
  <c r="J41" i="3"/>
  <c r="J9" i="3"/>
  <c r="J10" i="3"/>
  <c r="J11" i="3"/>
  <c r="J12" i="3"/>
  <c r="J8" i="3"/>
  <c r="J7" i="3"/>
  <c r="J6" i="3"/>
  <c r="I7" i="3" l="1"/>
  <c r="I42" i="3"/>
  <c r="I56" i="3"/>
  <c r="I41" i="3" s="1"/>
  <c r="I70" i="3"/>
  <c r="I75" i="3"/>
  <c r="M13" i="4"/>
  <c r="I6" i="3" l="1"/>
  <c r="I78" i="3"/>
  <c r="G9" i="4"/>
  <c r="G11" i="4"/>
  <c r="G6" i="4"/>
  <c r="F13" i="4" s="1"/>
  <c r="Y7" i="4"/>
  <c r="Y8" i="4"/>
  <c r="Y9" i="4"/>
  <c r="Y10" i="4"/>
  <c r="Y11" i="4"/>
  <c r="X6" i="4"/>
  <c r="X7" i="4"/>
  <c r="X8" i="4"/>
  <c r="X9" i="4"/>
  <c r="X10" i="4"/>
  <c r="X11" i="4"/>
  <c r="Y5" i="4"/>
  <c r="X5" i="4"/>
  <c r="L31" i="3"/>
  <c r="L7" i="3"/>
  <c r="L42" i="3"/>
  <c r="L41" i="3" s="1"/>
  <c r="L70" i="3"/>
  <c r="L75" i="3"/>
  <c r="R12" i="4"/>
  <c r="R13" i="4" s="1"/>
  <c r="S12" i="4"/>
  <c r="S14" i="4" s="1"/>
  <c r="L12" i="4"/>
  <c r="M12" i="4"/>
  <c r="M14" i="4" s="1"/>
  <c r="F12" i="4"/>
  <c r="E73" i="3"/>
  <c r="E77" i="3"/>
  <c r="H72" i="3"/>
  <c r="H70" i="3" s="1"/>
  <c r="E9" i="4"/>
  <c r="C9" i="4" s="1"/>
  <c r="H9" i="4" s="1"/>
  <c r="E6" i="4"/>
  <c r="K39" i="3"/>
  <c r="K38" i="3"/>
  <c r="K35" i="3"/>
  <c r="K34" i="3"/>
  <c r="K33" i="3"/>
  <c r="K32" i="3"/>
  <c r="K31" i="3" s="1"/>
  <c r="K6" i="3" s="1"/>
  <c r="H9" i="3"/>
  <c r="H65" i="3"/>
  <c r="H64" i="3"/>
  <c r="H63" i="3"/>
  <c r="K10" i="4" s="1"/>
  <c r="H61" i="3"/>
  <c r="H56" i="3" s="1"/>
  <c r="H8" i="3"/>
  <c r="E56" i="3"/>
  <c r="K56" i="3"/>
  <c r="K8" i="4"/>
  <c r="Q9" i="4"/>
  <c r="O9" i="4" s="1"/>
  <c r="K71" i="3"/>
  <c r="K70" i="3" s="1"/>
  <c r="E75" i="3"/>
  <c r="H75" i="3"/>
  <c r="K75" i="3"/>
  <c r="E70" i="3"/>
  <c r="K55" i="3"/>
  <c r="Q8" i="4"/>
  <c r="P8" i="4" s="1"/>
  <c r="E18" i="3"/>
  <c r="E51" i="3"/>
  <c r="E8" i="4" s="1"/>
  <c r="C87" i="3"/>
  <c r="E7" i="4"/>
  <c r="E12" i="4" s="1"/>
  <c r="Q11" i="4"/>
  <c r="E31" i="3"/>
  <c r="E11" i="4"/>
  <c r="C11" i="4" s="1"/>
  <c r="Q5" i="4"/>
  <c r="O5" i="4" s="1"/>
  <c r="H42" i="3"/>
  <c r="K42" i="3"/>
  <c r="K41" i="3" s="1"/>
  <c r="K78" i="3" s="1"/>
  <c r="H31" i="3"/>
  <c r="K11" i="4"/>
  <c r="I11" i="4" s="1"/>
  <c r="N11" i="4" s="1"/>
  <c r="D11" i="4"/>
  <c r="I6" i="4"/>
  <c r="J11" i="4"/>
  <c r="P11" i="4"/>
  <c r="O11" i="4"/>
  <c r="T11" i="4"/>
  <c r="C6" i="4"/>
  <c r="D6" i="4"/>
  <c r="P9" i="4"/>
  <c r="K24" i="3"/>
  <c r="Q6" i="4" s="1"/>
  <c r="H10" i="3"/>
  <c r="K7" i="3"/>
  <c r="E42" i="3"/>
  <c r="E41" i="3"/>
  <c r="E78" i="3" s="1"/>
  <c r="E79" i="3" s="1"/>
  <c r="J8" i="4"/>
  <c r="E7" i="3"/>
  <c r="E6" i="3" s="1"/>
  <c r="H7" i="3"/>
  <c r="H6" i="3" s="1"/>
  <c r="I8" i="4"/>
  <c r="N8" i="4" s="1"/>
  <c r="J6" i="4"/>
  <c r="O8" i="4"/>
  <c r="T8" i="4" s="1"/>
  <c r="P70" i="3"/>
  <c r="L6" i="3" l="1"/>
  <c r="L78" i="3"/>
  <c r="T5" i="4"/>
  <c r="U5" i="4"/>
  <c r="D9" i="4"/>
  <c r="V11" i="4"/>
  <c r="W11" i="4" s="1"/>
  <c r="G12" i="4"/>
  <c r="L13" i="4"/>
  <c r="Z5" i="4"/>
  <c r="Y6" i="4"/>
  <c r="D7" i="4"/>
  <c r="V7" i="4" s="1"/>
  <c r="P5" i="4"/>
  <c r="V5" i="4" s="1"/>
  <c r="W5" i="4" s="1"/>
  <c r="F14" i="4"/>
  <c r="P6" i="4"/>
  <c r="V6" i="4" s="1"/>
  <c r="O6" i="4"/>
  <c r="K79" i="3"/>
  <c r="Q13" i="4" s="1"/>
  <c r="H41" i="3"/>
  <c r="H78" i="3" s="1"/>
  <c r="H79" i="3" s="1"/>
  <c r="R14" i="4"/>
  <c r="E80" i="3"/>
  <c r="E13" i="4"/>
  <c r="U11" i="4"/>
  <c r="Z11" i="4" s="1"/>
  <c r="H11" i="4"/>
  <c r="J10" i="4"/>
  <c r="I10" i="4"/>
  <c r="N10" i="4" s="1"/>
  <c r="C8" i="4"/>
  <c r="H8" i="4" s="1"/>
  <c r="G13" i="4" s="1"/>
  <c r="Y13" i="4" s="1"/>
  <c r="D8" i="4"/>
  <c r="T9" i="4"/>
  <c r="C7" i="4"/>
  <c r="Q10" i="4"/>
  <c r="X12" i="4"/>
  <c r="K9" i="4"/>
  <c r="H6" i="4"/>
  <c r="F79" i="3" l="1"/>
  <c r="L80" i="3"/>
  <c r="L14" i="4"/>
  <c r="I79" i="3"/>
  <c r="I80" i="3" s="1"/>
  <c r="X13" i="4"/>
  <c r="U8" i="4"/>
  <c r="Z8" i="4" s="1"/>
  <c r="D12" i="4"/>
  <c r="X14" i="4"/>
  <c r="Y12" i="4"/>
  <c r="G14" i="4"/>
  <c r="H80" i="3"/>
  <c r="K13" i="4"/>
  <c r="J9" i="4"/>
  <c r="K12" i="4"/>
  <c r="I9" i="4"/>
  <c r="H7" i="4"/>
  <c r="C12" i="4"/>
  <c r="U7" i="4"/>
  <c r="U6" i="4"/>
  <c r="Z6" i="4" s="1"/>
  <c r="O13" i="4"/>
  <c r="P13" i="4"/>
  <c r="P10" i="4"/>
  <c r="O10" i="4"/>
  <c r="E14" i="4"/>
  <c r="D13" i="4"/>
  <c r="C13" i="4"/>
  <c r="Q12" i="4"/>
  <c r="Q14" i="4" s="1"/>
  <c r="K80" i="3"/>
  <c r="V8" i="4"/>
  <c r="W8" i="4" s="1"/>
  <c r="F80" i="3" l="1"/>
  <c r="G80" i="3" s="1"/>
  <c r="G79" i="3"/>
  <c r="Y14" i="4"/>
  <c r="T10" i="4"/>
  <c r="U10" i="4"/>
  <c r="Z10" i="4" s="1"/>
  <c r="I12" i="4"/>
  <c r="N12" i="4" s="1"/>
  <c r="N9" i="4"/>
  <c r="U9" i="4"/>
  <c r="Z9" i="4" s="1"/>
  <c r="H13" i="4"/>
  <c r="V10" i="4"/>
  <c r="W10" i="4" s="1"/>
  <c r="P12" i="4"/>
  <c r="Z7" i="4"/>
  <c r="W7" i="4"/>
  <c r="K14" i="4"/>
  <c r="W14" i="4" s="1"/>
  <c r="T13" i="4"/>
  <c r="J13" i="4"/>
  <c r="I13" i="4"/>
  <c r="U13" i="4" s="1"/>
  <c r="W6" i="4"/>
  <c r="D14" i="4"/>
  <c r="P14" i="4"/>
  <c r="O12" i="4"/>
  <c r="C14" i="4"/>
  <c r="H14" i="4" s="1"/>
  <c r="H12" i="4"/>
  <c r="J12" i="4"/>
  <c r="V9" i="4"/>
  <c r="W9" i="4" s="1"/>
  <c r="J14" i="4" l="1"/>
  <c r="V13" i="4"/>
  <c r="U12" i="4"/>
  <c r="Z12" i="4" s="1"/>
  <c r="T12" i="4"/>
  <c r="W12" i="4"/>
  <c r="O14" i="4"/>
  <c r="T14" i="4" s="1"/>
  <c r="W13" i="4"/>
  <c r="Z13" i="4"/>
  <c r="N13" i="4"/>
  <c r="I14" i="4"/>
  <c r="N14" i="4" s="1"/>
  <c r="V12" i="4"/>
  <c r="U14" i="4" l="1"/>
  <c r="Z14" i="4" s="1"/>
  <c r="V14" i="4"/>
</calcChain>
</file>

<file path=xl/sharedStrings.xml><?xml version="1.0" encoding="utf-8"?>
<sst xmlns="http://schemas.openxmlformats.org/spreadsheetml/2006/main" count="260" uniqueCount="183">
  <si>
    <t>Activity 1.1.1:</t>
  </si>
  <si>
    <t>Activity 1.2.1:</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</si>
  <si>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</si>
  <si>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</si>
  <si>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</si>
  <si>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</si>
  <si>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</si>
  <si>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</si>
  <si>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</si>
  <si>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</si>
  <si>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</si>
  <si>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</si>
  <si>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</si>
  <si>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</si>
  <si>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</si>
  <si>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</si>
  <si>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</si>
  <si>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</si>
  <si>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Annex C - project budget</t>
  </si>
  <si>
    <t>Table 1 - project budget by Outcome, output and activity</t>
  </si>
  <si>
    <t>Table 2 - Project budget by UN cost category</t>
  </si>
  <si>
    <t>OHCHR</t>
  </si>
  <si>
    <t>UNDP</t>
  </si>
  <si>
    <t>Output 1.1:Enhanced capacity of leadership/membership of relevant Committees to address drivers of conflict through appropriate legislations</t>
  </si>
  <si>
    <t>Budget details</t>
  </si>
  <si>
    <t>Budget category</t>
  </si>
  <si>
    <t>UN Women</t>
  </si>
  <si>
    <t>Activities</t>
  </si>
  <si>
    <t>Activity 1.1.2:</t>
  </si>
  <si>
    <t>Activity 1.1.3:</t>
  </si>
  <si>
    <t>Compile lessons learned from former committee members</t>
  </si>
  <si>
    <t>GRAND TOTAL:</t>
  </si>
  <si>
    <t>SUB-TOTAL:</t>
  </si>
  <si>
    <t>Percent of budget for each output reserved for direct action on gender equality:</t>
  </si>
  <si>
    <t>Full conference package (residential workshop), lunch, dinner and two break teas for 60 pax including 5 facilitators for 2 days at 130 per night</t>
  </si>
  <si>
    <t>Parliamentary committees and support Staff training, training ,  DSA and transport refund</t>
  </si>
  <si>
    <t>7% GMS</t>
  </si>
  <si>
    <t>Outcomes/ outputs</t>
  </si>
  <si>
    <t>External evaluation -travel</t>
  </si>
  <si>
    <t>General operating costs</t>
  </si>
  <si>
    <t>National UNV (Evaluation and reporting) for 18 months</t>
  </si>
  <si>
    <t xml:space="preserve">Conduct independent final project evaluation </t>
  </si>
  <si>
    <t xml:space="preserve">Undertake regular M&amp;E assessments of all activities and interventions (progress reports, data collection and analysis, field visits, focus group discussions, spot-checks, etc.) including the baseline data collection and internal mid-term review of the project progress </t>
  </si>
  <si>
    <t>Fuel reimbursement for 30 parliamentarians (100 USD -round trip)</t>
  </si>
  <si>
    <t>DCAF - Staff, training manual, training venue, catering, DSA and transportation</t>
  </si>
  <si>
    <t>Workshop and seminar suppliers, media coverage, documentations, communication's materials</t>
  </si>
  <si>
    <t>General operating and other direct costs (fuel, phone, office supplies etc.)</t>
  </si>
  <si>
    <t>Procure relevant equipment and funiture for INCHR transitional unit</t>
  </si>
  <si>
    <t>Activity 2.2.1</t>
  </si>
  <si>
    <t>Hire contractors and procure required materials for fening and construction of space</t>
  </si>
  <si>
    <t>Hire a international or national consultant to conduct  GIS mapping for the memorial sites</t>
  </si>
  <si>
    <t>Transport/ fuel costs for the consultant, INCHR to memorial sites  and DSA for a team of 4 (Consultant, MoJ, INCHR and Driver)</t>
  </si>
  <si>
    <t>Hire contractors and procure required materials for fencing and complete Du Port Road memorial</t>
  </si>
  <si>
    <t xml:space="preserve">Project:  Advancing Reconciliation through Legislative and Civic Engagement  </t>
  </si>
  <si>
    <t>Activity 2.1.2</t>
  </si>
  <si>
    <t>Activity 2.1.3</t>
  </si>
  <si>
    <t>Hire international consultant to support the Parliament in elaboration of a human rights and gender checklist to support review of emerging bills in line with relevant human rights standards and principles before  the bills are assented to by the President.</t>
  </si>
  <si>
    <t xml:space="preserve">Validate and print the draft human rights checklists </t>
  </si>
  <si>
    <t xml:space="preserve">Validation workshop - DSA for four staff (LRC, UN Women, OHCHR and UNDP) </t>
  </si>
  <si>
    <t xml:space="preserve">Outcome 1: Law-making, oversight functions of the Liberian Legislature and Law Reform Commission enhanced to review and align existing laws and bills for effective protection of human rights of all. </t>
  </si>
  <si>
    <t>Output 1.2. Interaction between the Liberian legislature and external oversight bodies, civil society organisations (CSOs) and the general public increased to influence the legislature to promote HR based legislation that addresses emerging human rights and gender concerns</t>
  </si>
  <si>
    <t>Develop and validate practical guidelines on HR based legal reform and parliamentary oversight</t>
  </si>
  <si>
    <t xml:space="preserve">Provide tailored training and mentoring to both the members and support staff of the different Parliamentary committees on HR based legal review and drafting </t>
  </si>
  <si>
    <t xml:space="preserve">Workshop to validate and strenghten the capacity of legal drafters and legal researches </t>
  </si>
  <si>
    <t xml:space="preserve">International professional fee, (air tickets and DSA) </t>
  </si>
  <si>
    <t xml:space="preserve">Activity 1.2.2. </t>
  </si>
  <si>
    <t>Activity 1.1.6:</t>
  </si>
  <si>
    <t>Activity 1.2.3</t>
  </si>
  <si>
    <t>International Consultant</t>
  </si>
  <si>
    <t xml:space="preserve"> trainings , training venue, catering, DSA and transportation</t>
  </si>
  <si>
    <t xml:space="preserve">International Consultant </t>
  </si>
  <si>
    <t xml:space="preserve">Management support </t>
  </si>
  <si>
    <t>Develop guidelines for legal drafters and members of the research unit on HR based legal research, legal review and drafting (UN Women)</t>
  </si>
  <si>
    <t xml:space="preserve">DSA and transportation for participants </t>
  </si>
  <si>
    <t xml:space="preserve">Transport refund for 40 participants for 2 days at the rate of 80 USD per night </t>
  </si>
  <si>
    <t>Conduct  training for first time legislators and Senate members appointed to relevant committees of the legislature on human right standards and gender considerations</t>
  </si>
  <si>
    <t xml:space="preserve">Activity 2.1.1 </t>
  </si>
  <si>
    <t>Activity 2.2. 2:</t>
  </si>
  <si>
    <t xml:space="preserve">Activity 1.2.4. </t>
  </si>
  <si>
    <t>4. Contractual Services</t>
  </si>
  <si>
    <t>5. Travel</t>
  </si>
  <si>
    <t>2.2.2</t>
  </si>
  <si>
    <t>2.2.3</t>
  </si>
  <si>
    <t>2.2.4</t>
  </si>
  <si>
    <t>2.2.5</t>
  </si>
  <si>
    <t>2.2.1</t>
  </si>
  <si>
    <t>2.2.6</t>
  </si>
  <si>
    <t>2.2.7</t>
  </si>
  <si>
    <t>Hire 1 facilitator, catering service, hall rental, for 2  days, stationeries</t>
  </si>
  <si>
    <t xml:space="preserve">DSA for 2  nights and transportation reimbursement for 175 persons @$60.00 round  trip </t>
  </si>
  <si>
    <t>Validation workshop</t>
  </si>
  <si>
    <t xml:space="preserve">Undertake a research on the gender responsiveness of the palava huts and to find a mechanism of coordination and interconnection between the palava huts and the Peace huts. </t>
  </si>
  <si>
    <t>Individual Consultant(IC)</t>
  </si>
  <si>
    <t>Faciliation fees for 6 paxs</t>
  </si>
  <si>
    <t xml:space="preserve">Fuel refund /Transport refund </t>
  </si>
  <si>
    <t xml:space="preserve">Hall hire and PA system ( four- one-day meetings </t>
  </si>
  <si>
    <t xml:space="preserve">Convene high level meetings with the Executive, MoJ, MIA, MoGSCP, Legislature, Legislative drafting Bureau and Legislative Budget Office to advocate for ammendment of two laws and enactment of four bills </t>
  </si>
  <si>
    <t xml:space="preserve">Full conference package for high level meeting with political leadership (executive organ, legislature and relevant line Ministries). Conduct three-one- day strategic meetings/including follow up meetings (full conference package for 40 pax) to garner political buyin on law reforms @ 100 USD </t>
  </si>
  <si>
    <t xml:space="preserve">Activity 1.1.4 </t>
  </si>
  <si>
    <t>Activity 1.1.5:</t>
  </si>
  <si>
    <t>Venue and catering services  for the consultative meetings between LRC and Parliamentarians and other stakeholders at county level -Breakfast lunch, one break teas. ( 55 pax  @ 40 USD X one-day meeting X 15)</t>
  </si>
  <si>
    <t>International consultant (20X USD 1000)</t>
  </si>
  <si>
    <t>Printing of reports and flyers and information and education materials  posters, Publicity of the event on radio and print</t>
  </si>
  <si>
    <t xml:space="preserve">DSA for project technical team joint programme monitoring and evaluation and consultant travel (air ticket and terminal expenses </t>
  </si>
  <si>
    <t xml:space="preserve">Traansport Refundsfor INCHR and TWG, OHCHR and other actors such as MoJ/MoG for five vehicles to carry out outreach </t>
  </si>
  <si>
    <t>Individual Consultant(IC) with expertise on HRs &amp; transitional justice</t>
  </si>
  <si>
    <t>3. Equipment, ( computers, desks and chairs for INCHR TJ unit)</t>
  </si>
  <si>
    <t>Guest speakers (5 X200X2)</t>
  </si>
  <si>
    <t xml:space="preserve">Transport refund for 100 participants round trip @ 40 USD </t>
  </si>
  <si>
    <t>Full conference package (three days residential workshop for 43 legislators), lunch, dinner and two break teas including 3 facilitators  USD240 per night</t>
  </si>
  <si>
    <t xml:space="preserve">Assorted stationary and printing of TRC report </t>
  </si>
  <si>
    <t xml:space="preserve">stationaires  and printing </t>
  </si>
  <si>
    <r>
      <t xml:space="preserve"> Support INCHR to conduct a national colloquium in collaboration with Ministries, Agencies Corporation and CSOs to seek views of Liberian citizenry on the way forward on implementation of the TRC report</t>
    </r>
    <r>
      <rPr>
        <b/>
        <sz val="12"/>
        <rFont val="Times New Roman"/>
        <family val="1"/>
      </rPr>
      <t>(OHCHR).</t>
    </r>
  </si>
  <si>
    <r>
      <t xml:space="preserve"> Support the Transitional Justice Working Group (TJWG)to conduct follow up advocacy meetings with relevant MACs to lobby for the implementation of the TRC recommendations and support convening of TJWG working group eight-one day quarterly meetings to assess progress on the engagement with MACs of government</t>
    </r>
    <r>
      <rPr>
        <b/>
        <sz val="12"/>
        <rFont val="Times New Roman"/>
        <family val="1"/>
      </rPr>
      <t>(OHCHR)</t>
    </r>
  </si>
  <si>
    <t xml:space="preserve">Fuel or Transport refund </t>
  </si>
  <si>
    <t>Full conference package for  one day non-residential workshops for 25 participantsX 8 X 35 USD at national and county level on emerging issues; Conduct eight quarterly(one-day) meetings with MACs (25 paxs X25 USDX8)</t>
  </si>
  <si>
    <t>Hire international Consultant to provide technical support and mentorship to the legislative drafting team and LRC to review and draft high quality ammendment bills</t>
  </si>
  <si>
    <t>Facilitate  LRC and Legislators to consult Liberian relevant stakeholders at national and sub national level on proposed ammendments  and solicit buy-in  for the passage of four bills.</t>
  </si>
  <si>
    <t xml:space="preserve">Facilitate of rapporteurs to collate feeadback from national and sub national consultations reporting fee for 4 National facilitators @ 200$/day </t>
  </si>
  <si>
    <t xml:space="preserve">DSA and transport refund for participants 15 paxs  ( 1 legislators from each of the counties,  seven staff , 2 LRC staff,  1 UN Women,1 OHCHR and 1 UNDP, 1 INCHR and participants coming from outside counties including two days    for travel between counties for resource teams from Monrovia </t>
  </si>
  <si>
    <t>DSA and transport refund for county level dissemination meetings</t>
  </si>
  <si>
    <t xml:space="preserve">Conference facilities (break fast,lunch for one-day dissemination meetings at county level </t>
  </si>
  <si>
    <t>Activity 1.1.7:</t>
  </si>
  <si>
    <t xml:space="preserve">Provide technical support  to the LRC and Legislative drafting bureau to review two domestic laws and propose ammendments. </t>
  </si>
  <si>
    <t>Facilitate  awareness raising and  dissemination of enacted laws.</t>
  </si>
  <si>
    <t>Activity 1.1.8</t>
  </si>
  <si>
    <t>Activity 1.1.9:</t>
  </si>
  <si>
    <t>Activity 1.1.10</t>
  </si>
  <si>
    <t>Outcome 2: Transitional justice processes and institutional mechanisms increasingly facilitate the realization of right to truth telling, reparations  to achieve national reconciliation and peace</t>
  </si>
  <si>
    <t xml:space="preserve">Output 2.1: Capacity of INCHR, TJWG, CSO, at National and sub- National level strengthened for the implementation of TRC recommendations </t>
  </si>
  <si>
    <t xml:space="preserve">Output 2.2: TRC recommendations related to Memorialization, truth-telling and atonement further implemented </t>
  </si>
  <si>
    <t>2.2.8.</t>
  </si>
  <si>
    <t xml:space="preserve">6. Contractual services </t>
  </si>
  <si>
    <t>Hold 7 county level consultations building into a second national reconciliation conference (UNDP)</t>
  </si>
  <si>
    <t>Full conference package, including lunch,  and tea breaks for 200 Participants  including 5 facilitators for 1 days  (3 star hotel). Stationeries</t>
  </si>
  <si>
    <t>Hire 3  facilitators  for 2  days</t>
  </si>
  <si>
    <t xml:space="preserve">Transport refund for 175 participants for one day at the rate of  60 USD round trip and DSA for 2 nights for county participants </t>
  </si>
  <si>
    <t>Full conference package, including lunch,  and tea breaks for 50 Participant  including 2 facilitators for 1 day  (3 star hotel). 4 separate events. Stationeries</t>
  </si>
  <si>
    <t>Organize a training for a pool of women on advocacy, and HR based legal review and law drafting in support of reviewing and redrafting of amendment bills to address discriminatory provisions in existing laws in compliance with international and regional human rights standards. It is further expected to strengthen the capacity of women organizations and vulnerable groups on advocacy and legal review and law drafting</t>
  </si>
  <si>
    <t xml:space="preserve">Information on the recommendations from the TRC related to legislative reform and the outcomes of the legislative reform will be disseminated among CSOs and vulnerable groups to strengthen their role as oversight bodies </t>
  </si>
  <si>
    <t xml:space="preserve">Establish a participatory and gender-sensitive monitoring and evaluation (M&amp;E) mechanism to collect gender and age-disaggregated data and supervise a gender equitable implementation of the activities, including the development of project-wide M&amp;E plan and annual reports in a timely manner
</t>
  </si>
  <si>
    <t>Hire one external international and national consultants to conduct end of project evaluation and Sustainability Plan  (professional fees and DSA)</t>
  </si>
  <si>
    <t>M&amp;E</t>
  </si>
  <si>
    <t xml:space="preserve">Management </t>
  </si>
  <si>
    <t>Conduct a series of district-level engagement sessions with a focus on the marginalized groups, ethnic / religious groups, and government actors to effectively address critical community conflicts at a safe space.</t>
  </si>
  <si>
    <t xml:space="preserve">Support to the Government to organize three (3) dialogues with all branches of government to promote reconciliation at the national level under the President’s leadership </t>
  </si>
  <si>
    <t xml:space="preserve">Complete phase II of the Du Port Road memorial (with fencing and an office/theatre space)
</t>
  </si>
  <si>
    <t>Support to the Ministry of Internal Affairs  in collaboration with the Ministry of State  to hold Eight (4) inter-party dialogues to relieve tensions, build understanding and commence practical steps towards national cohesion and development.   (UNDP)</t>
  </si>
  <si>
    <t>Printing of ammended laws , Publicity on radio and print</t>
  </si>
  <si>
    <t>Full conference package (2-day) residential workshop for 80 participants ), lunch, and two break teas (70 X 2 dayX 240 USD)</t>
  </si>
  <si>
    <t>Hall rental and catering</t>
  </si>
  <si>
    <t>Participants from other districts (DSA and transportation)</t>
  </si>
  <si>
    <t xml:space="preserve">DSA for 2  nights and transportation reimbursement for 50 persons @$60.00 round  trip </t>
  </si>
  <si>
    <t xml:space="preserve">Facilitate meetings with Committees (Human rights, and gender), external oversight bodies (INCHR), representatives from women’s organizations and civil society and local constituents so that emerging human rights and gender concerns are addressed in proposed legislative reforms  </t>
  </si>
  <si>
    <t xml:space="preserve">Facilitate the interaction between the LRC and various stakeholders including women’s organizations, women with disabilities and other vulnerable groups to inform amendments of  laws and advocate for enactment of bills.  </t>
  </si>
  <si>
    <t xml:space="preserve"> trainings , training venue, catering, DSA and transportation, printing </t>
  </si>
  <si>
    <t>Activity 2.2.3</t>
  </si>
  <si>
    <t>Facilitate the holding of 1 national reconciliation conference where 7 county-level reconciliation action plans will be endorsed (UNDP)</t>
  </si>
  <si>
    <r>
      <t xml:space="preserve">Strengthen capacity of INCHR and the Transitional Justice Unit  in kind and technical support to adequately perform its tasks across the country </t>
    </r>
    <r>
      <rPr>
        <b/>
        <sz val="12"/>
        <rFont val="Times New Roman"/>
        <family val="1"/>
      </rPr>
      <t>.(OHCHR)</t>
    </r>
  </si>
  <si>
    <t>Activity 2.1.5</t>
  </si>
  <si>
    <r>
      <t>Support the identification of mass graves sites through GIS for present and future construction of memorials</t>
    </r>
    <r>
      <rPr>
        <b/>
        <sz val="12"/>
        <rFont val="Times New Roman"/>
        <family val="1"/>
      </rPr>
      <t>(UNDP)</t>
    </r>
  </si>
  <si>
    <r>
      <t xml:space="preserve">Support the erection of fourteen additional memorials on mass graves sites </t>
    </r>
    <r>
      <rPr>
        <b/>
        <sz val="12"/>
        <rFont val="Times New Roman"/>
        <family val="1"/>
      </rPr>
      <t xml:space="preserve">(UNDP) </t>
    </r>
  </si>
  <si>
    <t>Total</t>
  </si>
  <si>
    <t>Total Expenses</t>
  </si>
  <si>
    <t>Total PO</t>
  </si>
  <si>
    <t>Total Del (%)</t>
  </si>
  <si>
    <t>Comment</t>
  </si>
  <si>
    <t>Expenses</t>
  </si>
  <si>
    <t>PO</t>
  </si>
  <si>
    <t>Del (%)</t>
  </si>
  <si>
    <t>Any remarks (e.g. on types of inputs provided or budget justification, for example if high TA or travel costs)</t>
  </si>
  <si>
    <t>Level of expenditure/ commitments in USD (to provide at time of project progress reporting): OHCHR</t>
  </si>
  <si>
    <t>Level of Delivery in % - OHCHR</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</si>
  <si>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OHCHR</t>
    </r>
  </si>
  <si>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UNDP</t>
    </r>
  </si>
  <si>
    <t>Level of expenditure/ commitments in USD (to provide at time of project progress reporting): UNDP</t>
  </si>
  <si>
    <t>Level of Delivery in % - UNDP</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</si>
  <si>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UNWOMEN</t>
    </r>
  </si>
  <si>
    <t>Level of expenditure/ commitments in USD (to provide at time of project progress reporting): UNWOMEN</t>
  </si>
  <si>
    <t>Level of Delivery in % - UNWOMEN</t>
  </si>
  <si>
    <t>UNWOMEN</t>
  </si>
  <si>
    <t>6. Transfers and Grants to Counterparts 4. Contractual services</t>
  </si>
  <si>
    <t>The project is preparing for budget revision to align the Project's budget with the expenditure for the respective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</si>
</sst>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409]* #,##0.00_);_([$$-409]* \(#,##0.00\);_([$$-409]* &quot;-&quot;??_);_(@_)"/>
    <numFmt numFmtId="165" formatCode="_(* #,##0_);_(* \(#,##0\);_(* &quot;-&quot;??_);_(@_)"/>
    <numFmt numFmtId="166" formatCode="_(&quot;$&quot;* #,##0_);_(&quot;$&quot;* \(#,##0\);_(&quot;$&quot;* &quot;-&quot;??_);_(@_)"/>
    <numFmt numFmtId="167" formatCode="_-* #,##0\ _€_-;\-* #,##0\ _€_-;_-* &quot;-&quot;??\ _€_-;_-@_-"/>
    <numFmt numFmtId="168" formatCode="_(* #,##0.0_);_(* \(#,##0.0\);_(* &quot;-&quot;??_);_(@_)"/>
  </numFmts>
  <fonts count="39" x14ac:knownFonts="1">
    <font>
      <sz val="11"/>
      <color theme="1"/>
      <name val="Calibri"/>
      <family val="2"/>
      <scheme val="minor"/>
    </font>
    <font>
      <b/>
      <sz val="12"/>
      <color theme="1"/>
      <name val="Times New Roman"/>
      <family val="1"/>
    </font>
    <font>
      <b/>
      <sz val="10"/>
      <color theme="1"/>
      <name val="Calibri"/>
      <family val="2"/>
    </font>
    <font>
      <sz val="10"/>
      <color theme="1"/>
      <name val="Calibri"/>
      <family val="2"/>
    </font>
    <font>
      <sz val="11"/>
      <color theme="1"/>
      <name val="Calibri"/>
      <family val="2"/>
      <scheme val="minor"/>
    </font>
    <font>
      <b/>
      <sz val="14"/>
      <color theme="1"/>
      <name val="Times New Roman"/>
      <family val="1"/>
    </font>
    <font>
      <sz val="11"/>
      <color theme="1"/>
      <name val="Times New Roman"/>
      <family val="1"/>
    </font>
    <font>
      <sz val="11"/>
      <color rgb="FF000000"/>
      <name val="Times New Roman"/>
      <family val="1"/>
    </font>
    <font>
      <b/>
      <sz val="11"/>
      <color theme="0"/>
      <name val="Times New Roman"/>
      <family val="1"/>
    </font>
    <font>
      <b/>
      <sz val="11"/>
      <color theme="1"/>
      <name val="Times New Roman"/>
      <family val="1"/>
    </font>
    <font>
      <sz val="11"/>
      <name val="Times New Roman"/>
      <family val="1"/>
    </font>
    <font>
      <b/>
      <sz val="11"/>
      <name val="Times New Roman"/>
      <family val="1"/>
    </font>
    <font>
      <b/>
      <sz val="12"/>
      <name val="Times New Roman"/>
      <family val="1"/>
    </font>
    <font>
      <sz val="11"/>
      <name val="Calibri"/>
      <family val="2"/>
      <scheme val="minor"/>
    </font>
    <font>
      <b/>
      <sz val="14"/>
      <color theme="1"/>
      <name val="Calibri"/>
      <family val="2"/>
      <scheme val="minor"/>
    </font>
    <font>
      <sz val="14"/>
      <color theme="1"/>
      <name val="Calibri"/>
      <family val="2"/>
      <scheme val="minor"/>
    </font>
    <font>
      <sz val="12"/>
      <color theme="1"/>
      <name val="Times New Roman"/>
      <family val="1"/>
    </font>
    <font>
      <b/>
      <sz val="12"/>
      <color theme="0"/>
      <name val="Times New Roman"/>
      <family val="1"/>
    </font>
    <font>
      <sz val="12"/>
      <name val="Times New Roman"/>
      <family val="1"/>
    </font>
    <font>
      <sz val="10"/>
      <name val="Calibri"/>
      <family val="2"/>
    </font>
    <font>
      <u/>
      <sz val="11"/>
      <color theme="10"/>
      <name val="Calibri"/>
      <family val="2"/>
      <scheme val="minor"/>
    </font>
    <font>
      <sz val="11"/>
      <color rgb="FFFF0000"/>
      <name val="Times New Roman"/>
      <family val="1"/>
    </font>
    <font>
      <sz val="10"/>
      <name val="Times New Roman"/>
      <family val="1"/>
    </font>
    <font>
      <sz val="10"/>
      <color theme="1"/>
      <name val="Times New Roman"/>
      <family val="1"/>
    </font>
    <font>
      <sz val="11"/>
      <color theme="5"/>
      <name val="Times New Roman"/>
      <family val="1"/>
    </font>
    <font>
      <sz val="10"/>
      <color rgb="FFFF0000"/>
      <name val="Calibri"/>
      <family val="2"/>
    </font>
    <font>
      <b/>
      <sz val="10"/>
      <name val="Calibri"/>
      <family val="2"/>
    </font>
    <font>
      <b/>
      <sz val="11"/>
      <color theme="1"/>
      <name val="Calibri"/>
      <family val="2"/>
      <scheme val="minor"/>
    </font>
    <font>
      <b/>
      <sz val="12"/>
      <color theme="1"/>
      <name val="Calibri"/>
      <family val="2"/>
    </font>
    <font>
      <b/>
      <sz val="11"/>
      <name val="Calibri"/>
      <family val="2"/>
      <scheme val="minor"/>
    </font>
    <font>
      <b/>
      <sz val="16"/>
      <name val="Times New Roman"/>
      <family val="1"/>
    </font>
    <font>
      <b/>
      <sz val="12"/>
      <color indexed="10"/>
      <name val="Times New Roman"/>
      <family val="1"/>
    </font>
    <font>
      <sz val="12"/>
      <color theme="1"/>
      <name val="Calibri"/>
      <family val="2"/>
      <scheme val="minor"/>
    </font>
    <font>
      <sz val="11"/>
      <color theme="0"/>
      <name val="Calibri"/>
      <family val="2"/>
      <scheme val="minor"/>
    </font>
    <font>
      <sz val="14"/>
      <color theme="1"/>
      <name val="Times New Roman"/>
      <family val="1"/>
    </font>
    <font>
      <sz val="11"/>
      <color theme="0"/>
      <name val="Times New Roman"/>
      <family val="1"/>
    </font>
    <font>
      <sz val="14"/>
      <color theme="0"/>
      <name val="Times New Roman"/>
      <family val="1"/>
    </font>
    <font>
      <b/>
      <sz val="14"/>
      <color theme="0"/>
      <name val="Times New Roman"/>
      <family val="1"/>
    </font>
    <font>
      <sz val="12"/>
      <color theme="0"/>
      <name val="Times New Roman"/>
      <family val="1"/>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cellStyleXfs>
  <cellXfs count="459">
    <xf numFmtId="0" fontId="0" fillId="0" borderId="0" xfId="0"/>
    <xf numFmtId="0" fontId="6" fillId="0" borderId="0" xfId="0" applyFont="1" applyAlignment="1">
      <alignment vertical="top"/>
    </xf>
    <xf numFmtId="43" fontId="6" fillId="0" borderId="0" xfId="1" applyFont="1" applyAlignment="1">
      <alignment vertical="top"/>
    </xf>
    <xf numFmtId="164" fontId="6" fillId="0" borderId="0" xfId="2" applyNumberFormat="1" applyFont="1" applyAlignment="1">
      <alignment vertical="top"/>
    </xf>
    <xf numFmtId="0" fontId="10" fillId="0" borderId="1" xfId="0" applyFont="1" applyBorder="1" applyAlignment="1">
      <alignment horizontal="left" vertical="top" wrapText="1"/>
    </xf>
    <xf numFmtId="0" fontId="6" fillId="0" borderId="0" xfId="0" applyFont="1" applyAlignment="1">
      <alignment horizontal="left" vertical="top"/>
    </xf>
    <xf numFmtId="165" fontId="0" fillId="0" borderId="0" xfId="0" applyNumberFormat="1"/>
    <xf numFmtId="0" fontId="14" fillId="0" borderId="0" xfId="0" applyFont="1"/>
    <xf numFmtId="0" fontId="15" fillId="0" borderId="0" xfId="0" applyFont="1"/>
    <xf numFmtId="0" fontId="16" fillId="0" borderId="0" xfId="0" applyFont="1" applyAlignment="1">
      <alignment vertical="top"/>
    </xf>
    <xf numFmtId="0" fontId="6" fillId="0" borderId="0" xfId="0" applyFont="1" applyFill="1" applyAlignment="1">
      <alignment vertical="top"/>
    </xf>
    <xf numFmtId="0" fontId="6" fillId="3" borderId="0" xfId="0" applyFont="1" applyFill="1" applyAlignment="1">
      <alignment vertical="top"/>
    </xf>
    <xf numFmtId="3" fontId="7" fillId="0" borderId="0" xfId="0" applyNumberFormat="1" applyFont="1"/>
    <xf numFmtId="0" fontId="6" fillId="3" borderId="0" xfId="0" applyFont="1" applyFill="1" applyAlignment="1">
      <alignment horizontal="left" vertical="top"/>
    </xf>
    <xf numFmtId="0" fontId="12" fillId="0" borderId="1" xfId="0" applyFont="1" applyFill="1" applyBorder="1" applyAlignment="1">
      <alignment horizontal="left" vertical="center" wrapText="1"/>
    </xf>
    <xf numFmtId="165" fontId="0" fillId="0" borderId="0" xfId="0" applyNumberFormat="1" applyFill="1" applyBorder="1"/>
    <xf numFmtId="0" fontId="0" fillId="0" borderId="0" xfId="0" applyFill="1" applyBorder="1"/>
    <xf numFmtId="166" fontId="17" fillId="0" borderId="0" xfId="2" applyNumberFormat="1" applyFont="1" applyFill="1" applyBorder="1" applyAlignment="1">
      <alignment vertical="top"/>
    </xf>
    <xf numFmtId="0" fontId="13" fillId="3" borderId="0" xfId="0" applyFont="1" applyFill="1"/>
    <xf numFmtId="44" fontId="16" fillId="0" borderId="0" xfId="0" applyNumberFormat="1" applyFont="1" applyAlignment="1">
      <alignment vertical="top"/>
    </xf>
    <xf numFmtId="168" fontId="6" fillId="0" borderId="0" xfId="1" applyNumberFormat="1" applyFont="1" applyAlignment="1">
      <alignment horizontal="left" vertical="top"/>
    </xf>
    <xf numFmtId="0" fontId="12" fillId="0" borderId="8" xfId="0" applyFont="1" applyFill="1" applyBorder="1" applyAlignment="1">
      <alignment horizontal="left" vertical="center" wrapText="1"/>
    </xf>
    <xf numFmtId="167" fontId="6" fillId="0" borderId="0" xfId="0" applyNumberFormat="1" applyFont="1" applyAlignment="1">
      <alignment vertical="top"/>
    </xf>
    <xf numFmtId="0" fontId="10" fillId="0" borderId="1" xfId="0" applyFont="1" applyBorder="1" applyAlignment="1">
      <alignment horizontal="left" vertical="top"/>
    </xf>
    <xf numFmtId="0" fontId="10" fillId="3" borderId="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8" xfId="0" applyFont="1" applyBorder="1" applyAlignment="1">
      <alignment vertical="top"/>
    </xf>
    <xf numFmtId="0" fontId="18" fillId="0" borderId="1" xfId="0" applyFont="1" applyBorder="1" applyAlignment="1">
      <alignment horizontal="justify" vertical="top" wrapText="1"/>
    </xf>
    <xf numFmtId="0" fontId="10" fillId="0" borderId="8" xfId="0" applyFont="1" applyBorder="1" applyAlignment="1">
      <alignment vertical="top"/>
    </xf>
    <xf numFmtId="0" fontId="18" fillId="0" borderId="1" xfId="0" applyFont="1" applyBorder="1" applyAlignment="1">
      <alignment horizontal="justify" vertical="top"/>
    </xf>
    <xf numFmtId="0" fontId="10" fillId="0" borderId="8" xfId="0" applyFont="1" applyFill="1" applyBorder="1" applyAlignment="1">
      <alignment vertical="top"/>
    </xf>
    <xf numFmtId="0" fontId="18" fillId="0" borderId="1" xfId="0" applyFont="1" applyFill="1" applyBorder="1" applyAlignment="1">
      <alignment horizontal="justify" vertical="top"/>
    </xf>
    <xf numFmtId="0" fontId="10" fillId="0" borderId="1" xfId="0" applyFont="1" applyFill="1" applyBorder="1" applyAlignment="1">
      <alignment vertical="top"/>
    </xf>
    <xf numFmtId="0" fontId="11" fillId="0" borderId="8" xfId="0" applyFont="1" applyFill="1" applyBorder="1" applyAlignment="1">
      <alignment vertical="top"/>
    </xf>
    <xf numFmtId="0" fontId="10" fillId="3" borderId="2" xfId="0" applyFont="1" applyFill="1" applyBorder="1" applyAlignment="1">
      <alignment vertical="top" wrapText="1"/>
    </xf>
    <xf numFmtId="0" fontId="22" fillId="0" borderId="1" xfId="0" applyFont="1" applyFill="1" applyBorder="1" applyAlignment="1">
      <alignment vertical="top" wrapText="1"/>
    </xf>
    <xf numFmtId="0" fontId="22" fillId="0" borderId="1" xfId="0" applyFont="1" applyBorder="1" applyAlignment="1">
      <alignment horizontal="left" vertical="top" wrapText="1"/>
    </xf>
    <xf numFmtId="0" fontId="22" fillId="3" borderId="1" xfId="0" applyFont="1" applyFill="1" applyBorder="1" applyAlignment="1">
      <alignment horizontal="left" vertical="top" wrapText="1"/>
    </xf>
    <xf numFmtId="0" fontId="10" fillId="0" borderId="10" xfId="0" applyFont="1" applyBorder="1" applyAlignment="1">
      <alignment vertical="top" wrapText="1"/>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10" fontId="6" fillId="0" borderId="0" xfId="3" applyNumberFormat="1" applyFont="1" applyAlignment="1">
      <alignment vertical="top"/>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165" fontId="0" fillId="0" borderId="0" xfId="0" applyNumberFormat="1"/>
    <xf numFmtId="168" fontId="6" fillId="0" borderId="0" xfId="1" applyNumberFormat="1" applyFont="1" applyAlignment="1">
      <alignment horizontal="left" vertical="top"/>
    </xf>
    <xf numFmtId="0" fontId="24" fillId="3" borderId="0" xfId="0" applyFont="1" applyFill="1" applyAlignment="1">
      <alignment vertical="top"/>
    </xf>
    <xf numFmtId="0" fontId="10" fillId="0" borderId="0" xfId="0" applyFont="1" applyAlignment="1">
      <alignment vertical="top"/>
    </xf>
    <xf numFmtId="0" fontId="24" fillId="3" borderId="0" xfId="0" applyFont="1" applyFill="1" applyAlignment="1">
      <alignment vertical="top" wrapText="1"/>
    </xf>
    <xf numFmtId="3" fontId="24" fillId="3" borderId="0" xfId="0" applyNumberFormat="1" applyFont="1" applyFill="1" applyAlignment="1">
      <alignment vertical="top"/>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8" fillId="0" borderId="1" xfId="0" applyFont="1" applyFill="1" applyBorder="1" applyAlignment="1">
      <alignment horizontal="left" vertical="top" wrapText="1"/>
    </xf>
    <xf numFmtId="0" fontId="10" fillId="3" borderId="0" xfId="0" applyFont="1" applyFill="1" applyBorder="1" applyAlignment="1">
      <alignment vertical="top"/>
    </xf>
    <xf numFmtId="0" fontId="19" fillId="0" borderId="1" xfId="0" applyFont="1" applyBorder="1" applyAlignment="1">
      <alignment vertical="center" wrapText="1"/>
    </xf>
    <xf numFmtId="0" fontId="18" fillId="0" borderId="1"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0" fillId="3" borderId="0" xfId="0" applyFont="1" applyFill="1" applyAlignment="1">
      <alignment vertical="top"/>
    </xf>
    <xf numFmtId="0" fontId="0" fillId="0" borderId="0" xfId="0" applyAlignment="1">
      <alignment vertical="center" wrapText="1"/>
    </xf>
    <xf numFmtId="3" fontId="21" fillId="3" borderId="0" xfId="0" applyNumberFormat="1" applyFont="1" applyFill="1" applyAlignment="1">
      <alignment vertical="top"/>
    </xf>
    <xf numFmtId="0" fontId="21" fillId="3" borderId="0" xfId="0" applyFont="1" applyFill="1" applyAlignment="1">
      <alignment vertical="top"/>
    </xf>
    <xf numFmtId="37" fontId="21" fillId="3" borderId="0" xfId="0" applyNumberFormat="1" applyFont="1" applyFill="1" applyAlignment="1">
      <alignment vertical="top" wrapText="1"/>
    </xf>
    <xf numFmtId="0" fontId="3" fillId="0" borderId="14" xfId="0" applyFont="1" applyBorder="1" applyAlignment="1">
      <alignment vertical="center" wrapText="1"/>
    </xf>
    <xf numFmtId="0" fontId="3" fillId="0" borderId="21" xfId="0" applyFont="1" applyBorder="1" applyAlignment="1">
      <alignment vertical="center" wrapText="1"/>
    </xf>
    <xf numFmtId="0" fontId="19" fillId="3" borderId="21" xfId="0" applyFont="1" applyFill="1" applyBorder="1" applyAlignment="1">
      <alignment vertical="center" wrapText="1"/>
    </xf>
    <xf numFmtId="43" fontId="19" fillId="2" borderId="8" xfId="1" applyFont="1" applyFill="1" applyBorder="1" applyAlignment="1">
      <alignment horizontal="right" vertical="center" wrapText="1"/>
    </xf>
    <xf numFmtId="43" fontId="19" fillId="2" borderId="1" xfId="1" applyFont="1" applyFill="1" applyBorder="1" applyAlignment="1">
      <alignment horizontal="right" vertical="center" wrapText="1"/>
    </xf>
    <xf numFmtId="43" fontId="19" fillId="5" borderId="1" xfId="1" applyFont="1" applyFill="1" applyBorder="1" applyAlignment="1">
      <alignment horizontal="right" vertical="center" wrapText="1"/>
    </xf>
    <xf numFmtId="43" fontId="19" fillId="5" borderId="8" xfId="1" applyFont="1" applyFill="1" applyBorder="1" applyAlignment="1">
      <alignment horizontal="right" vertical="center" wrapText="1"/>
    </xf>
    <xf numFmtId="43" fontId="19" fillId="6" borderId="1" xfId="1" applyFont="1" applyFill="1" applyBorder="1" applyAlignment="1">
      <alignment horizontal="right" vertical="center" wrapText="1"/>
    </xf>
    <xf numFmtId="43" fontId="19" fillId="6" borderId="20" xfId="1" applyFont="1" applyFill="1" applyBorder="1" applyAlignment="1">
      <alignment horizontal="right" vertical="center" wrapText="1"/>
    </xf>
    <xf numFmtId="43" fontId="19" fillId="4" borderId="8" xfId="1" applyFont="1" applyFill="1" applyBorder="1" applyAlignment="1">
      <alignment horizontal="right" vertical="center" wrapText="1"/>
    </xf>
    <xf numFmtId="43" fontId="19" fillId="4" borderId="1" xfId="1" applyFont="1" applyFill="1" applyBorder="1" applyAlignment="1">
      <alignment horizontal="right" vertical="center" wrapText="1"/>
    </xf>
    <xf numFmtId="43" fontId="19" fillId="2" borderId="11" xfId="1" applyFont="1" applyFill="1" applyBorder="1" applyAlignment="1">
      <alignment horizontal="right" vertical="center" wrapText="1"/>
    </xf>
    <xf numFmtId="43" fontId="19" fillId="2" borderId="3" xfId="1" applyFont="1" applyFill="1" applyBorder="1" applyAlignment="1">
      <alignment horizontal="right" vertical="center" wrapText="1"/>
    </xf>
    <xf numFmtId="43" fontId="19" fillId="5" borderId="11" xfId="1" applyFont="1" applyFill="1" applyBorder="1" applyAlignment="1">
      <alignment horizontal="right" vertical="center" wrapText="1"/>
    </xf>
    <xf numFmtId="43" fontId="19" fillId="5" borderId="3" xfId="1" applyFont="1" applyFill="1" applyBorder="1" applyAlignment="1">
      <alignment horizontal="right" vertical="center" wrapText="1"/>
    </xf>
    <xf numFmtId="43" fontId="19" fillId="6" borderId="6" xfId="1" applyFont="1" applyFill="1" applyBorder="1" applyAlignment="1">
      <alignment horizontal="right" vertical="center" wrapText="1"/>
    </xf>
    <xf numFmtId="43" fontId="19" fillId="6" borderId="3" xfId="1" applyFont="1" applyFill="1" applyBorder="1" applyAlignment="1">
      <alignment horizontal="right" vertical="center" wrapText="1"/>
    </xf>
    <xf numFmtId="43" fontId="19" fillId="4" borderId="11" xfId="1" applyFont="1" applyFill="1" applyBorder="1" applyAlignment="1">
      <alignment horizontal="right" vertical="center" wrapText="1"/>
    </xf>
    <xf numFmtId="43" fontId="19" fillId="4" borderId="3" xfId="1" applyFont="1" applyFill="1" applyBorder="1" applyAlignment="1">
      <alignment horizontal="right" vertical="center" wrapText="1"/>
    </xf>
    <xf numFmtId="43" fontId="19" fillId="5" borderId="1" xfId="1" applyFont="1" applyFill="1" applyBorder="1" applyAlignment="1">
      <alignment horizontal="center" vertical="center" wrapText="1"/>
    </xf>
    <xf numFmtId="0" fontId="27" fillId="0" borderId="0" xfId="0" applyFont="1"/>
    <xf numFmtId="9" fontId="19" fillId="2" borderId="28" xfId="3" applyFont="1" applyFill="1" applyBorder="1" applyAlignment="1">
      <alignment horizontal="right" vertical="center" wrapText="1"/>
    </xf>
    <xf numFmtId="9" fontId="19" fillId="5" borderId="26" xfId="3" applyFont="1" applyFill="1" applyBorder="1" applyAlignment="1">
      <alignment horizontal="right" vertical="center" wrapText="1"/>
    </xf>
    <xf numFmtId="9" fontId="13" fillId="4" borderId="26" xfId="3" applyFont="1" applyFill="1" applyBorder="1"/>
    <xf numFmtId="43" fontId="1" fillId="2" borderId="37" xfId="1" applyFont="1" applyFill="1" applyBorder="1" applyAlignment="1">
      <alignment horizontal="center" vertical="center" wrapText="1"/>
    </xf>
    <xf numFmtId="43" fontId="1" fillId="10" borderId="37" xfId="1" applyFont="1" applyFill="1" applyBorder="1" applyAlignment="1">
      <alignment horizontal="center" vertical="center" wrapText="1"/>
    </xf>
    <xf numFmtId="0" fontId="10" fillId="0" borderId="18" xfId="0" applyFont="1" applyBorder="1" applyAlignment="1">
      <alignment horizontal="left" vertical="top" wrapText="1"/>
    </xf>
    <xf numFmtId="0" fontId="10" fillId="0" borderId="18" xfId="0" applyFont="1" applyBorder="1" applyAlignment="1">
      <alignment vertical="top" wrapText="1"/>
    </xf>
    <xf numFmtId="0" fontId="10" fillId="3" borderId="18" xfId="0" applyFont="1" applyFill="1" applyBorder="1" applyAlignment="1">
      <alignment vertical="top" wrapText="1"/>
    </xf>
    <xf numFmtId="0" fontId="23" fillId="3" borderId="18" xfId="0" applyFont="1" applyFill="1" applyBorder="1" applyAlignment="1">
      <alignment vertical="top" wrapText="1"/>
    </xf>
    <xf numFmtId="0" fontId="22" fillId="3" borderId="18" xfId="0" applyFont="1" applyFill="1" applyBorder="1" applyAlignment="1">
      <alignment vertical="top" wrapText="1"/>
    </xf>
    <xf numFmtId="0" fontId="10" fillId="0" borderId="45" xfId="0" applyFont="1" applyBorder="1" applyAlignment="1">
      <alignment horizontal="left" vertical="top" wrapText="1"/>
    </xf>
    <xf numFmtId="0" fontId="10" fillId="3" borderId="45" xfId="0" applyFont="1" applyFill="1" applyBorder="1" applyAlignment="1">
      <alignment horizontal="left" vertical="top" wrapText="1"/>
    </xf>
    <xf numFmtId="0" fontId="10" fillId="3" borderId="18" xfId="0" applyFont="1" applyFill="1" applyBorder="1" applyAlignment="1">
      <alignment horizontal="left" vertical="top" wrapText="1"/>
    </xf>
    <xf numFmtId="0" fontId="10" fillId="0" borderId="18" xfId="0" applyFont="1" applyFill="1" applyBorder="1" applyAlignment="1">
      <alignment vertical="top" wrapText="1"/>
    </xf>
    <xf numFmtId="0" fontId="10" fillId="0" borderId="18" xfId="0" applyFont="1" applyFill="1" applyBorder="1" applyAlignment="1">
      <alignment vertical="top"/>
    </xf>
    <xf numFmtId="0" fontId="10" fillId="3" borderId="45" xfId="0" applyFont="1" applyFill="1" applyBorder="1" applyAlignment="1">
      <alignment vertical="top" wrapText="1"/>
    </xf>
    <xf numFmtId="0" fontId="10" fillId="3" borderId="18" xfId="0" applyFont="1" applyFill="1" applyBorder="1" applyAlignment="1">
      <alignment vertical="top"/>
    </xf>
    <xf numFmtId="0" fontId="18" fillId="0" borderId="18" xfId="0" applyFont="1" applyFill="1" applyBorder="1" applyAlignment="1">
      <alignment horizontal="left" vertical="center" wrapText="1"/>
    </xf>
    <xf numFmtId="0" fontId="18" fillId="0" borderId="18" xfId="0" applyFont="1" applyFill="1" applyBorder="1" applyAlignment="1">
      <alignment horizontal="left" vertical="top" wrapText="1"/>
    </xf>
    <xf numFmtId="0" fontId="13" fillId="0" borderId="18" xfId="4" applyFont="1" applyFill="1" applyBorder="1" applyAlignment="1">
      <alignment horizontal="left" vertical="top" wrapText="1"/>
    </xf>
    <xf numFmtId="43" fontId="1" fillId="2" borderId="22" xfId="1" applyFont="1" applyFill="1" applyBorder="1" applyAlignment="1">
      <alignment horizontal="center" vertical="center" wrapText="1"/>
    </xf>
    <xf numFmtId="43" fontId="1" fillId="10" borderId="22" xfId="1" applyFont="1" applyFill="1" applyBorder="1" applyAlignment="1">
      <alignment horizontal="center" vertical="center" wrapText="1"/>
    </xf>
    <xf numFmtId="43" fontId="1" fillId="8" borderId="22" xfId="1" applyFont="1" applyFill="1" applyBorder="1" applyAlignment="1">
      <alignment horizontal="center" vertical="center" wrapText="1"/>
    </xf>
    <xf numFmtId="43" fontId="1" fillId="8" borderId="37" xfId="1" applyFont="1" applyFill="1" applyBorder="1" applyAlignment="1">
      <alignment horizontal="center" vertical="center" wrapText="1"/>
    </xf>
    <xf numFmtId="0" fontId="1" fillId="11" borderId="37" xfId="0" applyFont="1" applyFill="1" applyBorder="1" applyAlignment="1">
      <alignment vertical="center" wrapText="1"/>
    </xf>
    <xf numFmtId="0" fontId="12" fillId="11" borderId="32"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2" fillId="11" borderId="35" xfId="0" applyFont="1" applyFill="1" applyBorder="1" applyAlignment="1">
      <alignment horizontal="center" vertical="center" wrapText="1"/>
    </xf>
    <xf numFmtId="43" fontId="5" fillId="2" borderId="11" xfId="1" applyFont="1" applyFill="1" applyBorder="1" applyAlignment="1">
      <alignment horizontal="left" wrapText="1"/>
    </xf>
    <xf numFmtId="43" fontId="5" fillId="10" borderId="11" xfId="1" applyFont="1" applyFill="1" applyBorder="1" applyAlignment="1">
      <alignment horizontal="left" wrapText="1"/>
    </xf>
    <xf numFmtId="43" fontId="5" fillId="8" borderId="11" xfId="1" applyFont="1" applyFill="1" applyBorder="1" applyAlignment="1">
      <alignment horizontal="left" wrapText="1"/>
    </xf>
    <xf numFmtId="43" fontId="9" fillId="7" borderId="26" xfId="1" applyFont="1" applyFill="1" applyBorder="1" applyAlignment="1"/>
    <xf numFmtId="43" fontId="8" fillId="12" borderId="8" xfId="1" applyFont="1" applyFill="1" applyBorder="1" applyAlignment="1">
      <alignment wrapText="1"/>
    </xf>
    <xf numFmtId="43" fontId="8" fillId="12" borderId="1" xfId="1" applyFont="1" applyFill="1" applyBorder="1" applyAlignment="1">
      <alignment wrapText="1"/>
    </xf>
    <xf numFmtId="43" fontId="9" fillId="12" borderId="9" xfId="1" applyFont="1" applyFill="1" applyBorder="1" applyAlignment="1"/>
    <xf numFmtId="43" fontId="10" fillId="2" borderId="8" xfId="1" applyFont="1" applyFill="1" applyBorder="1" applyAlignment="1"/>
    <xf numFmtId="43" fontId="10" fillId="2" borderId="1" xfId="1" applyFont="1" applyFill="1" applyBorder="1" applyAlignment="1"/>
    <xf numFmtId="43" fontId="10" fillId="10" borderId="8" xfId="1" applyFont="1" applyFill="1" applyBorder="1" applyAlignment="1">
      <alignment wrapText="1"/>
    </xf>
    <xf numFmtId="43" fontId="10" fillId="10" borderId="1" xfId="1" applyFont="1" applyFill="1" applyBorder="1" applyAlignment="1">
      <alignment wrapText="1"/>
    </xf>
    <xf numFmtId="43" fontId="10" fillId="8" borderId="8" xfId="1" applyFont="1" applyFill="1" applyBorder="1" applyAlignment="1">
      <alignment wrapText="1"/>
    </xf>
    <xf numFmtId="43" fontId="10" fillId="8" borderId="1" xfId="1" applyFont="1" applyFill="1" applyBorder="1" applyAlignment="1">
      <alignment wrapText="1"/>
    </xf>
    <xf numFmtId="43" fontId="10" fillId="0" borderId="9" xfId="1" applyFont="1" applyBorder="1" applyAlignment="1"/>
    <xf numFmtId="43" fontId="10" fillId="2" borderId="8" xfId="1" applyFont="1" applyFill="1" applyBorder="1" applyAlignment="1">
      <alignment wrapText="1"/>
    </xf>
    <xf numFmtId="43" fontId="10" fillId="2" borderId="1" xfId="1" applyFont="1" applyFill="1" applyBorder="1" applyAlignment="1">
      <alignment wrapText="1"/>
    </xf>
    <xf numFmtId="43" fontId="6" fillId="2" borderId="7" xfId="1" applyFont="1" applyFill="1" applyBorder="1" applyAlignment="1"/>
    <xf numFmtId="43" fontId="6" fillId="10" borderId="8" xfId="1" applyFont="1" applyFill="1" applyBorder="1" applyAlignment="1">
      <alignment wrapText="1"/>
    </xf>
    <xf numFmtId="43" fontId="6" fillId="10" borderId="1" xfId="1" applyFont="1" applyFill="1" applyBorder="1" applyAlignment="1">
      <alignment wrapText="1"/>
    </xf>
    <xf numFmtId="43" fontId="6" fillId="8" borderId="8" xfId="1" applyFont="1" applyFill="1" applyBorder="1" applyAlignment="1">
      <alignment wrapText="1"/>
    </xf>
    <xf numFmtId="43" fontId="6" fillId="8" borderId="1" xfId="1" applyFont="1" applyFill="1" applyBorder="1" applyAlignment="1">
      <alignment wrapText="1"/>
    </xf>
    <xf numFmtId="43" fontId="6" fillId="0" borderId="9" xfId="1" applyFont="1" applyBorder="1" applyAlignment="1"/>
    <xf numFmtId="43" fontId="6" fillId="2" borderId="8" xfId="1" applyFont="1" applyFill="1" applyBorder="1" applyAlignment="1"/>
    <xf numFmtId="43" fontId="6" fillId="2" borderId="1" xfId="1" applyFont="1" applyFill="1" applyBorder="1" applyAlignment="1"/>
    <xf numFmtId="43" fontId="6" fillId="2" borderId="8" xfId="1" applyFont="1" applyFill="1" applyBorder="1" applyAlignment="1">
      <alignment wrapText="1"/>
    </xf>
    <xf numFmtId="43" fontId="6" fillId="2" borderId="1" xfId="1" applyFont="1" applyFill="1" applyBorder="1" applyAlignment="1">
      <alignment wrapText="1"/>
    </xf>
    <xf numFmtId="43" fontId="6" fillId="2" borderId="10" xfId="1" applyFont="1" applyFill="1" applyBorder="1" applyAlignment="1">
      <alignment wrapText="1"/>
    </xf>
    <xf numFmtId="43" fontId="6" fillId="2" borderId="2" xfId="1" applyFont="1" applyFill="1" applyBorder="1" applyAlignment="1">
      <alignment wrapText="1"/>
    </xf>
    <xf numFmtId="43" fontId="6" fillId="10" borderId="10" xfId="1" applyFont="1" applyFill="1" applyBorder="1" applyAlignment="1">
      <alignment wrapText="1"/>
    </xf>
    <xf numFmtId="43" fontId="6" fillId="10" borderId="2" xfId="1" applyFont="1" applyFill="1" applyBorder="1" applyAlignment="1">
      <alignment wrapText="1"/>
    </xf>
    <xf numFmtId="43" fontId="6" fillId="8" borderId="10" xfId="1" applyFont="1" applyFill="1" applyBorder="1" applyAlignment="1">
      <alignment wrapText="1"/>
    </xf>
    <xf numFmtId="43" fontId="6" fillId="8" borderId="2" xfId="1" applyFont="1" applyFill="1" applyBorder="1" applyAlignment="1">
      <alignment wrapText="1"/>
    </xf>
    <xf numFmtId="43" fontId="6" fillId="2" borderId="10" xfId="1" applyFont="1" applyFill="1" applyBorder="1" applyAlignment="1">
      <alignment horizontal="left" wrapText="1"/>
    </xf>
    <xf numFmtId="43" fontId="6" fillId="2" borderId="2" xfId="1" applyFont="1" applyFill="1" applyBorder="1" applyAlignment="1">
      <alignment horizontal="left" wrapText="1"/>
    </xf>
    <xf numFmtId="43" fontId="6" fillId="10" borderId="10" xfId="1" applyFont="1" applyFill="1" applyBorder="1" applyAlignment="1">
      <alignment horizontal="left" wrapText="1"/>
    </xf>
    <xf numFmtId="43" fontId="6" fillId="10" borderId="2" xfId="1" applyFont="1" applyFill="1" applyBorder="1" applyAlignment="1">
      <alignment horizontal="left" wrapText="1"/>
    </xf>
    <xf numFmtId="43" fontId="6" fillId="2" borderId="8" xfId="1" applyFont="1" applyFill="1" applyBorder="1" applyAlignment="1">
      <alignment horizontal="left" wrapText="1"/>
    </xf>
    <xf numFmtId="43" fontId="6" fillId="2" borderId="1" xfId="1" applyFont="1" applyFill="1" applyBorder="1" applyAlignment="1">
      <alignment horizontal="left" wrapText="1"/>
    </xf>
    <xf numFmtId="43" fontId="6" fillId="10" borderId="8" xfId="1" applyFont="1" applyFill="1" applyBorder="1" applyAlignment="1">
      <alignment horizontal="left" wrapText="1"/>
    </xf>
    <xf numFmtId="43" fontId="6" fillId="10" borderId="1" xfId="1" applyFont="1" applyFill="1" applyBorder="1" applyAlignment="1">
      <alignment horizontal="left" wrapText="1"/>
    </xf>
    <xf numFmtId="43" fontId="6" fillId="8" borderId="8" xfId="1" applyFont="1" applyFill="1" applyBorder="1" applyAlignment="1">
      <alignment horizontal="right" wrapText="1"/>
    </xf>
    <xf numFmtId="43" fontId="6" fillId="8" borderId="1" xfId="1" applyFont="1" applyFill="1" applyBorder="1" applyAlignment="1">
      <alignment horizontal="right" wrapText="1"/>
    </xf>
    <xf numFmtId="43" fontId="21" fillId="10" borderId="8" xfId="1" applyFont="1" applyFill="1" applyBorder="1" applyAlignment="1">
      <alignment wrapText="1"/>
    </xf>
    <xf numFmtId="43" fontId="21" fillId="10" borderId="1" xfId="1" applyFont="1" applyFill="1" applyBorder="1" applyAlignment="1">
      <alignment wrapText="1"/>
    </xf>
    <xf numFmtId="43" fontId="10" fillId="10" borderId="8" xfId="1" applyFont="1" applyFill="1" applyBorder="1" applyAlignment="1"/>
    <xf numFmtId="43" fontId="10" fillId="10" borderId="1" xfId="1" applyFont="1" applyFill="1" applyBorder="1" applyAlignment="1"/>
    <xf numFmtId="43" fontId="10" fillId="8" borderId="8" xfId="1" applyFont="1" applyFill="1" applyBorder="1" applyAlignment="1"/>
    <xf numFmtId="43" fontId="10" fillId="8" borderId="1" xfId="1" applyFont="1" applyFill="1" applyBorder="1" applyAlignment="1"/>
    <xf numFmtId="43" fontId="10" fillId="2" borderId="8" xfId="1" applyFont="1" applyFill="1" applyBorder="1" applyAlignment="1">
      <alignment horizontal="justify"/>
    </xf>
    <xf numFmtId="43" fontId="10" fillId="2" borderId="1" xfId="1" applyFont="1" applyFill="1" applyBorder="1" applyAlignment="1">
      <alignment horizontal="justify"/>
    </xf>
    <xf numFmtId="43" fontId="10" fillId="10" borderId="8" xfId="1" applyFont="1" applyFill="1" applyBorder="1" applyAlignment="1">
      <alignment horizontal="justify"/>
    </xf>
    <xf numFmtId="43" fontId="10" fillId="10" borderId="1" xfId="1" applyFont="1" applyFill="1" applyBorder="1" applyAlignment="1">
      <alignment horizontal="justify"/>
    </xf>
    <xf numFmtId="43" fontId="10" fillId="8" borderId="8" xfId="1" applyFont="1" applyFill="1" applyBorder="1" applyAlignment="1">
      <alignment horizontal="right"/>
    </xf>
    <xf numFmtId="43" fontId="6" fillId="8" borderId="1" xfId="1" applyFont="1" applyFill="1" applyBorder="1" applyAlignment="1">
      <alignment horizontal="right"/>
    </xf>
    <xf numFmtId="43" fontId="10" fillId="8" borderId="1" xfId="1" applyFont="1" applyFill="1" applyBorder="1" applyAlignment="1">
      <alignment horizontal="right"/>
    </xf>
    <xf numFmtId="43" fontId="11" fillId="10" borderId="8" xfId="1" applyFont="1" applyFill="1" applyBorder="1" applyAlignment="1">
      <alignment horizontal="justify"/>
    </xf>
    <xf numFmtId="43" fontId="11" fillId="10" borderId="1" xfId="1" applyFont="1" applyFill="1" applyBorder="1" applyAlignment="1">
      <alignment horizontal="justify"/>
    </xf>
    <xf numFmtId="43" fontId="5" fillId="2" borderId="8" xfId="1" applyFont="1" applyFill="1" applyBorder="1" applyAlignment="1">
      <alignment horizontal="left" wrapText="1"/>
    </xf>
    <xf numFmtId="43" fontId="5" fillId="2" borderId="1" xfId="1" applyFont="1" applyFill="1" applyBorder="1" applyAlignment="1">
      <alignment horizontal="left" wrapText="1"/>
    </xf>
    <xf numFmtId="43" fontId="8" fillId="10" borderId="8" xfId="1" applyFont="1" applyFill="1" applyBorder="1" applyAlignment="1">
      <alignment horizontal="right"/>
    </xf>
    <xf numFmtId="43" fontId="8" fillId="10" borderId="1" xfId="1" applyFont="1" applyFill="1" applyBorder="1" applyAlignment="1">
      <alignment horizontal="right"/>
    </xf>
    <xf numFmtId="43" fontId="8" fillId="8" borderId="8" xfId="1" applyFont="1" applyFill="1" applyBorder="1" applyAlignment="1">
      <alignment horizontal="right"/>
    </xf>
    <xf numFmtId="43" fontId="8" fillId="8" borderId="1" xfId="1" applyFont="1" applyFill="1" applyBorder="1" applyAlignment="1">
      <alignment horizontal="right"/>
    </xf>
    <xf numFmtId="43" fontId="11" fillId="10" borderId="8" xfId="1" applyFont="1" applyFill="1" applyBorder="1" applyAlignment="1">
      <alignment horizontal="right"/>
    </xf>
    <xf numFmtId="43" fontId="11" fillId="10" borderId="1" xfId="1" applyFont="1" applyFill="1" applyBorder="1" applyAlignment="1">
      <alignment horizontal="right"/>
    </xf>
    <xf numFmtId="43" fontId="6" fillId="10" borderId="8" xfId="1" applyFont="1" applyFill="1" applyBorder="1" applyAlignment="1"/>
    <xf numFmtId="43" fontId="6" fillId="10" borderId="1" xfId="1" applyFont="1" applyFill="1" applyBorder="1" applyAlignment="1"/>
    <xf numFmtId="43" fontId="6" fillId="10" borderId="0" xfId="1" applyFont="1" applyFill="1" applyBorder="1" applyAlignment="1"/>
    <xf numFmtId="43" fontId="0" fillId="8" borderId="7" xfId="1" applyFont="1" applyFill="1" applyBorder="1" applyAlignment="1"/>
    <xf numFmtId="43" fontId="10" fillId="0" borderId="9" xfId="1" applyFont="1" applyFill="1" applyBorder="1" applyAlignment="1"/>
    <xf numFmtId="43" fontId="21" fillId="2" borderId="8" xfId="1" applyFont="1" applyFill="1" applyBorder="1" applyAlignment="1"/>
    <xf numFmtId="43" fontId="21" fillId="2" borderId="1" xfId="1" applyFont="1" applyFill="1" applyBorder="1" applyAlignment="1"/>
    <xf numFmtId="43" fontId="21" fillId="10" borderId="1" xfId="1" applyFont="1" applyFill="1" applyBorder="1" applyAlignment="1"/>
    <xf numFmtId="43" fontId="21" fillId="8" borderId="8" xfId="1" applyFont="1" applyFill="1" applyBorder="1" applyAlignment="1">
      <alignment wrapText="1"/>
    </xf>
    <xf numFmtId="43" fontId="21" fillId="8" borderId="1" xfId="1" applyFont="1" applyFill="1" applyBorder="1" applyAlignment="1">
      <alignment wrapText="1"/>
    </xf>
    <xf numFmtId="43" fontId="21" fillId="0" borderId="9" xfId="1" applyFont="1" applyFill="1" applyBorder="1" applyAlignment="1"/>
    <xf numFmtId="43" fontId="21" fillId="2" borderId="8" xfId="1" applyFont="1" applyFill="1" applyBorder="1" applyAlignment="1">
      <alignment wrapText="1"/>
    </xf>
    <xf numFmtId="43" fontId="21" fillId="2" borderId="1" xfId="1" applyFont="1" applyFill="1" applyBorder="1" applyAlignment="1">
      <alignment wrapText="1"/>
    </xf>
    <xf numFmtId="43" fontId="10" fillId="2" borderId="7" xfId="1" applyFont="1" applyFill="1" applyBorder="1" applyAlignment="1"/>
    <xf numFmtId="43" fontId="8" fillId="13" borderId="8" xfId="1" applyFont="1" applyFill="1" applyBorder="1" applyAlignment="1">
      <alignment wrapText="1"/>
    </xf>
    <xf numFmtId="43" fontId="8" fillId="13" borderId="1" xfId="1" applyFont="1" applyFill="1" applyBorder="1" applyAlignment="1">
      <alignment wrapText="1"/>
    </xf>
    <xf numFmtId="43" fontId="6" fillId="13" borderId="9" xfId="1" applyFont="1" applyFill="1" applyBorder="1" applyAlignment="1"/>
    <xf numFmtId="43" fontId="10" fillId="10" borderId="7" xfId="1" applyFont="1" applyFill="1" applyBorder="1" applyAlignment="1"/>
    <xf numFmtId="9" fontId="19" fillId="6" borderId="28" xfId="3" applyFont="1" applyFill="1" applyBorder="1" applyAlignment="1">
      <alignment horizontal="right" vertical="center" wrapText="1"/>
    </xf>
    <xf numFmtId="43" fontId="0" fillId="0" borderId="0" xfId="0" applyNumberFormat="1"/>
    <xf numFmtId="43" fontId="13" fillId="4" borderId="3" xfId="0" applyNumberFormat="1" applyFont="1" applyFill="1" applyBorder="1"/>
    <xf numFmtId="43" fontId="19" fillId="2" borderId="2" xfId="1" applyFont="1" applyFill="1" applyBorder="1" applyAlignment="1">
      <alignment horizontal="right" vertical="center" wrapText="1"/>
    </xf>
    <xf numFmtId="9" fontId="19" fillId="2" borderId="47" xfId="3" applyFont="1" applyFill="1" applyBorder="1" applyAlignment="1">
      <alignment horizontal="right" vertical="center" wrapText="1"/>
    </xf>
    <xf numFmtId="43" fontId="19" fillId="5" borderId="10" xfId="1" applyFont="1" applyFill="1" applyBorder="1" applyAlignment="1">
      <alignment horizontal="right" vertical="center" wrapText="1"/>
    </xf>
    <xf numFmtId="43" fontId="19" fillId="5" borderId="2" xfId="1" applyFont="1" applyFill="1" applyBorder="1" applyAlignment="1">
      <alignment horizontal="right" vertical="center" wrapText="1"/>
    </xf>
    <xf numFmtId="9" fontId="19" fillId="5" borderId="48" xfId="3" applyFont="1" applyFill="1" applyBorder="1" applyAlignment="1">
      <alignment horizontal="right" vertical="center" wrapText="1"/>
    </xf>
    <xf numFmtId="43" fontId="19" fillId="6" borderId="5" xfId="1" applyFont="1" applyFill="1" applyBorder="1" applyAlignment="1">
      <alignment horizontal="right" vertical="center" wrapText="1"/>
    </xf>
    <xf numFmtId="43" fontId="19" fillId="6" borderId="2" xfId="1" applyFont="1" applyFill="1" applyBorder="1" applyAlignment="1">
      <alignment horizontal="right" vertical="center" wrapText="1"/>
    </xf>
    <xf numFmtId="9" fontId="19" fillId="6" borderId="47" xfId="3" applyFont="1" applyFill="1" applyBorder="1" applyAlignment="1">
      <alignment horizontal="right" vertical="center" wrapText="1"/>
    </xf>
    <xf numFmtId="43" fontId="19" fillId="4" borderId="10" xfId="1" applyFont="1" applyFill="1" applyBorder="1" applyAlignment="1">
      <alignment horizontal="right" vertical="center" wrapText="1"/>
    </xf>
    <xf numFmtId="43" fontId="19" fillId="4" borderId="2" xfId="1" applyFont="1" applyFill="1" applyBorder="1" applyAlignment="1">
      <alignment horizontal="right" vertical="center" wrapText="1"/>
    </xf>
    <xf numFmtId="43" fontId="13" fillId="4" borderId="4" xfId="0" applyNumberFormat="1" applyFont="1" applyFill="1" applyBorder="1"/>
    <xf numFmtId="9" fontId="13" fillId="4" borderId="48" xfId="3" applyFont="1" applyFill="1" applyBorder="1"/>
    <xf numFmtId="0" fontId="3" fillId="0" borderId="13" xfId="0" applyFont="1" applyBorder="1" applyAlignment="1">
      <alignment vertical="center" wrapText="1"/>
    </xf>
    <xf numFmtId="43" fontId="19" fillId="2" borderId="10" xfId="1" applyFont="1" applyFill="1" applyBorder="1" applyAlignment="1">
      <alignment horizontal="right" vertical="center" wrapText="1"/>
    </xf>
    <xf numFmtId="43" fontId="19" fillId="2" borderId="4" xfId="1" applyFont="1" applyFill="1" applyBorder="1" applyAlignment="1">
      <alignment horizontal="right" vertical="center" wrapText="1"/>
    </xf>
    <xf numFmtId="43" fontId="19" fillId="5" borderId="12" xfId="1" applyFont="1" applyFill="1" applyBorder="1" applyAlignment="1">
      <alignment horizontal="right" vertical="center" wrapText="1"/>
    </xf>
    <xf numFmtId="43" fontId="19" fillId="5" borderId="4" xfId="1" applyFont="1" applyFill="1" applyBorder="1" applyAlignment="1">
      <alignment horizontal="right" vertical="center" wrapText="1"/>
    </xf>
    <xf numFmtId="43" fontId="19" fillId="6" borderId="50" xfId="1" applyFont="1" applyFill="1" applyBorder="1" applyAlignment="1">
      <alignment horizontal="right" vertical="center" wrapText="1"/>
    </xf>
    <xf numFmtId="43" fontId="19" fillId="6" borderId="4" xfId="1" applyFont="1" applyFill="1" applyBorder="1" applyAlignment="1">
      <alignment horizontal="right" vertical="center" wrapText="1"/>
    </xf>
    <xf numFmtId="43" fontId="19" fillId="4" borderId="12" xfId="1" applyFont="1" applyFill="1" applyBorder="1" applyAlignment="1">
      <alignment horizontal="right" vertical="center" wrapText="1"/>
    </xf>
    <xf numFmtId="43" fontId="19" fillId="4" borderId="4" xfId="1" applyFont="1" applyFill="1" applyBorder="1" applyAlignment="1">
      <alignment horizontal="right" vertical="center" wrapText="1"/>
    </xf>
    <xf numFmtId="0" fontId="13" fillId="7" borderId="51" xfId="0" applyFont="1" applyFill="1" applyBorder="1"/>
    <xf numFmtId="0" fontId="30" fillId="9" borderId="43" xfId="0" applyFont="1" applyFill="1" applyBorder="1" applyAlignment="1">
      <alignment horizontal="center" vertical="center"/>
    </xf>
    <xf numFmtId="0" fontId="30" fillId="9" borderId="37" xfId="0" applyFont="1" applyFill="1" applyBorder="1" applyAlignment="1">
      <alignment horizontal="center" vertical="center"/>
    </xf>
    <xf numFmtId="0" fontId="30" fillId="9" borderId="22" xfId="0" applyFont="1" applyFill="1" applyBorder="1" applyAlignment="1">
      <alignment horizontal="center" vertical="center"/>
    </xf>
    <xf numFmtId="43" fontId="10" fillId="2" borderId="2" xfId="1" applyFont="1" applyFill="1" applyBorder="1" applyAlignment="1">
      <alignment wrapText="1"/>
    </xf>
    <xf numFmtId="43" fontId="6" fillId="2" borderId="3" xfId="1" applyFont="1" applyFill="1" applyBorder="1" applyAlignment="1"/>
    <xf numFmtId="0" fontId="2" fillId="7" borderId="39"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7" fillId="7" borderId="40" xfId="0" applyFont="1" applyFill="1" applyBorder="1" applyAlignment="1">
      <alignment horizontal="center" vertical="center" wrapText="1"/>
    </xf>
    <xf numFmtId="0" fontId="27" fillId="7" borderId="41"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43" xfId="0" applyFont="1" applyFill="1" applyBorder="1" applyAlignment="1">
      <alignment vertical="center" wrapText="1"/>
    </xf>
    <xf numFmtId="43" fontId="26" fillId="7" borderId="32" xfId="1" applyFont="1" applyFill="1" applyBorder="1" applyAlignment="1">
      <alignment horizontal="right" vertical="center" wrapText="1"/>
    </xf>
    <xf numFmtId="43" fontId="26" fillId="7" borderId="33" xfId="1" applyFont="1" applyFill="1" applyBorder="1" applyAlignment="1">
      <alignment horizontal="right" vertical="center" wrapText="1"/>
    </xf>
    <xf numFmtId="43" fontId="26" fillId="7" borderId="49" xfId="1" applyFont="1" applyFill="1" applyBorder="1" applyAlignment="1">
      <alignment horizontal="right" vertical="center" wrapText="1"/>
    </xf>
    <xf numFmtId="0" fontId="29" fillId="7" borderId="22" xfId="0" applyFont="1" applyFill="1" applyBorder="1"/>
    <xf numFmtId="0" fontId="2" fillId="7" borderId="31" xfId="0" applyFont="1" applyFill="1" applyBorder="1" applyAlignment="1">
      <alignment vertical="center" wrapText="1"/>
    </xf>
    <xf numFmtId="43" fontId="26" fillId="7" borderId="15" xfId="1" applyFont="1" applyFill="1" applyBorder="1" applyAlignment="1">
      <alignment horizontal="right" vertical="center" wrapText="1"/>
    </xf>
    <xf numFmtId="43" fontId="26" fillId="7" borderId="27" xfId="1" applyFont="1" applyFill="1" applyBorder="1" applyAlignment="1">
      <alignment horizontal="right" vertical="center" wrapText="1"/>
    </xf>
    <xf numFmtId="9" fontId="26" fillId="7" borderId="33" xfId="3" applyFont="1" applyFill="1" applyBorder="1" applyAlignment="1">
      <alignment horizontal="right" vertical="center" wrapText="1"/>
    </xf>
    <xf numFmtId="0" fontId="10" fillId="0" borderId="2" xfId="0" applyFont="1" applyBorder="1" applyAlignment="1">
      <alignment horizontal="left" vertical="top" wrapText="1"/>
    </xf>
    <xf numFmtId="9" fontId="6" fillId="0" borderId="0" xfId="3" applyFont="1" applyAlignment="1">
      <alignment vertical="top"/>
    </xf>
    <xf numFmtId="9" fontId="6" fillId="0" borderId="0" xfId="3" applyFont="1" applyAlignment="1">
      <alignment horizontal="left" vertical="top"/>
    </xf>
    <xf numFmtId="43" fontId="1" fillId="11" borderId="32" xfId="1" applyFont="1" applyFill="1" applyBorder="1" applyAlignment="1"/>
    <xf numFmtId="43" fontId="1" fillId="11" borderId="33" xfId="1" applyFont="1" applyFill="1" applyBorder="1" applyAlignment="1"/>
    <xf numFmtId="43" fontId="1" fillId="11" borderId="34" xfId="1" applyFont="1" applyFill="1" applyBorder="1" applyAlignment="1"/>
    <xf numFmtId="43" fontId="1" fillId="11" borderId="43" xfId="1" applyFont="1" applyFill="1" applyBorder="1" applyAlignment="1"/>
    <xf numFmtId="9" fontId="1" fillId="11" borderId="34" xfId="3" applyFont="1" applyFill="1" applyBorder="1" applyAlignment="1">
      <alignment horizontal="center"/>
    </xf>
    <xf numFmtId="0" fontId="10" fillId="0" borderId="45" xfId="0" applyFont="1" applyBorder="1" applyAlignment="1">
      <alignment vertical="top" wrapText="1"/>
    </xf>
    <xf numFmtId="43" fontId="10" fillId="2" borderId="10" xfId="1" applyFont="1" applyFill="1" applyBorder="1" applyAlignment="1">
      <alignment wrapText="1"/>
    </xf>
    <xf numFmtId="43" fontId="10" fillId="10" borderId="10" xfId="1" applyFont="1" applyFill="1" applyBorder="1" applyAlignment="1">
      <alignment wrapText="1"/>
    </xf>
    <xf numFmtId="43" fontId="10" fillId="10" borderId="2" xfId="1" applyFont="1" applyFill="1" applyBorder="1" applyAlignment="1">
      <alignment wrapText="1"/>
    </xf>
    <xf numFmtId="43" fontId="10" fillId="8" borderId="10" xfId="1" applyFont="1" applyFill="1" applyBorder="1" applyAlignment="1">
      <alignment wrapText="1"/>
    </xf>
    <xf numFmtId="43" fontId="10" fillId="8" borderId="2" xfId="1" applyFont="1" applyFill="1" applyBorder="1" applyAlignment="1">
      <alignment wrapText="1"/>
    </xf>
    <xf numFmtId="43" fontId="10" fillId="0" borderId="46" xfId="1" applyFont="1" applyBorder="1" applyAlignment="1"/>
    <xf numFmtId="0" fontId="18" fillId="3" borderId="12" xfId="0" applyFont="1" applyFill="1" applyBorder="1" applyAlignment="1">
      <alignment horizontal="left" vertical="top"/>
    </xf>
    <xf numFmtId="0" fontId="18" fillId="3" borderId="4" xfId="0" applyFont="1" applyFill="1" applyBorder="1" applyAlignment="1">
      <alignment horizontal="left" vertical="top"/>
    </xf>
    <xf numFmtId="0" fontId="18" fillId="3" borderId="4" xfId="0" applyFont="1" applyFill="1" applyBorder="1" applyAlignment="1">
      <alignment horizontal="left" vertical="top" wrapText="1"/>
    </xf>
    <xf numFmtId="0" fontId="18" fillId="3" borderId="47" xfId="0" applyFont="1" applyFill="1" applyBorder="1" applyAlignment="1">
      <alignment vertical="top"/>
    </xf>
    <xf numFmtId="43" fontId="1" fillId="2" borderId="12" xfId="1" applyFont="1" applyFill="1" applyBorder="1" applyAlignment="1">
      <alignment wrapText="1"/>
    </xf>
    <xf numFmtId="43" fontId="1" fillId="2" borderId="4" xfId="1" applyFont="1" applyFill="1" applyBorder="1" applyAlignment="1">
      <alignment wrapText="1"/>
    </xf>
    <xf numFmtId="43" fontId="1" fillId="10" borderId="7" xfId="1" applyFont="1" applyFill="1" applyBorder="1" applyAlignment="1">
      <alignment wrapText="1"/>
    </xf>
    <xf numFmtId="43" fontId="1" fillId="10" borderId="4" xfId="1" applyFont="1" applyFill="1" applyBorder="1" applyAlignment="1">
      <alignment wrapText="1"/>
    </xf>
    <xf numFmtId="43" fontId="1" fillId="8" borderId="12" xfId="1" applyFont="1" applyFill="1" applyBorder="1" applyAlignment="1">
      <alignment wrapText="1"/>
    </xf>
    <xf numFmtId="43" fontId="1" fillId="8" borderId="4" xfId="1" applyFont="1" applyFill="1" applyBorder="1" applyAlignment="1">
      <alignment wrapText="1"/>
    </xf>
    <xf numFmtId="43" fontId="16" fillId="3" borderId="48" xfId="1" applyFont="1" applyFill="1" applyBorder="1" applyAlignment="1"/>
    <xf numFmtId="43" fontId="9" fillId="11" borderId="34" xfId="1" applyFont="1" applyFill="1" applyBorder="1" applyAlignment="1"/>
    <xf numFmtId="9" fontId="1" fillId="11" borderId="35" xfId="3" applyFont="1" applyFill="1" applyBorder="1" applyAlignment="1">
      <alignment horizontal="center"/>
    </xf>
    <xf numFmtId="9" fontId="7" fillId="0" borderId="0" xfId="3" applyFont="1"/>
    <xf numFmtId="43" fontId="0" fillId="8" borderId="1" xfId="1" applyFont="1" applyFill="1" applyBorder="1" applyAlignment="1"/>
    <xf numFmtId="0" fontId="6" fillId="0" borderId="1" xfId="0" applyFont="1" applyBorder="1" applyAlignment="1">
      <alignment horizontal="left" vertical="top" wrapText="1"/>
    </xf>
    <xf numFmtId="0" fontId="1" fillId="0" borderId="10" xfId="0" applyFont="1" applyFill="1" applyBorder="1" applyAlignment="1">
      <alignment horizontal="left" vertical="center" wrapText="1"/>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6" fillId="0" borderId="0" xfId="0" applyFont="1" applyFill="1" applyAlignment="1">
      <alignment horizontal="left" vertical="center" wrapText="1"/>
    </xf>
    <xf numFmtId="0" fontId="1" fillId="0" borderId="2" xfId="0" applyFont="1" applyFill="1" applyBorder="1" applyAlignment="1">
      <alignment horizontal="left" vertical="center" wrapText="1"/>
    </xf>
    <xf numFmtId="0" fontId="16" fillId="0" borderId="1" xfId="0" applyFont="1" applyFill="1" applyBorder="1" applyAlignment="1">
      <alignment vertical="top" wrapText="1"/>
    </xf>
    <xf numFmtId="0" fontId="3" fillId="0" borderId="1" xfId="0" applyFont="1" applyFill="1" applyBorder="1" applyAlignment="1">
      <alignment vertical="top"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9" fontId="10" fillId="2" borderId="9" xfId="3" applyFont="1" applyFill="1" applyBorder="1" applyAlignment="1">
      <alignment horizontal="center" wrapText="1"/>
    </xf>
    <xf numFmtId="9" fontId="10" fillId="2" borderId="46" xfId="3" applyFont="1" applyFill="1" applyBorder="1" applyAlignment="1">
      <alignment horizontal="center" wrapText="1"/>
    </xf>
    <xf numFmtId="9" fontId="1" fillId="2" borderId="48" xfId="3" applyFont="1" applyFill="1" applyBorder="1" applyAlignment="1">
      <alignment horizontal="center" wrapText="1"/>
    </xf>
    <xf numFmtId="9" fontId="6" fillId="0" borderId="0" xfId="3" applyFont="1" applyAlignment="1">
      <alignment horizontal="center" vertical="top"/>
    </xf>
    <xf numFmtId="9" fontId="18" fillId="2" borderId="34" xfId="3" applyFont="1" applyFill="1" applyBorder="1" applyAlignment="1">
      <alignment horizontal="center" vertical="center" wrapText="1"/>
    </xf>
    <xf numFmtId="9" fontId="34" fillId="2" borderId="26" xfId="3" applyFont="1" applyFill="1" applyBorder="1" applyAlignment="1">
      <alignment horizontal="center" wrapText="1"/>
    </xf>
    <xf numFmtId="9" fontId="34" fillId="12" borderId="26" xfId="3" applyFont="1" applyFill="1" applyBorder="1" applyAlignment="1">
      <alignment horizontal="center" wrapText="1"/>
    </xf>
    <xf numFmtId="9" fontId="35" fillId="13" borderId="9" xfId="3" applyFont="1" applyFill="1" applyBorder="1" applyAlignment="1">
      <alignment horizontal="center" wrapText="1"/>
    </xf>
    <xf numFmtId="9" fontId="35" fillId="12" borderId="9" xfId="3" applyFont="1" applyFill="1" applyBorder="1" applyAlignment="1">
      <alignment horizontal="center" wrapText="1"/>
    </xf>
    <xf numFmtId="9" fontId="34" fillId="2" borderId="9" xfId="3" applyFont="1" applyFill="1" applyBorder="1" applyAlignment="1">
      <alignment horizontal="center" wrapText="1"/>
    </xf>
    <xf numFmtId="9" fontId="18" fillId="8" borderId="34" xfId="3" applyFont="1" applyFill="1" applyBorder="1" applyAlignment="1">
      <alignment horizontal="center" vertical="center" wrapText="1"/>
    </xf>
    <xf numFmtId="9" fontId="35" fillId="12" borderId="18" xfId="3" applyFont="1" applyFill="1" applyBorder="1" applyAlignment="1">
      <alignment horizontal="center" wrapText="1"/>
    </xf>
    <xf numFmtId="9" fontId="34" fillId="2" borderId="18" xfId="3" applyFont="1" applyFill="1" applyBorder="1" applyAlignment="1">
      <alignment horizontal="center" wrapText="1"/>
    </xf>
    <xf numFmtId="9" fontId="35" fillId="13" borderId="18" xfId="3" applyFont="1" applyFill="1" applyBorder="1" applyAlignment="1">
      <alignment horizontal="center" wrapText="1"/>
    </xf>
    <xf numFmtId="9" fontId="18" fillId="10" borderId="35" xfId="3" applyFont="1" applyFill="1" applyBorder="1" applyAlignment="1">
      <alignment horizontal="center" vertical="center" wrapText="1"/>
    </xf>
    <xf numFmtId="9" fontId="34" fillId="10" borderId="28" xfId="3" applyFont="1" applyFill="1" applyBorder="1" applyAlignment="1">
      <alignment horizontal="center" wrapText="1"/>
    </xf>
    <xf numFmtId="9" fontId="10" fillId="10" borderId="18" xfId="3" applyFont="1" applyFill="1" applyBorder="1" applyAlignment="1">
      <alignment horizontal="center" wrapText="1"/>
    </xf>
    <xf numFmtId="9" fontId="6" fillId="10" borderId="18" xfId="3" applyFont="1" applyFill="1" applyBorder="1" applyAlignment="1">
      <alignment horizontal="center" wrapText="1"/>
    </xf>
    <xf numFmtId="9" fontId="6" fillId="10" borderId="45" xfId="3" applyFont="1" applyFill="1" applyBorder="1" applyAlignment="1">
      <alignment horizontal="center" wrapText="1"/>
    </xf>
    <xf numFmtId="9" fontId="21" fillId="10" borderId="18" xfId="3" applyFont="1" applyFill="1" applyBorder="1" applyAlignment="1">
      <alignment horizontal="center" wrapText="1"/>
    </xf>
    <xf numFmtId="9" fontId="10" fillId="10" borderId="18" xfId="3" applyFont="1" applyFill="1" applyBorder="1" applyAlignment="1">
      <alignment horizontal="center"/>
    </xf>
    <xf numFmtId="9" fontId="35" fillId="10" borderId="18" xfId="3" applyFont="1" applyFill="1" applyBorder="1" applyAlignment="1">
      <alignment horizontal="center"/>
    </xf>
    <xf numFmtId="9" fontId="6" fillId="10" borderId="18" xfId="3" applyFont="1" applyFill="1" applyBorder="1" applyAlignment="1">
      <alignment horizontal="center"/>
    </xf>
    <xf numFmtId="9" fontId="6" fillId="10" borderId="0" xfId="3" applyFont="1" applyFill="1" applyBorder="1" applyAlignment="1">
      <alignment horizontal="center"/>
    </xf>
    <xf numFmtId="9" fontId="10" fillId="10" borderId="0" xfId="3" applyFont="1" applyFill="1" applyBorder="1" applyAlignment="1">
      <alignment horizontal="center"/>
    </xf>
    <xf numFmtId="9" fontId="10" fillId="10" borderId="45" xfId="3" applyFont="1" applyFill="1" applyBorder="1" applyAlignment="1">
      <alignment horizontal="center" wrapText="1"/>
    </xf>
    <xf numFmtId="0" fontId="12" fillId="11" borderId="37" xfId="0" applyFont="1" applyFill="1" applyBorder="1" applyAlignment="1">
      <alignment vertical="center" wrapText="1"/>
    </xf>
    <xf numFmtId="9" fontId="5" fillId="7" borderId="6" xfId="3" applyFont="1" applyFill="1" applyBorder="1" applyAlignment="1">
      <alignment wrapText="1"/>
    </xf>
    <xf numFmtId="9" fontId="5" fillId="12" borderId="20" xfId="3" applyFont="1" applyFill="1" applyBorder="1" applyAlignment="1">
      <alignment wrapText="1"/>
    </xf>
    <xf numFmtId="9" fontId="10" fillId="0" borderId="20" xfId="0" applyNumberFormat="1" applyFont="1" applyFill="1" applyBorder="1" applyAlignment="1">
      <alignment wrapText="1"/>
    </xf>
    <xf numFmtId="9" fontId="10" fillId="0" borderId="20" xfId="0" applyNumberFormat="1" applyFont="1" applyBorder="1" applyAlignment="1"/>
    <xf numFmtId="0" fontId="6" fillId="3" borderId="20" xfId="0" applyFont="1" applyFill="1" applyBorder="1" applyAlignment="1"/>
    <xf numFmtId="0" fontId="6" fillId="0" borderId="20" xfId="0" applyFont="1" applyBorder="1" applyAlignment="1"/>
    <xf numFmtId="0" fontId="10" fillId="3" borderId="20" xfId="0" applyFont="1" applyFill="1" applyBorder="1" applyAlignment="1">
      <alignment wrapText="1"/>
    </xf>
    <xf numFmtId="9" fontId="5" fillId="2" borderId="20" xfId="3" applyFont="1" applyFill="1" applyBorder="1" applyAlignment="1">
      <alignment wrapText="1"/>
    </xf>
    <xf numFmtId="9" fontId="8" fillId="12" borderId="20" xfId="3" applyFont="1" applyFill="1" applyBorder="1" applyAlignment="1">
      <alignment wrapText="1"/>
    </xf>
    <xf numFmtId="3" fontId="8" fillId="0" borderId="20" xfId="1" applyNumberFormat="1" applyFont="1" applyFill="1" applyBorder="1" applyAlignment="1"/>
    <xf numFmtId="3" fontId="10" fillId="3" borderId="20" xfId="0" applyNumberFormat="1" applyFont="1" applyFill="1" applyBorder="1" applyAlignment="1">
      <alignment wrapText="1"/>
    </xf>
    <xf numFmtId="3" fontId="10" fillId="0" borderId="20" xfId="0" applyNumberFormat="1" applyFont="1" applyFill="1" applyBorder="1" applyAlignment="1">
      <alignment wrapText="1"/>
    </xf>
    <xf numFmtId="3" fontId="21" fillId="0" borderId="20" xfId="0" applyNumberFormat="1" applyFont="1" applyFill="1" applyBorder="1" applyAlignment="1">
      <alignment wrapText="1"/>
    </xf>
    <xf numFmtId="9" fontId="8" fillId="13" borderId="20" xfId="3" applyFont="1" applyFill="1" applyBorder="1" applyAlignment="1">
      <alignment wrapText="1"/>
    </xf>
    <xf numFmtId="0" fontId="6" fillId="0" borderId="20" xfId="0" applyFont="1" applyBorder="1" applyAlignment="1">
      <alignment wrapText="1"/>
    </xf>
    <xf numFmtId="0" fontId="10" fillId="0" borderId="20" xfId="0" applyFont="1" applyBorder="1" applyAlignment="1">
      <alignment wrapText="1"/>
    </xf>
    <xf numFmtId="0" fontId="10" fillId="0" borderId="5" xfId="0" applyFont="1" applyBorder="1" applyAlignment="1">
      <alignment wrapText="1"/>
    </xf>
    <xf numFmtId="4" fontId="1" fillId="11" borderId="49" xfId="1" applyNumberFormat="1" applyFont="1" applyFill="1" applyBorder="1" applyAlignment="1"/>
    <xf numFmtId="0" fontId="1" fillId="3" borderId="50" xfId="0" applyFont="1" applyFill="1" applyBorder="1" applyAlignment="1">
      <alignment wrapText="1"/>
    </xf>
    <xf numFmtId="166" fontId="1" fillId="11" borderId="49" xfId="2" applyNumberFormat="1" applyFont="1" applyFill="1" applyBorder="1" applyAlignment="1"/>
    <xf numFmtId="9" fontId="34" fillId="8" borderId="26" xfId="3" applyFont="1" applyFill="1" applyBorder="1" applyAlignment="1">
      <alignment horizontal="center" wrapText="1"/>
    </xf>
    <xf numFmtId="9" fontId="10" fillId="8" borderId="9" xfId="3" applyFont="1" applyFill="1" applyBorder="1" applyAlignment="1">
      <alignment horizontal="center" wrapText="1"/>
    </xf>
    <xf numFmtId="9" fontId="6" fillId="8" borderId="9" xfId="3" applyFont="1" applyFill="1" applyBorder="1" applyAlignment="1">
      <alignment horizontal="center" wrapText="1"/>
    </xf>
    <xf numFmtId="9" fontId="6" fillId="8" borderId="46" xfId="3" applyFont="1" applyFill="1" applyBorder="1" applyAlignment="1">
      <alignment horizontal="center" wrapText="1"/>
    </xf>
    <xf numFmtId="9" fontId="10" fillId="8" borderId="9" xfId="3" applyFont="1" applyFill="1" applyBorder="1" applyAlignment="1">
      <alignment horizontal="center"/>
    </xf>
    <xf numFmtId="9" fontId="35" fillId="8" borderId="9" xfId="3" applyFont="1" applyFill="1" applyBorder="1" applyAlignment="1">
      <alignment horizontal="center"/>
    </xf>
    <xf numFmtId="9" fontId="21" fillId="8" borderId="9" xfId="3" applyFont="1" applyFill="1" applyBorder="1" applyAlignment="1">
      <alignment horizontal="center" wrapText="1"/>
    </xf>
    <xf numFmtId="9" fontId="1" fillId="10" borderId="47" xfId="3" applyFont="1" applyFill="1" applyBorder="1" applyAlignment="1">
      <alignment horizontal="center" wrapText="1"/>
    </xf>
    <xf numFmtId="9" fontId="1" fillId="8" borderId="48" xfId="3" applyFont="1" applyFill="1" applyBorder="1" applyAlignment="1">
      <alignment horizontal="center" wrapText="1"/>
    </xf>
    <xf numFmtId="9" fontId="36" fillId="12" borderId="26" xfId="3" applyFont="1" applyFill="1" applyBorder="1" applyAlignment="1">
      <alignment horizontal="center" wrapText="1"/>
    </xf>
    <xf numFmtId="9" fontId="37" fillId="12" borderId="26" xfId="3" applyFont="1" applyFill="1" applyBorder="1" applyAlignment="1">
      <alignment horizontal="center" wrapText="1"/>
    </xf>
    <xf numFmtId="0" fontId="8" fillId="13" borderId="0" xfId="0" applyFont="1" applyFill="1" applyAlignment="1">
      <alignment vertical="center"/>
    </xf>
    <xf numFmtId="0" fontId="38" fillId="13" borderId="1" xfId="0" applyFont="1" applyFill="1" applyBorder="1" applyAlignment="1">
      <alignment horizontal="justify" vertical="center" wrapText="1"/>
    </xf>
    <xf numFmtId="0" fontId="35" fillId="13" borderId="1" xfId="0" applyFont="1" applyFill="1" applyBorder="1" applyAlignment="1">
      <alignment horizontal="left" vertical="center" wrapText="1"/>
    </xf>
    <xf numFmtId="0" fontId="35" fillId="13" borderId="18" xfId="0" applyFont="1" applyFill="1" applyBorder="1" applyAlignment="1">
      <alignment vertical="center" wrapText="1"/>
    </xf>
    <xf numFmtId="9" fontId="35" fillId="13" borderId="20" xfId="3" applyFont="1" applyFill="1" applyBorder="1" applyAlignment="1">
      <alignment wrapText="1"/>
    </xf>
    <xf numFmtId="43" fontId="35" fillId="13" borderId="9" xfId="1" applyFont="1" applyFill="1" applyBorder="1" applyAlignment="1"/>
    <xf numFmtId="0" fontId="35" fillId="0" borderId="0" xfId="0" applyFont="1" applyFill="1" applyAlignment="1">
      <alignment vertical="top"/>
    </xf>
    <xf numFmtId="0" fontId="35" fillId="0" borderId="0" xfId="0" applyFont="1" applyAlignment="1">
      <alignment vertical="top"/>
    </xf>
    <xf numFmtId="43" fontId="35" fillId="12" borderId="9" xfId="1" applyFont="1" applyFill="1" applyBorder="1" applyAlignment="1"/>
    <xf numFmtId="43" fontId="8" fillId="12" borderId="8" xfId="1" applyFont="1" applyFill="1" applyBorder="1" applyAlignment="1">
      <alignment horizontal="right"/>
    </xf>
    <xf numFmtId="43" fontId="8" fillId="12" borderId="1" xfId="1" applyFont="1" applyFill="1" applyBorder="1" applyAlignment="1">
      <alignment horizontal="right"/>
    </xf>
    <xf numFmtId="9" fontId="35" fillId="12" borderId="18" xfId="3" applyFont="1" applyFill="1" applyBorder="1" applyAlignment="1">
      <alignment horizontal="center"/>
    </xf>
    <xf numFmtId="9" fontId="35" fillId="12" borderId="9" xfId="3" applyFont="1" applyFill="1" applyBorder="1" applyAlignment="1">
      <alignment horizontal="center"/>
    </xf>
    <xf numFmtId="9" fontId="8" fillId="12" borderId="20" xfId="3" applyFont="1" applyFill="1" applyBorder="1" applyAlignment="1"/>
    <xf numFmtId="9" fontId="26" fillId="7" borderId="35" xfId="3" applyFont="1" applyFill="1" applyBorder="1" applyAlignment="1">
      <alignment horizontal="right" vertical="center" wrapText="1"/>
    </xf>
    <xf numFmtId="9" fontId="26" fillId="7" borderId="34" xfId="3" applyFont="1" applyFill="1" applyBorder="1" applyAlignment="1">
      <alignment horizontal="right" vertical="center" wrapText="1"/>
    </xf>
    <xf numFmtId="43" fontId="29" fillId="7" borderId="33" xfId="0" applyNumberFormat="1" applyFont="1" applyFill="1" applyBorder="1"/>
    <xf numFmtId="9" fontId="29" fillId="7" borderId="34" xfId="3" applyFont="1" applyFill="1" applyBorder="1"/>
    <xf numFmtId="9" fontId="25" fillId="5" borderId="26" xfId="3" applyFont="1" applyFill="1" applyBorder="1" applyAlignment="1">
      <alignment horizontal="right" vertical="center" wrapText="1"/>
    </xf>
    <xf numFmtId="9" fontId="25" fillId="6" borderId="28" xfId="3" applyFont="1" applyFill="1" applyBorder="1" applyAlignment="1">
      <alignment horizontal="right" vertical="center" wrapText="1"/>
    </xf>
    <xf numFmtId="9" fontId="25" fillId="6" borderId="47" xfId="3" applyFont="1" applyFill="1" applyBorder="1" applyAlignment="1">
      <alignment horizontal="right" vertical="center" wrapText="1"/>
    </xf>
    <xf numFmtId="0" fontId="30" fillId="7" borderId="43" xfId="0" applyFont="1" applyFill="1" applyBorder="1" applyAlignment="1">
      <alignment horizontal="center" vertical="center"/>
    </xf>
    <xf numFmtId="0" fontId="30" fillId="7" borderId="36" xfId="0" applyFont="1" applyFill="1" applyBorder="1" applyAlignment="1">
      <alignment horizontal="center" vertical="center"/>
    </xf>
    <xf numFmtId="0" fontId="30" fillId="7" borderId="37" xfId="0" applyFont="1" applyFill="1" applyBorder="1" applyAlignment="1">
      <alignment horizontal="center" vertical="center"/>
    </xf>
    <xf numFmtId="0" fontId="30" fillId="7" borderId="52" xfId="0" applyFont="1" applyFill="1" applyBorder="1" applyAlignment="1">
      <alignment horizontal="center" vertical="center"/>
    </xf>
    <xf numFmtId="0" fontId="30" fillId="7" borderId="53" xfId="0" applyFont="1" applyFill="1" applyBorder="1" applyAlignment="1">
      <alignment horizontal="center" vertical="center"/>
    </xf>
    <xf numFmtId="0" fontId="30" fillId="7" borderId="54" xfId="0" applyFont="1" applyFill="1" applyBorder="1" applyAlignment="1">
      <alignment horizontal="center"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3" fillId="0" borderId="13" xfId="0" applyFont="1" applyBorder="1" applyAlignment="1">
      <alignment horizontal="center" vertical="top" wrapText="1"/>
    </xf>
    <xf numFmtId="0" fontId="13" fillId="0" borderId="5" xfId="0" applyFont="1" applyBorder="1" applyAlignment="1">
      <alignment horizontal="center" vertical="top" wrapText="1"/>
    </xf>
    <xf numFmtId="0" fontId="13" fillId="0" borderId="7" xfId="0" applyFont="1" applyBorder="1" applyAlignment="1">
      <alignment horizontal="center" vertical="top" wrapText="1"/>
    </xf>
    <xf numFmtId="0" fontId="13" fillId="0" borderId="50" xfId="0" applyFont="1" applyBorder="1" applyAlignment="1">
      <alignment horizontal="center" vertical="top" wrapText="1"/>
    </xf>
    <xf numFmtId="0" fontId="30" fillId="2" borderId="43" xfId="0" applyFont="1" applyFill="1" applyBorder="1" applyAlignment="1">
      <alignment horizontal="center" vertical="center"/>
    </xf>
    <xf numFmtId="0" fontId="30" fillId="2" borderId="36" xfId="0" applyFont="1" applyFill="1" applyBorder="1" applyAlignment="1">
      <alignment horizontal="center" vertical="center"/>
    </xf>
    <xf numFmtId="0" fontId="30" fillId="2" borderId="37" xfId="0" applyFont="1" applyFill="1" applyBorder="1" applyAlignment="1">
      <alignment horizontal="center" vertical="center"/>
    </xf>
    <xf numFmtId="0" fontId="30" fillId="10" borderId="43" xfId="0" applyFont="1" applyFill="1" applyBorder="1" applyAlignment="1">
      <alignment horizontal="center" vertical="center"/>
    </xf>
    <xf numFmtId="0" fontId="30" fillId="10" borderId="36" xfId="0" applyFont="1" applyFill="1" applyBorder="1" applyAlignment="1">
      <alignment horizontal="center" vertical="center"/>
    </xf>
    <xf numFmtId="0" fontId="30" fillId="10" borderId="37" xfId="0" applyFont="1" applyFill="1" applyBorder="1" applyAlignment="1">
      <alignment horizontal="center" vertic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0" fillId="0" borderId="10"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1" fillId="7" borderId="11"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28" xfId="0" applyFill="1" applyBorder="1" applyAlignment="1">
      <alignment horizontal="left" vertical="top" wrapText="1"/>
    </xf>
    <xf numFmtId="0" fontId="8" fillId="12" borderId="8" xfId="0" applyFont="1" applyFill="1" applyBorder="1" applyAlignment="1">
      <alignment vertical="top" wrapText="1"/>
    </xf>
    <xf numFmtId="0" fontId="35" fillId="12" borderId="1" xfId="0" applyFont="1" applyFill="1" applyBorder="1" applyAlignment="1">
      <alignment vertical="top" wrapText="1"/>
    </xf>
    <xf numFmtId="0" fontId="33" fillId="12" borderId="18" xfId="0" applyFont="1" applyFill="1" applyBorder="1" applyAlignment="1">
      <alignment wrapText="1"/>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12" fillId="13" borderId="21" xfId="0" applyFont="1" applyFill="1" applyBorder="1" applyAlignment="1">
      <alignment horizontal="left" vertical="center" wrapText="1"/>
    </xf>
    <xf numFmtId="0" fontId="12" fillId="13" borderId="19" xfId="0" applyFont="1" applyFill="1" applyBorder="1" applyAlignment="1">
      <alignment horizontal="left" vertical="center"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30" fillId="8" borderId="43" xfId="0" applyFont="1" applyFill="1" applyBorder="1" applyAlignment="1">
      <alignment horizontal="center" vertical="center"/>
    </xf>
    <xf numFmtId="0" fontId="30" fillId="8" borderId="36" xfId="0" applyFont="1" applyFill="1" applyBorder="1" applyAlignment="1">
      <alignment horizontal="center" vertical="center"/>
    </xf>
    <xf numFmtId="0" fontId="30" fillId="8" borderId="37" xfId="0" applyFont="1" applyFill="1" applyBorder="1" applyAlignment="1">
      <alignment horizontal="center" vertical="center"/>
    </xf>
    <xf numFmtId="0" fontId="10" fillId="3" borderId="10"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3" fillId="0" borderId="8" xfId="0" applyFont="1" applyBorder="1" applyAlignment="1">
      <alignment horizontal="left"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1" fillId="11" borderId="32" xfId="0" applyFont="1" applyFill="1" applyBorder="1" applyAlignment="1">
      <alignment vertical="center"/>
    </xf>
    <xf numFmtId="0" fontId="32" fillId="11" borderId="33" xfId="0" applyFont="1" applyFill="1" applyBorder="1" applyAlignment="1">
      <alignment vertical="center"/>
    </xf>
    <xf numFmtId="0" fontId="32" fillId="11" borderId="35" xfId="0" applyFont="1" applyFill="1" applyBorder="1" applyAlignment="1">
      <alignment vertical="center"/>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11" xfId="0" applyFont="1" applyFill="1" applyBorder="1" applyAlignment="1">
      <alignment horizontal="left" vertical="top" wrapText="1"/>
    </xf>
    <xf numFmtId="0" fontId="12" fillId="13" borderId="8" xfId="0" applyFont="1" applyFill="1" applyBorder="1" applyAlignment="1">
      <alignment horizontal="left" vertical="center" wrapText="1"/>
    </xf>
    <xf numFmtId="0" fontId="13" fillId="13" borderId="1" xfId="0" applyFont="1" applyFill="1" applyBorder="1" applyAlignment="1">
      <alignment horizontal="left" vertical="center" wrapText="1"/>
    </xf>
    <xf numFmtId="0" fontId="13" fillId="13" borderId="18" xfId="0" applyFont="1" applyFill="1" applyBorder="1" applyAlignment="1">
      <alignment horizontal="left" vertical="center"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2" fillId="2" borderId="8"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8" xfId="0" applyFont="1" applyFill="1" applyBorder="1" applyAlignment="1">
      <alignment horizontal="left" vertical="center" wrapText="1"/>
    </xf>
    <xf numFmtId="3" fontId="8" fillId="12" borderId="18" xfId="1" applyNumberFormat="1" applyFont="1" applyFill="1" applyBorder="1" applyAlignment="1">
      <alignment horizontal="center" vertical="top"/>
    </xf>
    <xf numFmtId="3" fontId="8" fillId="12" borderId="19" xfId="1" applyNumberFormat="1" applyFont="1" applyFill="1" applyBorder="1" applyAlignment="1">
      <alignment horizontal="center" vertical="top"/>
    </xf>
    <xf numFmtId="0" fontId="13" fillId="0" borderId="1" xfId="0" applyFont="1" applyBorder="1" applyAlignment="1">
      <alignment horizontal="left" vertical="top" wrapText="1"/>
    </xf>
    <xf numFmtId="0" fontId="8" fillId="12" borderId="21" xfId="0" applyFont="1" applyFill="1" applyBorder="1" applyAlignment="1">
      <alignment vertical="top" wrapText="1"/>
    </xf>
    <xf numFmtId="0" fontId="8" fillId="12" borderId="19" xfId="0" applyFont="1" applyFill="1" applyBorder="1" applyAlignment="1">
      <alignment vertical="top" wrapText="1"/>
    </xf>
    <xf numFmtId="0" fontId="10" fillId="3" borderId="8" xfId="0" applyFont="1" applyFill="1" applyBorder="1" applyAlignment="1">
      <alignment horizontal="left" vertical="top" wrapText="1"/>
    </xf>
    <xf numFmtId="0" fontId="10" fillId="3" borderId="4" xfId="0" applyFont="1" applyFill="1" applyBorder="1" applyAlignment="1">
      <alignment horizontal="left" vertical="top" wrapText="1"/>
    </xf>
    <xf numFmtId="0" fontId="9" fillId="11" borderId="32" xfId="0" applyFont="1" applyFill="1" applyBorder="1" applyAlignment="1">
      <alignment vertical="center" wrapText="1"/>
    </xf>
    <xf numFmtId="0" fontId="0" fillId="11" borderId="33" xfId="0" applyFont="1" applyFill="1" applyBorder="1" applyAlignment="1">
      <alignment vertical="center" wrapText="1"/>
    </xf>
    <xf numFmtId="0" fontId="0" fillId="11" borderId="35" xfId="0" applyFont="1" applyFill="1" applyBorder="1" applyAlignment="1">
      <alignment vertical="center" wrapText="1"/>
    </xf>
    <xf numFmtId="0" fontId="13" fillId="2" borderId="55"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25"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7" fillId="7" borderId="29" xfId="0" applyFont="1" applyFill="1" applyBorder="1" applyAlignment="1">
      <alignment horizontal="center" vertical="center" wrapText="1"/>
    </xf>
    <xf numFmtId="0" fontId="27" fillId="7" borderId="30" xfId="0" applyFont="1" applyFill="1" applyBorder="1" applyAlignment="1">
      <alignment horizontal="center" vertical="center" wrapText="1"/>
    </xf>
    <xf numFmtId="0" fontId="28" fillId="7" borderId="43" xfId="0" applyFont="1" applyFill="1" applyBorder="1" applyAlignment="1">
      <alignment horizontal="center" vertical="center" wrapText="1"/>
    </xf>
    <xf numFmtId="0" fontId="28" fillId="7" borderId="36" xfId="0" applyFont="1" applyFill="1" applyBorder="1" applyAlignment="1">
      <alignment horizontal="center" vertical="center" wrapText="1"/>
    </xf>
    <xf numFmtId="0" fontId="28" fillId="7" borderId="37"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6"/>
  <sheetViews>
    <sheetView topLeftCell="A73" zoomScale="70" zoomScaleNormal="70" workbookViewId="0">
      <selection activeCell="F46" sqref="F46"/>
    </sheetView>
  </sheetViews>
  <sheetFormatPr defaultColWidth="9.33203125" defaultRowHeight="13.8" x14ac:dyDescent="0.3"/>
  <cols>
    <col min="1" max="1" width="16" style="5" customWidth="1"/>
    <col min="2" max="2" width="45" style="5" customWidth="1"/>
    <col min="3" max="3" width="22" style="5" customWidth="1"/>
    <col min="4" max="4" width="27.6640625" style="1" customWidth="1"/>
    <col min="5" max="6" width="20" style="2" customWidth="1"/>
    <col min="7" max="7" width="9.5546875" style="288" customWidth="1"/>
    <col min="8" max="8" width="20" style="3" customWidth="1"/>
    <col min="9" max="9" width="18.6640625" style="3" customWidth="1"/>
    <col min="10" max="10" width="9.5546875" style="244" customWidth="1"/>
    <col min="11" max="12" width="19.88671875" style="3" customWidth="1"/>
    <col min="13" max="13" width="8.88671875" style="244" customWidth="1"/>
    <col min="14" max="14" width="13.109375" style="1" customWidth="1"/>
    <col min="15" max="15" width="19" style="1" customWidth="1"/>
    <col min="16" max="20" width="13" style="1" customWidth="1"/>
    <col min="21" max="16384" width="9.33203125" style="1"/>
  </cols>
  <sheetData>
    <row r="1" spans="1:15" ht="37.5" customHeight="1" thickBot="1" x14ac:dyDescent="0.35">
      <c r="A1" s="364" t="s">
        <v>18</v>
      </c>
      <c r="B1" s="365"/>
      <c r="C1" s="365"/>
      <c r="D1" s="365"/>
      <c r="E1" s="365"/>
      <c r="F1" s="365"/>
      <c r="G1" s="365"/>
      <c r="H1" s="365"/>
      <c r="I1" s="365"/>
      <c r="J1" s="365"/>
      <c r="K1" s="365"/>
      <c r="L1" s="365"/>
      <c r="M1" s="365"/>
      <c r="N1" s="365"/>
      <c r="O1" s="366"/>
    </row>
    <row r="2" spans="1:15" ht="32.25" customHeight="1" thickBot="1" x14ac:dyDescent="0.35">
      <c r="A2" s="364" t="s">
        <v>53</v>
      </c>
      <c r="B2" s="365"/>
      <c r="C2" s="365"/>
      <c r="D2" s="365"/>
      <c r="E2" s="365"/>
      <c r="F2" s="365"/>
      <c r="G2" s="365"/>
      <c r="H2" s="365"/>
      <c r="I2" s="365"/>
      <c r="J2" s="365"/>
      <c r="K2" s="365"/>
      <c r="L2" s="365"/>
      <c r="M2" s="365"/>
      <c r="N2" s="365"/>
      <c r="O2" s="366"/>
    </row>
    <row r="3" spans="1:15" ht="38.25" customHeight="1" thickBot="1" x14ac:dyDescent="0.35">
      <c r="A3" s="367" t="s">
        <v>19</v>
      </c>
      <c r="B3" s="368"/>
      <c r="C3" s="368"/>
      <c r="D3" s="368"/>
      <c r="E3" s="368"/>
      <c r="F3" s="368"/>
      <c r="G3" s="368"/>
      <c r="H3" s="368"/>
      <c r="I3" s="368"/>
      <c r="J3" s="368"/>
      <c r="K3" s="368"/>
      <c r="L3" s="368"/>
      <c r="M3" s="368"/>
      <c r="N3" s="368"/>
      <c r="O3" s="369"/>
    </row>
    <row r="4" spans="1:15" ht="40.5" customHeight="1" thickBot="1" x14ac:dyDescent="0.35">
      <c r="A4" s="223"/>
      <c r="B4" s="225"/>
      <c r="C4" s="223"/>
      <c r="D4" s="225"/>
      <c r="E4" s="377" t="s">
        <v>21</v>
      </c>
      <c r="F4" s="378"/>
      <c r="G4" s="379"/>
      <c r="H4" s="380" t="s">
        <v>22</v>
      </c>
      <c r="I4" s="381"/>
      <c r="J4" s="382"/>
      <c r="K4" s="401" t="s">
        <v>180</v>
      </c>
      <c r="L4" s="402"/>
      <c r="M4" s="403"/>
      <c r="N4" s="225"/>
      <c r="O4" s="224"/>
    </row>
    <row r="5" spans="1:15" ht="182.25" customHeight="1" thickBot="1" x14ac:dyDescent="0.35">
      <c r="A5" s="112" t="s">
        <v>37</v>
      </c>
      <c r="B5" s="113" t="s">
        <v>27</v>
      </c>
      <c r="C5" s="113" t="s">
        <v>25</v>
      </c>
      <c r="D5" s="114" t="s">
        <v>24</v>
      </c>
      <c r="E5" s="107" t="s">
        <v>173</v>
      </c>
      <c r="F5" s="90" t="s">
        <v>171</v>
      </c>
      <c r="G5" s="289" t="s">
        <v>172</v>
      </c>
      <c r="H5" s="108" t="s">
        <v>174</v>
      </c>
      <c r="I5" s="91" t="s">
        <v>175</v>
      </c>
      <c r="J5" s="299" t="s">
        <v>176</v>
      </c>
      <c r="K5" s="109" t="s">
        <v>177</v>
      </c>
      <c r="L5" s="110" t="s">
        <v>178</v>
      </c>
      <c r="M5" s="295" t="s">
        <v>179</v>
      </c>
      <c r="N5" s="311" t="s">
        <v>33</v>
      </c>
      <c r="O5" s="111" t="s">
        <v>170</v>
      </c>
    </row>
    <row r="6" spans="1:15" ht="42" customHeight="1" x14ac:dyDescent="0.35">
      <c r="A6" s="389" t="s">
        <v>59</v>
      </c>
      <c r="B6" s="390"/>
      <c r="C6" s="390"/>
      <c r="D6" s="391"/>
      <c r="E6" s="115">
        <f>E7+E31</f>
        <v>256000</v>
      </c>
      <c r="F6" s="115">
        <f>F7+F31</f>
        <v>49711.33</v>
      </c>
      <c r="G6" s="290">
        <f>F6/E6</f>
        <v>0.19418488281250001</v>
      </c>
      <c r="H6" s="116">
        <f>H7+H31</f>
        <v>125475.11</v>
      </c>
      <c r="I6" s="116">
        <f>I7+I31</f>
        <v>60000</v>
      </c>
      <c r="J6" s="300">
        <f>I6/H6</f>
        <v>0.47818248575354905</v>
      </c>
      <c r="K6" s="117">
        <f>K7+K31</f>
        <v>225875</v>
      </c>
      <c r="L6" s="117">
        <f>L7+L31</f>
        <v>191570.9</v>
      </c>
      <c r="M6" s="332">
        <f>L6/K6</f>
        <v>0.84812794687327064</v>
      </c>
      <c r="N6" s="312">
        <v>0.79</v>
      </c>
      <c r="O6" s="118"/>
    </row>
    <row r="7" spans="1:15" ht="35.25" customHeight="1" x14ac:dyDescent="0.35">
      <c r="A7" s="392" t="s">
        <v>23</v>
      </c>
      <c r="B7" s="393"/>
      <c r="C7" s="393"/>
      <c r="D7" s="394"/>
      <c r="E7" s="119">
        <f>SUM(E8:E30)</f>
        <v>256000</v>
      </c>
      <c r="F7" s="119">
        <f>SUM(F8:F30)</f>
        <v>49711.33</v>
      </c>
      <c r="G7" s="291">
        <f t="shared" ref="G7:G70" si="0">F7/E7</f>
        <v>0.19418488281250001</v>
      </c>
      <c r="H7" s="119">
        <f>SUM(H8:H30)</f>
        <v>125475.11</v>
      </c>
      <c r="I7" s="119">
        <f>SUM(I8:I30)</f>
        <v>60000</v>
      </c>
      <c r="J7" s="296">
        <f>I7/H7</f>
        <v>0.47818248575354905</v>
      </c>
      <c r="K7" s="119">
        <f>SUM(K8:K30)</f>
        <v>31000</v>
      </c>
      <c r="L7" s="119">
        <f>SUM(L8:L30)</f>
        <v>26000</v>
      </c>
      <c r="M7" s="293"/>
      <c r="N7" s="313">
        <v>0.08</v>
      </c>
      <c r="O7" s="121"/>
    </row>
    <row r="8" spans="1:15" ht="85.5" customHeight="1" x14ac:dyDescent="0.35">
      <c r="A8" s="395" t="s">
        <v>0</v>
      </c>
      <c r="B8" s="396" t="s">
        <v>62</v>
      </c>
      <c r="C8" s="51" t="s">
        <v>9</v>
      </c>
      <c r="D8" s="92" t="s">
        <v>34</v>
      </c>
      <c r="E8" s="122"/>
      <c r="F8" s="123"/>
      <c r="G8" s="290"/>
      <c r="H8" s="124">
        <f>60*3*130+5000</f>
        <v>28400</v>
      </c>
      <c r="I8" s="125">
        <v>10000</v>
      </c>
      <c r="J8" s="301">
        <f>I8/H8</f>
        <v>0.352112676056338</v>
      </c>
      <c r="K8" s="126"/>
      <c r="L8" s="127"/>
      <c r="M8" s="333"/>
      <c r="N8" s="314">
        <v>0.5</v>
      </c>
      <c r="O8" s="128"/>
    </row>
    <row r="9" spans="1:15" ht="48" customHeight="1" x14ac:dyDescent="0.35">
      <c r="A9" s="395"/>
      <c r="B9" s="396"/>
      <c r="C9" s="23" t="s">
        <v>10</v>
      </c>
      <c r="D9" s="92" t="s">
        <v>35</v>
      </c>
      <c r="E9" s="129"/>
      <c r="F9" s="130"/>
      <c r="G9" s="290"/>
      <c r="H9" s="124">
        <f>50000+5000+2060.2+14.91</f>
        <v>57075.11</v>
      </c>
      <c r="I9" s="125">
        <v>30000</v>
      </c>
      <c r="J9" s="301">
        <f t="shared" ref="J9:J12" si="1">I9/H9</f>
        <v>0.52562316568465661</v>
      </c>
      <c r="K9" s="126"/>
      <c r="L9" s="127"/>
      <c r="M9" s="333"/>
      <c r="N9" s="314">
        <v>0.5</v>
      </c>
      <c r="O9" s="128"/>
    </row>
    <row r="10" spans="1:15" ht="50.25" customHeight="1" x14ac:dyDescent="0.35">
      <c r="A10" s="395"/>
      <c r="B10" s="396"/>
      <c r="C10" s="51" t="s">
        <v>10</v>
      </c>
      <c r="D10" s="92" t="s">
        <v>43</v>
      </c>
      <c r="E10" s="122"/>
      <c r="F10" s="123"/>
      <c r="G10" s="290"/>
      <c r="H10" s="124">
        <f>100*30</f>
        <v>3000</v>
      </c>
      <c r="I10" s="125"/>
      <c r="J10" s="301">
        <f t="shared" si="1"/>
        <v>0</v>
      </c>
      <c r="K10" s="126"/>
      <c r="L10" s="127"/>
      <c r="M10" s="333"/>
      <c r="N10" s="314">
        <v>0.5</v>
      </c>
      <c r="O10" s="128"/>
    </row>
    <row r="11" spans="1:15" ht="41.4" x14ac:dyDescent="0.35">
      <c r="A11" s="52" t="s">
        <v>28</v>
      </c>
      <c r="B11" s="51" t="s">
        <v>61</v>
      </c>
      <c r="C11" s="51" t="s">
        <v>10</v>
      </c>
      <c r="D11" s="93" t="s">
        <v>58</v>
      </c>
      <c r="E11" s="129"/>
      <c r="F11" s="130"/>
      <c r="G11" s="290"/>
      <c r="H11" s="124">
        <v>12000</v>
      </c>
      <c r="I11" s="125">
        <v>10000</v>
      </c>
      <c r="J11" s="301">
        <f t="shared" si="1"/>
        <v>0.83333333333333337</v>
      </c>
      <c r="K11" s="126"/>
      <c r="L11" s="127"/>
      <c r="M11" s="333"/>
      <c r="N11" s="315">
        <v>0.5</v>
      </c>
      <c r="O11" s="128"/>
    </row>
    <row r="12" spans="1:15" ht="50.25" customHeight="1" x14ac:dyDescent="0.35">
      <c r="A12" s="52" t="s">
        <v>29</v>
      </c>
      <c r="B12" s="51" t="s">
        <v>30</v>
      </c>
      <c r="C12" s="51" t="s">
        <v>11</v>
      </c>
      <c r="D12" s="93" t="s">
        <v>44</v>
      </c>
      <c r="E12" s="129"/>
      <c r="F12" s="130"/>
      <c r="G12" s="290"/>
      <c r="H12" s="124">
        <v>25000</v>
      </c>
      <c r="I12" s="125">
        <v>10000</v>
      </c>
      <c r="J12" s="301">
        <f t="shared" si="1"/>
        <v>0.4</v>
      </c>
      <c r="K12" s="126"/>
      <c r="L12" s="127"/>
      <c r="M12" s="333"/>
      <c r="N12" s="315">
        <v>0.5</v>
      </c>
      <c r="O12" s="128"/>
    </row>
    <row r="13" spans="1:15" ht="76.5" customHeight="1" x14ac:dyDescent="0.35">
      <c r="A13" s="370" t="s">
        <v>98</v>
      </c>
      <c r="B13" s="53" t="s">
        <v>96</v>
      </c>
      <c r="C13" s="51" t="s">
        <v>9</v>
      </c>
      <c r="D13" s="94" t="s">
        <v>97</v>
      </c>
      <c r="E13" s="122">
        <v>14000</v>
      </c>
      <c r="F13" s="123">
        <v>2680</v>
      </c>
      <c r="G13" s="290">
        <f t="shared" si="0"/>
        <v>0.19142857142857142</v>
      </c>
      <c r="H13" s="124"/>
      <c r="I13" s="125"/>
      <c r="J13" s="301"/>
      <c r="K13" s="126"/>
      <c r="L13" s="127"/>
      <c r="M13" s="333"/>
      <c r="N13" s="315"/>
      <c r="O13" s="128"/>
    </row>
    <row r="14" spans="1:15" ht="31.5" customHeight="1" x14ac:dyDescent="0.35">
      <c r="A14" s="371"/>
      <c r="B14" s="53"/>
      <c r="C14" s="51" t="s">
        <v>9</v>
      </c>
      <c r="D14" s="93" t="s">
        <v>95</v>
      </c>
      <c r="E14" s="122">
        <v>2000</v>
      </c>
      <c r="F14" s="123"/>
      <c r="G14" s="290">
        <f t="shared" si="0"/>
        <v>0</v>
      </c>
      <c r="H14" s="124"/>
      <c r="I14" s="125"/>
      <c r="J14" s="301"/>
      <c r="K14" s="126"/>
      <c r="L14" s="127"/>
      <c r="M14" s="333"/>
      <c r="N14" s="315"/>
      <c r="O14" s="128"/>
    </row>
    <row r="15" spans="1:15" ht="18.75" customHeight="1" x14ac:dyDescent="0.35">
      <c r="A15" s="372"/>
      <c r="B15" s="53"/>
      <c r="C15" s="51" t="s">
        <v>10</v>
      </c>
      <c r="D15" s="92" t="s">
        <v>114</v>
      </c>
      <c r="E15" s="129">
        <v>6000</v>
      </c>
      <c r="F15" s="226"/>
      <c r="G15" s="290">
        <f t="shared" si="0"/>
        <v>0</v>
      </c>
      <c r="H15" s="124"/>
      <c r="I15" s="125"/>
      <c r="J15" s="301"/>
      <c r="K15" s="126"/>
      <c r="L15" s="127"/>
      <c r="M15" s="333"/>
      <c r="N15" s="315"/>
      <c r="O15" s="128"/>
    </row>
    <row r="16" spans="1:15" s="11" customFormat="1" ht="87" customHeight="1" x14ac:dyDescent="0.35">
      <c r="A16" s="39" t="s">
        <v>99</v>
      </c>
      <c r="B16" s="36" t="s">
        <v>123</v>
      </c>
      <c r="C16" s="37" t="s">
        <v>9</v>
      </c>
      <c r="D16" s="95" t="s">
        <v>116</v>
      </c>
      <c r="E16" s="131">
        <v>16000</v>
      </c>
      <c r="F16" s="138"/>
      <c r="G16" s="290">
        <f t="shared" si="0"/>
        <v>0</v>
      </c>
      <c r="H16" s="132"/>
      <c r="I16" s="133"/>
      <c r="J16" s="302"/>
      <c r="K16" s="134"/>
      <c r="L16" s="135"/>
      <c r="M16" s="334"/>
      <c r="N16" s="316"/>
      <c r="O16" s="136"/>
    </row>
    <row r="17" spans="1:15" s="11" customFormat="1" ht="117.75" customHeight="1" x14ac:dyDescent="0.35">
      <c r="A17" s="371" t="s">
        <v>66</v>
      </c>
      <c r="B17" s="411" t="s">
        <v>117</v>
      </c>
      <c r="C17" s="38" t="s">
        <v>10</v>
      </c>
      <c r="D17" s="96" t="s">
        <v>119</v>
      </c>
      <c r="E17" s="137">
        <v>50000</v>
      </c>
      <c r="F17" s="227">
        <v>47031.33</v>
      </c>
      <c r="G17" s="290">
        <f t="shared" si="0"/>
        <v>0.94062660000000009</v>
      </c>
      <c r="H17" s="132"/>
      <c r="I17" s="133"/>
      <c r="J17" s="302"/>
      <c r="K17" s="134"/>
      <c r="L17" s="135"/>
      <c r="M17" s="334"/>
      <c r="N17" s="316"/>
      <c r="O17" s="136"/>
    </row>
    <row r="18" spans="1:15" ht="122.25" customHeight="1" x14ac:dyDescent="0.35">
      <c r="A18" s="371"/>
      <c r="B18" s="412"/>
      <c r="C18" s="4" t="s">
        <v>9</v>
      </c>
      <c r="D18" s="93" t="s">
        <v>100</v>
      </c>
      <c r="E18" s="137">
        <f>20000+20000</f>
        <v>40000</v>
      </c>
      <c r="F18" s="138"/>
      <c r="G18" s="290">
        <f t="shared" si="0"/>
        <v>0</v>
      </c>
      <c r="H18" s="132"/>
      <c r="I18" s="133"/>
      <c r="J18" s="302"/>
      <c r="K18" s="134"/>
      <c r="L18" s="135"/>
      <c r="M18" s="334"/>
      <c r="N18" s="317"/>
      <c r="O18" s="136"/>
    </row>
    <row r="19" spans="1:15" ht="76.5" customHeight="1" x14ac:dyDescent="0.35">
      <c r="A19" s="372"/>
      <c r="B19" s="413"/>
      <c r="C19" s="4" t="s">
        <v>9</v>
      </c>
      <c r="D19" s="93" t="s">
        <v>118</v>
      </c>
      <c r="E19" s="137">
        <v>10000</v>
      </c>
      <c r="F19" s="138"/>
      <c r="G19" s="290">
        <f t="shared" si="0"/>
        <v>0</v>
      </c>
      <c r="H19" s="132"/>
      <c r="I19" s="133"/>
      <c r="J19" s="302"/>
      <c r="K19" s="134"/>
      <c r="L19" s="135"/>
      <c r="M19" s="334"/>
      <c r="N19" s="317"/>
      <c r="O19" s="136"/>
    </row>
    <row r="20" spans="1:15" ht="50.25" customHeight="1" x14ac:dyDescent="0.35">
      <c r="A20" s="370" t="s">
        <v>122</v>
      </c>
      <c r="B20" s="387" t="s">
        <v>124</v>
      </c>
      <c r="C20" s="4" t="s">
        <v>10</v>
      </c>
      <c r="D20" s="92" t="s">
        <v>120</v>
      </c>
      <c r="E20" s="139">
        <v>30000</v>
      </c>
      <c r="F20" s="140"/>
      <c r="G20" s="290">
        <f t="shared" si="0"/>
        <v>0</v>
      </c>
      <c r="H20" s="132"/>
      <c r="I20" s="133"/>
      <c r="J20" s="302"/>
      <c r="K20" s="134"/>
      <c r="L20" s="135"/>
      <c r="M20" s="334"/>
      <c r="N20" s="317"/>
      <c r="O20" s="136"/>
    </row>
    <row r="21" spans="1:15" ht="62.25" customHeight="1" x14ac:dyDescent="0.35">
      <c r="A21" s="371"/>
      <c r="B21" s="409"/>
      <c r="C21" s="4" t="s">
        <v>9</v>
      </c>
      <c r="D21" s="97" t="s">
        <v>121</v>
      </c>
      <c r="E21" s="141">
        <v>20000</v>
      </c>
      <c r="F21" s="142"/>
      <c r="G21" s="290">
        <f t="shared" si="0"/>
        <v>0</v>
      </c>
      <c r="H21" s="143"/>
      <c r="I21" s="144"/>
      <c r="J21" s="303"/>
      <c r="K21" s="145"/>
      <c r="L21" s="146"/>
      <c r="M21" s="335"/>
      <c r="N21" s="317"/>
      <c r="O21" s="136"/>
    </row>
    <row r="22" spans="1:15" ht="40.5" customHeight="1" x14ac:dyDescent="0.35">
      <c r="A22" s="372"/>
      <c r="B22" s="388"/>
      <c r="C22" s="4" t="s">
        <v>9</v>
      </c>
      <c r="D22" s="97" t="s">
        <v>148</v>
      </c>
      <c r="E22" s="141">
        <v>14000</v>
      </c>
      <c r="F22" s="142"/>
      <c r="G22" s="290">
        <f t="shared" si="0"/>
        <v>0</v>
      </c>
      <c r="H22" s="143"/>
      <c r="I22" s="144"/>
      <c r="J22" s="303"/>
      <c r="K22" s="145"/>
      <c r="L22" s="146"/>
      <c r="M22" s="335"/>
      <c r="N22" s="317"/>
      <c r="O22" s="136"/>
    </row>
    <row r="23" spans="1:15" s="13" customFormat="1" ht="33" customHeight="1" x14ac:dyDescent="0.35">
      <c r="A23" s="419" t="s">
        <v>125</v>
      </c>
      <c r="B23" s="417" t="s">
        <v>72</v>
      </c>
      <c r="C23" s="25" t="s">
        <v>9</v>
      </c>
      <c r="D23" s="98" t="s">
        <v>64</v>
      </c>
      <c r="E23" s="147"/>
      <c r="F23" s="148"/>
      <c r="G23" s="290"/>
      <c r="H23" s="149"/>
      <c r="I23" s="150"/>
      <c r="J23" s="303"/>
      <c r="K23" s="145">
        <v>25000</v>
      </c>
      <c r="L23" s="146">
        <v>20000</v>
      </c>
      <c r="M23" s="335">
        <f>L23/K23</f>
        <v>0.8</v>
      </c>
      <c r="N23" s="316"/>
      <c r="O23" s="136"/>
    </row>
    <row r="24" spans="1:15" s="13" customFormat="1" ht="48" customHeight="1" x14ac:dyDescent="0.35">
      <c r="A24" s="420"/>
      <c r="B24" s="418"/>
      <c r="C24" s="24" t="s">
        <v>7</v>
      </c>
      <c r="D24" s="99" t="s">
        <v>63</v>
      </c>
      <c r="E24" s="151"/>
      <c r="F24" s="152"/>
      <c r="G24" s="290"/>
      <c r="H24" s="153"/>
      <c r="I24" s="154"/>
      <c r="J24" s="302"/>
      <c r="K24" s="155">
        <f>6000+K30</f>
        <v>6000</v>
      </c>
      <c r="L24" s="156">
        <v>6000</v>
      </c>
      <c r="M24" s="335">
        <f>L24/K24</f>
        <v>1</v>
      </c>
      <c r="N24" s="316"/>
      <c r="O24" s="136"/>
    </row>
    <row r="25" spans="1:15" s="13" customFormat="1" ht="32.25" customHeight="1" x14ac:dyDescent="0.35">
      <c r="A25" s="399" t="s">
        <v>126</v>
      </c>
      <c r="B25" s="387" t="s">
        <v>56</v>
      </c>
      <c r="C25" s="4" t="s">
        <v>9</v>
      </c>
      <c r="D25" s="93" t="s">
        <v>101</v>
      </c>
      <c r="E25" s="139">
        <v>18000</v>
      </c>
      <c r="F25" s="140"/>
      <c r="G25" s="290">
        <f t="shared" si="0"/>
        <v>0</v>
      </c>
      <c r="H25" s="153"/>
      <c r="I25" s="154"/>
      <c r="J25" s="302"/>
      <c r="K25" s="155"/>
      <c r="L25" s="156"/>
      <c r="M25" s="334"/>
      <c r="N25" s="316"/>
      <c r="O25" s="136"/>
    </row>
    <row r="26" spans="1:15" s="13" customFormat="1" ht="57" customHeight="1" x14ac:dyDescent="0.35">
      <c r="A26" s="400"/>
      <c r="B26" s="388"/>
      <c r="C26" s="4" t="s">
        <v>9</v>
      </c>
      <c r="D26" s="93" t="s">
        <v>57</v>
      </c>
      <c r="E26" s="139">
        <v>4000</v>
      </c>
      <c r="F26" s="140"/>
      <c r="G26" s="290">
        <f t="shared" si="0"/>
        <v>0</v>
      </c>
      <c r="H26" s="153"/>
      <c r="I26" s="154"/>
      <c r="J26" s="302"/>
      <c r="K26" s="155"/>
      <c r="L26" s="156"/>
      <c r="M26" s="334"/>
      <c r="N26" s="316"/>
      <c r="O26" s="136"/>
    </row>
    <row r="27" spans="1:15" s="11" customFormat="1" ht="84" customHeight="1" x14ac:dyDescent="0.35">
      <c r="A27" s="395" t="s">
        <v>127</v>
      </c>
      <c r="B27" s="396" t="s">
        <v>75</v>
      </c>
      <c r="C27" s="24" t="s">
        <v>9</v>
      </c>
      <c r="D27" s="94" t="s">
        <v>109</v>
      </c>
      <c r="E27" s="139">
        <v>20000</v>
      </c>
      <c r="F27" s="140"/>
      <c r="G27" s="290">
        <f t="shared" si="0"/>
        <v>0</v>
      </c>
      <c r="H27" s="157"/>
      <c r="I27" s="158"/>
      <c r="J27" s="304"/>
      <c r="K27" s="134"/>
      <c r="L27" s="135"/>
      <c r="M27" s="334"/>
      <c r="N27" s="316"/>
      <c r="O27" s="136"/>
    </row>
    <row r="28" spans="1:15" s="11" customFormat="1" ht="63.75" customHeight="1" x14ac:dyDescent="0.35">
      <c r="A28" s="395"/>
      <c r="B28" s="396"/>
      <c r="C28" s="24" t="s">
        <v>7</v>
      </c>
      <c r="D28" s="94" t="s">
        <v>45</v>
      </c>
      <c r="E28" s="139">
        <v>5000</v>
      </c>
      <c r="F28" s="140"/>
      <c r="G28" s="290">
        <f t="shared" si="0"/>
        <v>0</v>
      </c>
      <c r="H28" s="157"/>
      <c r="I28" s="158"/>
      <c r="J28" s="304"/>
      <c r="K28" s="134"/>
      <c r="L28" s="135"/>
      <c r="M28" s="334"/>
      <c r="N28" s="316"/>
      <c r="O28" s="136"/>
    </row>
    <row r="29" spans="1:15" s="11" customFormat="1" ht="24" customHeight="1" x14ac:dyDescent="0.35">
      <c r="A29" s="395"/>
      <c r="B29" s="396"/>
      <c r="C29" s="24" t="s">
        <v>9</v>
      </c>
      <c r="D29" s="94" t="s">
        <v>93</v>
      </c>
      <c r="E29" s="139">
        <v>2000</v>
      </c>
      <c r="F29" s="140"/>
      <c r="G29" s="290">
        <f t="shared" si="0"/>
        <v>0</v>
      </c>
      <c r="H29" s="157"/>
      <c r="I29" s="158"/>
      <c r="J29" s="304"/>
      <c r="K29" s="134"/>
      <c r="L29" s="135"/>
      <c r="M29" s="334"/>
      <c r="N29" s="316"/>
      <c r="O29" s="136"/>
    </row>
    <row r="30" spans="1:15" ht="19.5" customHeight="1" x14ac:dyDescent="0.35">
      <c r="A30" s="410"/>
      <c r="B30" s="433"/>
      <c r="C30" s="4" t="s">
        <v>10</v>
      </c>
      <c r="D30" s="93" t="s">
        <v>94</v>
      </c>
      <c r="E30" s="139">
        <v>5000</v>
      </c>
      <c r="F30" s="140"/>
      <c r="G30" s="290">
        <f t="shared" si="0"/>
        <v>0</v>
      </c>
      <c r="H30" s="132"/>
      <c r="I30" s="133"/>
      <c r="J30" s="302"/>
      <c r="K30" s="134"/>
      <c r="L30" s="135"/>
      <c r="M30" s="334"/>
      <c r="N30" s="317"/>
      <c r="O30" s="136"/>
    </row>
    <row r="31" spans="1:15" s="350" customFormat="1" ht="48" customHeight="1" x14ac:dyDescent="0.35">
      <c r="A31" s="434" t="s">
        <v>60</v>
      </c>
      <c r="B31" s="435"/>
      <c r="C31" s="435"/>
      <c r="D31" s="435"/>
      <c r="E31" s="352">
        <f>SUM(E32:E40)</f>
        <v>0</v>
      </c>
      <c r="F31" s="353"/>
      <c r="G31" s="341"/>
      <c r="H31" s="352">
        <f>SUM(H32:H40)</f>
        <v>0</v>
      </c>
      <c r="I31" s="353"/>
      <c r="J31" s="354"/>
      <c r="K31" s="352">
        <f>SUM(K32:K40)</f>
        <v>194875</v>
      </c>
      <c r="L31" s="352">
        <f>SUM(L32:L40)</f>
        <v>165570.9</v>
      </c>
      <c r="M31" s="355">
        <f>L31/K31</f>
        <v>0.8496261706221937</v>
      </c>
      <c r="N31" s="356">
        <v>1</v>
      </c>
      <c r="O31" s="353"/>
    </row>
    <row r="32" spans="1:15" s="11" customFormat="1" ht="45.6" customHeight="1" x14ac:dyDescent="0.35">
      <c r="A32" s="436" t="s">
        <v>1</v>
      </c>
      <c r="B32" s="417" t="s">
        <v>153</v>
      </c>
      <c r="C32" s="51" t="s">
        <v>11</v>
      </c>
      <c r="D32" s="94"/>
      <c r="E32" s="122"/>
      <c r="F32" s="123"/>
      <c r="G32" s="290"/>
      <c r="H32" s="159"/>
      <c r="I32" s="160"/>
      <c r="J32" s="305"/>
      <c r="K32" s="161">
        <f>25000+13600+10750</f>
        <v>49350</v>
      </c>
      <c r="L32" s="162">
        <v>34800</v>
      </c>
      <c r="M32" s="336">
        <f>L32/K32</f>
        <v>0.70516717325227962</v>
      </c>
      <c r="N32" s="318"/>
      <c r="O32" s="128"/>
    </row>
    <row r="33" spans="1:16" s="11" customFormat="1" ht="45.6" customHeight="1" x14ac:dyDescent="0.35">
      <c r="A33" s="436"/>
      <c r="B33" s="437"/>
      <c r="C33" s="51" t="s">
        <v>10</v>
      </c>
      <c r="D33" s="93" t="s">
        <v>74</v>
      </c>
      <c r="E33" s="122"/>
      <c r="F33" s="123"/>
      <c r="G33" s="290"/>
      <c r="H33" s="159"/>
      <c r="I33" s="160"/>
      <c r="J33" s="305"/>
      <c r="K33" s="161">
        <f>80*80</f>
        <v>6400</v>
      </c>
      <c r="L33" s="162"/>
      <c r="M33" s="336">
        <f t="shared" ref="M33:M40" si="2">L33/K33</f>
        <v>0</v>
      </c>
      <c r="N33" s="318"/>
      <c r="O33" s="128"/>
    </row>
    <row r="34" spans="1:16" s="11" customFormat="1" ht="54" customHeight="1" x14ac:dyDescent="0.35">
      <c r="A34" s="404" t="s">
        <v>65</v>
      </c>
      <c r="B34" s="417" t="s">
        <v>154</v>
      </c>
      <c r="C34" s="273" t="s">
        <v>181</v>
      </c>
      <c r="D34" s="94"/>
      <c r="E34" s="163"/>
      <c r="F34" s="164"/>
      <c r="G34" s="290"/>
      <c r="H34" s="165"/>
      <c r="I34" s="166"/>
      <c r="J34" s="305"/>
      <c r="K34" s="167">
        <f>25000-1750-10000+7000</f>
        <v>20250</v>
      </c>
      <c r="L34" s="168">
        <v>34800</v>
      </c>
      <c r="M34" s="336">
        <f t="shared" si="2"/>
        <v>1.7185185185185186</v>
      </c>
      <c r="N34" s="318"/>
      <c r="O34" s="128"/>
    </row>
    <row r="35" spans="1:16" s="11" customFormat="1" ht="36.6" customHeight="1" x14ac:dyDescent="0.35">
      <c r="A35" s="405"/>
      <c r="B35" s="437"/>
      <c r="C35" s="51" t="s">
        <v>10</v>
      </c>
      <c r="D35" s="94" t="s">
        <v>73</v>
      </c>
      <c r="E35" s="163"/>
      <c r="F35" s="164"/>
      <c r="G35" s="290"/>
      <c r="H35" s="165"/>
      <c r="I35" s="166"/>
      <c r="J35" s="305"/>
      <c r="K35" s="167">
        <f>5070+10000</f>
        <v>15070</v>
      </c>
      <c r="L35" s="169">
        <v>18000</v>
      </c>
      <c r="M35" s="336">
        <f t="shared" si="2"/>
        <v>1.19442601194426</v>
      </c>
      <c r="N35" s="318"/>
      <c r="O35" s="128"/>
    </row>
    <row r="36" spans="1:16" s="11" customFormat="1" ht="15" customHeight="1" x14ac:dyDescent="0.35">
      <c r="A36" s="404" t="s">
        <v>67</v>
      </c>
      <c r="B36" s="417" t="s">
        <v>138</v>
      </c>
      <c r="C36" s="26" t="s">
        <v>9</v>
      </c>
      <c r="D36" s="57" t="s">
        <v>68</v>
      </c>
      <c r="E36" s="122"/>
      <c r="F36" s="123"/>
      <c r="G36" s="290"/>
      <c r="H36" s="170"/>
      <c r="I36" s="171"/>
      <c r="J36" s="305"/>
      <c r="K36" s="167">
        <v>30000</v>
      </c>
      <c r="L36" s="169">
        <v>28900</v>
      </c>
      <c r="M36" s="336">
        <f t="shared" si="2"/>
        <v>0.96333333333333337</v>
      </c>
      <c r="N36" s="318"/>
      <c r="O36" s="128"/>
    </row>
    <row r="37" spans="1:16" s="11" customFormat="1" ht="27.6" x14ac:dyDescent="0.35">
      <c r="A37" s="405"/>
      <c r="B37" s="437"/>
      <c r="C37" s="24" t="s">
        <v>7</v>
      </c>
      <c r="D37" s="94" t="s">
        <v>69</v>
      </c>
      <c r="E37" s="122"/>
      <c r="F37" s="123"/>
      <c r="G37" s="290"/>
      <c r="H37" s="170"/>
      <c r="I37" s="171"/>
      <c r="J37" s="305"/>
      <c r="K37" s="126">
        <v>20000</v>
      </c>
      <c r="L37" s="127">
        <v>11070.9</v>
      </c>
      <c r="M37" s="336">
        <f t="shared" si="2"/>
        <v>0.55354499999999995</v>
      </c>
      <c r="N37" s="318"/>
      <c r="O37" s="128"/>
    </row>
    <row r="38" spans="1:16" s="11" customFormat="1" ht="86.7" customHeight="1" x14ac:dyDescent="0.35">
      <c r="A38" s="406"/>
      <c r="B38" s="418"/>
      <c r="C38" s="58" t="s">
        <v>10</v>
      </c>
      <c r="D38" s="94" t="s">
        <v>73</v>
      </c>
      <c r="E38" s="122"/>
      <c r="F38" s="123"/>
      <c r="G38" s="290"/>
      <c r="H38" s="170"/>
      <c r="I38" s="171"/>
      <c r="J38" s="305"/>
      <c r="K38" s="167">
        <f>25*70+2000</f>
        <v>3750</v>
      </c>
      <c r="L38" s="169"/>
      <c r="M38" s="336">
        <f t="shared" si="2"/>
        <v>0</v>
      </c>
      <c r="N38" s="318"/>
      <c r="O38" s="128"/>
    </row>
    <row r="39" spans="1:16" s="11" customFormat="1" ht="41.7" customHeight="1" x14ac:dyDescent="0.35">
      <c r="A39" s="385" t="s">
        <v>78</v>
      </c>
      <c r="B39" s="387" t="s">
        <v>139</v>
      </c>
      <c r="C39" s="26" t="s">
        <v>9</v>
      </c>
      <c r="D39" s="57" t="s">
        <v>68</v>
      </c>
      <c r="E39" s="122"/>
      <c r="F39" s="123"/>
      <c r="G39" s="290"/>
      <c r="H39" s="170"/>
      <c r="I39" s="171"/>
      <c r="J39" s="305"/>
      <c r="K39" s="167">
        <f>20000+55+10000</f>
        <v>30055</v>
      </c>
      <c r="L39" s="169">
        <v>20000</v>
      </c>
      <c r="M39" s="336">
        <f t="shared" si="2"/>
        <v>0.66544668108467808</v>
      </c>
      <c r="N39" s="318"/>
      <c r="O39" s="128"/>
    </row>
    <row r="40" spans="1:16" s="11" customFormat="1" ht="54.75" customHeight="1" x14ac:dyDescent="0.35">
      <c r="A40" s="386"/>
      <c r="B40" s="388"/>
      <c r="C40" s="26" t="s">
        <v>7</v>
      </c>
      <c r="D40" s="94" t="s">
        <v>155</v>
      </c>
      <c r="E40" s="122"/>
      <c r="F40" s="123"/>
      <c r="G40" s="290"/>
      <c r="H40" s="170"/>
      <c r="I40" s="171"/>
      <c r="J40" s="305"/>
      <c r="K40" s="167">
        <v>20000</v>
      </c>
      <c r="L40" s="169">
        <v>18000</v>
      </c>
      <c r="M40" s="336">
        <f t="shared" si="2"/>
        <v>0.9</v>
      </c>
      <c r="N40" s="318"/>
      <c r="O40" s="128"/>
    </row>
    <row r="41" spans="1:16" ht="38.25" customHeight="1" x14ac:dyDescent="0.35">
      <c r="A41" s="428" t="s">
        <v>128</v>
      </c>
      <c r="B41" s="429"/>
      <c r="C41" s="429"/>
      <c r="D41" s="430"/>
      <c r="E41" s="172">
        <f>E42+E56</f>
        <v>198130</v>
      </c>
      <c r="F41" s="173">
        <f>F42</f>
        <v>120116.23999999999</v>
      </c>
      <c r="G41" s="290">
        <f t="shared" si="0"/>
        <v>0.60624963407863519</v>
      </c>
      <c r="H41" s="172">
        <f t="shared" ref="H41:L41" si="3">H42+H56</f>
        <v>443588</v>
      </c>
      <c r="I41" s="172">
        <f t="shared" si="3"/>
        <v>194406</v>
      </c>
      <c r="J41" s="297">
        <f>I41/H41</f>
        <v>0.43825802321072704</v>
      </c>
      <c r="K41" s="172">
        <f t="shared" si="3"/>
        <v>48500</v>
      </c>
      <c r="L41" s="172">
        <f t="shared" si="3"/>
        <v>40000</v>
      </c>
      <c r="M41" s="294">
        <f>L41/K41</f>
        <v>0.82474226804123707</v>
      </c>
      <c r="N41" s="319">
        <v>0.36</v>
      </c>
      <c r="O41" s="173"/>
    </row>
    <row r="42" spans="1:16" s="350" customFormat="1" ht="39.6" customHeight="1" x14ac:dyDescent="0.35">
      <c r="A42" s="431" t="s">
        <v>129</v>
      </c>
      <c r="B42" s="432"/>
      <c r="C42" s="432"/>
      <c r="D42" s="432"/>
      <c r="E42" s="119">
        <f>SUM(E43:E55)</f>
        <v>198130</v>
      </c>
      <c r="F42" s="120">
        <f>F43+F44+F45+F46+F47+F48+F49+F50+F51+F52+F53+F54+F55</f>
        <v>120116.23999999999</v>
      </c>
      <c r="G42" s="341">
        <f t="shared" si="0"/>
        <v>0.60624963407863519</v>
      </c>
      <c r="H42" s="119">
        <f>SUM(H43:H55)</f>
        <v>0</v>
      </c>
      <c r="I42" s="119">
        <f>SUM(I43:I55)</f>
        <v>0</v>
      </c>
      <c r="J42" s="296"/>
      <c r="K42" s="119">
        <f>SUM(K43:K55)</f>
        <v>48500</v>
      </c>
      <c r="L42" s="119">
        <f>SUM(L43:L55)</f>
        <v>40000</v>
      </c>
      <c r="M42" s="293">
        <f>L42/K42</f>
        <v>0.82474226804123707</v>
      </c>
      <c r="N42" s="320">
        <v>1</v>
      </c>
      <c r="O42" s="351"/>
      <c r="P42" s="349"/>
    </row>
    <row r="43" spans="1:16" ht="84.75" customHeight="1" x14ac:dyDescent="0.35">
      <c r="A43" s="27" t="s">
        <v>76</v>
      </c>
      <c r="B43" s="28" t="s">
        <v>112</v>
      </c>
      <c r="C43" s="4" t="s">
        <v>9</v>
      </c>
      <c r="D43" s="93" t="s">
        <v>149</v>
      </c>
      <c r="E43" s="139">
        <v>30000</v>
      </c>
      <c r="F43" s="140">
        <v>64057.52</v>
      </c>
      <c r="G43" s="290">
        <f t="shared" si="0"/>
        <v>2.1352506666666664</v>
      </c>
      <c r="H43" s="174"/>
      <c r="I43" s="175"/>
      <c r="J43" s="306"/>
      <c r="K43" s="176"/>
      <c r="L43" s="177"/>
      <c r="M43" s="337"/>
      <c r="N43" s="321"/>
      <c r="O43" s="136"/>
      <c r="P43" s="10"/>
    </row>
    <row r="44" spans="1:16" ht="48.75" customHeight="1" x14ac:dyDescent="0.35">
      <c r="A44" s="29"/>
      <c r="B44" s="30"/>
      <c r="C44" s="4" t="s">
        <v>10</v>
      </c>
      <c r="D44" s="93" t="s">
        <v>108</v>
      </c>
      <c r="E44" s="139">
        <v>4000</v>
      </c>
      <c r="F44" s="140"/>
      <c r="G44" s="290">
        <f t="shared" si="0"/>
        <v>0</v>
      </c>
      <c r="H44" s="174"/>
      <c r="I44" s="175"/>
      <c r="J44" s="306"/>
      <c r="K44" s="176"/>
      <c r="L44" s="177"/>
      <c r="M44" s="337"/>
      <c r="N44" s="321"/>
      <c r="O44" s="136"/>
      <c r="P44" s="10"/>
    </row>
    <row r="45" spans="1:16" ht="35.25" customHeight="1" x14ac:dyDescent="0.35">
      <c r="A45" s="29"/>
      <c r="B45" s="30"/>
      <c r="C45" s="4" t="s">
        <v>7</v>
      </c>
      <c r="D45" s="93" t="s">
        <v>110</v>
      </c>
      <c r="E45" s="139">
        <v>7500</v>
      </c>
      <c r="F45" s="140"/>
      <c r="G45" s="290">
        <f t="shared" si="0"/>
        <v>0</v>
      </c>
      <c r="H45" s="174"/>
      <c r="I45" s="175"/>
      <c r="J45" s="306"/>
      <c r="K45" s="176"/>
      <c r="L45" s="177"/>
      <c r="M45" s="337"/>
      <c r="N45" s="321"/>
      <c r="O45" s="136"/>
      <c r="P45" s="10"/>
    </row>
    <row r="46" spans="1:16" ht="18" customHeight="1" x14ac:dyDescent="0.35">
      <c r="A46" s="29"/>
      <c r="B46" s="30"/>
      <c r="C46" s="4" t="s">
        <v>9</v>
      </c>
      <c r="D46" s="93" t="s">
        <v>107</v>
      </c>
      <c r="E46" s="139">
        <v>2000</v>
      </c>
      <c r="F46" s="140"/>
      <c r="G46" s="290">
        <f t="shared" si="0"/>
        <v>0</v>
      </c>
      <c r="H46" s="174"/>
      <c r="I46" s="175"/>
      <c r="J46" s="306"/>
      <c r="K46" s="176"/>
      <c r="L46" s="177"/>
      <c r="M46" s="337"/>
      <c r="N46" s="321"/>
      <c r="O46" s="136"/>
      <c r="P46" s="10"/>
    </row>
    <row r="47" spans="1:16" ht="66" customHeight="1" x14ac:dyDescent="0.35">
      <c r="A47" s="29"/>
      <c r="B47" s="30"/>
      <c r="C47" s="26" t="s">
        <v>9</v>
      </c>
      <c r="D47" s="100" t="s">
        <v>102</v>
      </c>
      <c r="E47" s="139">
        <v>3000</v>
      </c>
      <c r="F47" s="140"/>
      <c r="G47" s="290">
        <f t="shared" si="0"/>
        <v>0</v>
      </c>
      <c r="H47" s="178"/>
      <c r="I47" s="179"/>
      <c r="J47" s="305"/>
      <c r="K47" s="176"/>
      <c r="L47" s="177"/>
      <c r="M47" s="337"/>
      <c r="N47" s="321"/>
      <c r="O47" s="136"/>
      <c r="P47" s="10"/>
    </row>
    <row r="48" spans="1:16" ht="45.75" customHeight="1" x14ac:dyDescent="0.35">
      <c r="A48" s="29"/>
      <c r="B48" s="30"/>
      <c r="C48" s="26" t="s">
        <v>9</v>
      </c>
      <c r="D48" s="100" t="s">
        <v>105</v>
      </c>
      <c r="E48" s="129">
        <v>60000</v>
      </c>
      <c r="F48" s="130">
        <v>33100</v>
      </c>
      <c r="G48" s="290">
        <f t="shared" si="0"/>
        <v>0.55166666666666664</v>
      </c>
      <c r="H48" s="174"/>
      <c r="I48" s="175"/>
      <c r="J48" s="306"/>
      <c r="K48" s="176"/>
      <c r="L48" s="177"/>
      <c r="M48" s="337"/>
      <c r="N48" s="321"/>
      <c r="O48" s="136"/>
      <c r="P48" s="10"/>
    </row>
    <row r="49" spans="1:18" ht="140.25" customHeight="1" x14ac:dyDescent="0.35">
      <c r="A49" s="27" t="s">
        <v>54</v>
      </c>
      <c r="B49" s="30" t="s">
        <v>113</v>
      </c>
      <c r="C49" s="4" t="s">
        <v>9</v>
      </c>
      <c r="D49" s="93" t="s">
        <v>115</v>
      </c>
      <c r="E49" s="139">
        <v>16000</v>
      </c>
      <c r="F49" s="140">
        <v>19958.72</v>
      </c>
      <c r="G49" s="290">
        <f t="shared" si="0"/>
        <v>1.24742</v>
      </c>
      <c r="H49" s="174"/>
      <c r="I49" s="175"/>
      <c r="J49" s="306"/>
      <c r="K49" s="176"/>
      <c r="L49" s="177"/>
      <c r="M49" s="337"/>
      <c r="N49" s="321"/>
      <c r="O49" s="136"/>
      <c r="P49" s="10"/>
    </row>
    <row r="50" spans="1:18" ht="78.75" customHeight="1" x14ac:dyDescent="0.35">
      <c r="A50" s="31"/>
      <c r="B50" s="32"/>
      <c r="C50" s="26" t="s">
        <v>10</v>
      </c>
      <c r="D50" s="100" t="s">
        <v>104</v>
      </c>
      <c r="E50" s="139">
        <v>7000</v>
      </c>
      <c r="F50" s="140"/>
      <c r="G50" s="290">
        <f t="shared" si="0"/>
        <v>0</v>
      </c>
      <c r="H50" s="174"/>
      <c r="I50" s="175"/>
      <c r="J50" s="306"/>
      <c r="K50" s="176"/>
      <c r="L50" s="177"/>
      <c r="M50" s="337"/>
      <c r="N50" s="321"/>
      <c r="O50" s="136"/>
      <c r="P50" s="10"/>
    </row>
    <row r="51" spans="1:18" ht="27.75" customHeight="1" x14ac:dyDescent="0.35">
      <c r="A51" s="21"/>
      <c r="B51" s="14"/>
      <c r="C51" s="26" t="s">
        <v>9</v>
      </c>
      <c r="D51" s="100" t="s">
        <v>92</v>
      </c>
      <c r="E51" s="139">
        <f>48000+4000+3180</f>
        <v>55180</v>
      </c>
      <c r="F51" s="140"/>
      <c r="G51" s="290">
        <f t="shared" si="0"/>
        <v>0</v>
      </c>
      <c r="H51" s="180"/>
      <c r="I51" s="181"/>
      <c r="J51" s="307"/>
      <c r="K51" s="126"/>
      <c r="L51" s="127"/>
      <c r="M51" s="333"/>
      <c r="N51" s="322"/>
      <c r="O51" s="136"/>
    </row>
    <row r="52" spans="1:18" ht="39" customHeight="1" x14ac:dyDescent="0.35">
      <c r="A52" s="21"/>
      <c r="B52" s="33"/>
      <c r="C52" s="26" t="s">
        <v>7</v>
      </c>
      <c r="D52" s="101" t="s">
        <v>111</v>
      </c>
      <c r="E52" s="137">
        <v>3450</v>
      </c>
      <c r="F52" s="138"/>
      <c r="G52" s="290">
        <f t="shared" si="0"/>
        <v>0</v>
      </c>
      <c r="H52" s="180"/>
      <c r="I52" s="181"/>
      <c r="J52" s="307"/>
      <c r="K52" s="126"/>
      <c r="L52" s="127"/>
      <c r="M52" s="333"/>
      <c r="N52" s="322"/>
      <c r="O52" s="136"/>
    </row>
    <row r="53" spans="1:18" ht="69.75" customHeight="1" x14ac:dyDescent="0.35">
      <c r="A53" s="34" t="s">
        <v>55</v>
      </c>
      <c r="B53" s="32" t="s">
        <v>158</v>
      </c>
      <c r="C53" s="4" t="s">
        <v>106</v>
      </c>
      <c r="D53" s="93" t="s">
        <v>47</v>
      </c>
      <c r="E53" s="139">
        <v>10000</v>
      </c>
      <c r="F53" s="140">
        <v>3000</v>
      </c>
      <c r="G53" s="290">
        <f t="shared" si="0"/>
        <v>0.3</v>
      </c>
      <c r="H53" s="174"/>
      <c r="I53" s="175"/>
      <c r="J53" s="306"/>
      <c r="K53" s="176"/>
      <c r="L53" s="177"/>
      <c r="M53" s="337"/>
      <c r="N53" s="321"/>
      <c r="O53" s="136"/>
      <c r="P53" s="10"/>
    </row>
    <row r="54" spans="1:18" ht="16.5" customHeight="1" x14ac:dyDescent="0.35">
      <c r="A54" s="407" t="s">
        <v>159</v>
      </c>
      <c r="B54" s="383" t="s">
        <v>91</v>
      </c>
      <c r="C54" s="35" t="s">
        <v>7</v>
      </c>
      <c r="D54" s="102" t="s">
        <v>90</v>
      </c>
      <c r="E54" s="137"/>
      <c r="F54" s="138"/>
      <c r="G54" s="290"/>
      <c r="H54" s="180"/>
      <c r="I54" s="181"/>
      <c r="J54" s="307"/>
      <c r="K54" s="126">
        <v>5000</v>
      </c>
      <c r="L54" s="127">
        <v>5000</v>
      </c>
      <c r="M54" s="333">
        <f>L54/K54</f>
        <v>1</v>
      </c>
      <c r="N54" s="322"/>
      <c r="O54" s="136"/>
      <c r="P54" s="10"/>
    </row>
    <row r="55" spans="1:18" ht="28.2" customHeight="1" x14ac:dyDescent="0.35">
      <c r="A55" s="408"/>
      <c r="B55" s="384"/>
      <c r="C55" s="35" t="s">
        <v>9</v>
      </c>
      <c r="D55" s="103" t="s">
        <v>70</v>
      </c>
      <c r="E55" s="137"/>
      <c r="F55" s="138"/>
      <c r="G55" s="290"/>
      <c r="H55" s="180"/>
      <c r="I55" s="182"/>
      <c r="J55" s="308"/>
      <c r="K55" s="183">
        <f>40000+5000-1500</f>
        <v>43500</v>
      </c>
      <c r="L55" s="272">
        <v>35000</v>
      </c>
      <c r="M55" s="333">
        <f>L55/K55</f>
        <v>0.8045977011494253</v>
      </c>
      <c r="N55" s="322"/>
      <c r="O55" s="136"/>
      <c r="P55" s="10"/>
    </row>
    <row r="56" spans="1:18" s="350" customFormat="1" ht="27.75" customHeight="1" x14ac:dyDescent="0.35">
      <c r="A56" s="343" t="s">
        <v>130</v>
      </c>
      <c r="B56" s="344"/>
      <c r="C56" s="345"/>
      <c r="D56" s="346"/>
      <c r="E56" s="194">
        <f>SUM(E57:E69)</f>
        <v>0</v>
      </c>
      <c r="F56" s="195"/>
      <c r="G56" s="341"/>
      <c r="H56" s="194">
        <f>SUM(H57:H69)</f>
        <v>443588</v>
      </c>
      <c r="I56" s="194">
        <f>SUM(I57:I69)</f>
        <v>194406</v>
      </c>
      <c r="J56" s="298">
        <f>I56/H56</f>
        <v>0.43825802321072704</v>
      </c>
      <c r="K56" s="194">
        <f>SUM(K57:K69)</f>
        <v>0</v>
      </c>
      <c r="L56" s="195"/>
      <c r="M56" s="292"/>
      <c r="N56" s="347">
        <v>0</v>
      </c>
      <c r="O56" s="348"/>
      <c r="P56" s="349"/>
    </row>
    <row r="57" spans="1:18" s="61" customFormat="1" ht="69.75" customHeight="1" x14ac:dyDescent="0.35">
      <c r="A57" s="34" t="s">
        <v>85</v>
      </c>
      <c r="B57" s="59" t="s">
        <v>160</v>
      </c>
      <c r="C57" s="26" t="s">
        <v>9</v>
      </c>
      <c r="D57" s="104" t="s">
        <v>50</v>
      </c>
      <c r="E57" s="122"/>
      <c r="F57" s="123"/>
      <c r="G57" s="290"/>
      <c r="H57" s="159">
        <v>10000</v>
      </c>
      <c r="I57" s="160">
        <v>15000</v>
      </c>
      <c r="J57" s="305">
        <f>I57/H57</f>
        <v>1.5</v>
      </c>
      <c r="K57" s="126"/>
      <c r="L57" s="127"/>
      <c r="M57" s="333"/>
      <c r="N57" s="323"/>
      <c r="O57" s="184"/>
    </row>
    <row r="58" spans="1:18" s="61" customFormat="1" ht="97.5" customHeight="1" x14ac:dyDescent="0.35">
      <c r="A58" s="34"/>
      <c r="B58" s="14"/>
      <c r="C58" s="26" t="s">
        <v>10</v>
      </c>
      <c r="D58" s="100" t="s">
        <v>51</v>
      </c>
      <c r="E58" s="122"/>
      <c r="F58" s="123"/>
      <c r="G58" s="290"/>
      <c r="H58" s="159">
        <v>5000</v>
      </c>
      <c r="I58" s="160"/>
      <c r="J58" s="305">
        <f t="shared" ref="J58:J69" si="4">I58/H58</f>
        <v>0</v>
      </c>
      <c r="K58" s="126"/>
      <c r="L58" s="127"/>
      <c r="M58" s="333"/>
      <c r="N58" s="323"/>
      <c r="O58" s="184"/>
    </row>
    <row r="59" spans="1:18" s="61" customFormat="1" ht="51" customHeight="1" x14ac:dyDescent="0.35">
      <c r="A59" s="34" t="s">
        <v>81</v>
      </c>
      <c r="B59" s="56" t="s">
        <v>161</v>
      </c>
      <c r="C59" s="26" t="s">
        <v>9</v>
      </c>
      <c r="D59" s="105" t="s">
        <v>49</v>
      </c>
      <c r="E59" s="122"/>
      <c r="F59" s="123"/>
      <c r="G59" s="290"/>
      <c r="H59" s="159">
        <v>210000</v>
      </c>
      <c r="I59" s="160">
        <v>77500</v>
      </c>
      <c r="J59" s="305">
        <f t="shared" si="4"/>
        <v>0.36904761904761907</v>
      </c>
      <c r="K59" s="126"/>
      <c r="L59" s="127"/>
      <c r="M59" s="333"/>
      <c r="N59" s="323"/>
      <c r="O59" s="184"/>
    </row>
    <row r="60" spans="1:18" s="64" customFormat="1" ht="90.75" customHeight="1" x14ac:dyDescent="0.35">
      <c r="A60" s="274" t="s">
        <v>82</v>
      </c>
      <c r="B60" s="275" t="s">
        <v>146</v>
      </c>
      <c r="C60" s="277" t="s">
        <v>9</v>
      </c>
      <c r="D60" s="104" t="s">
        <v>52</v>
      </c>
      <c r="E60" s="185"/>
      <c r="F60" s="186"/>
      <c r="G60" s="290"/>
      <c r="H60" s="159">
        <v>40000</v>
      </c>
      <c r="I60" s="160">
        <v>40000</v>
      </c>
      <c r="J60" s="305">
        <f t="shared" si="4"/>
        <v>1</v>
      </c>
      <c r="K60" s="188"/>
      <c r="L60" s="189"/>
      <c r="M60" s="338"/>
      <c r="N60" s="324"/>
      <c r="O60" s="190"/>
      <c r="P60" s="63"/>
    </row>
    <row r="61" spans="1:18" s="47" customFormat="1" ht="94.5" customHeight="1" x14ac:dyDescent="0.35">
      <c r="A61" s="278" t="s">
        <v>83</v>
      </c>
      <c r="B61" s="279" t="s">
        <v>144</v>
      </c>
      <c r="C61" s="276" t="s">
        <v>9</v>
      </c>
      <c r="D61" s="104" t="s">
        <v>150</v>
      </c>
      <c r="E61" s="129"/>
      <c r="F61" s="130"/>
      <c r="G61" s="290"/>
      <c r="H61" s="124">
        <f>1400+14000</f>
        <v>15400</v>
      </c>
      <c r="I61" s="125">
        <v>11697</v>
      </c>
      <c r="J61" s="305">
        <f t="shared" si="4"/>
        <v>0.75954545454545452</v>
      </c>
      <c r="K61" s="126"/>
      <c r="L61" s="127"/>
      <c r="M61" s="333"/>
      <c r="N61" s="323"/>
      <c r="O61" s="184"/>
      <c r="P61" s="50"/>
      <c r="Q61" s="50"/>
      <c r="R61" s="50"/>
    </row>
    <row r="62" spans="1:18" s="47" customFormat="1" ht="46.8" x14ac:dyDescent="0.35">
      <c r="A62" s="278"/>
      <c r="B62" s="279"/>
      <c r="C62" s="276" t="s">
        <v>80</v>
      </c>
      <c r="D62" s="104" t="s">
        <v>151</v>
      </c>
      <c r="E62" s="129"/>
      <c r="F62" s="130"/>
      <c r="G62" s="290"/>
      <c r="H62" s="124">
        <v>14600</v>
      </c>
      <c r="I62" s="125">
        <v>11135</v>
      </c>
      <c r="J62" s="305">
        <f t="shared" si="4"/>
        <v>0.76267123287671235</v>
      </c>
      <c r="K62" s="126"/>
      <c r="L62" s="127"/>
      <c r="M62" s="333"/>
      <c r="N62" s="323"/>
      <c r="O62" s="184"/>
    </row>
    <row r="63" spans="1:18" s="47" customFormat="1" ht="59.25" customHeight="1" x14ac:dyDescent="0.35">
      <c r="A63" s="280" t="s">
        <v>84</v>
      </c>
      <c r="B63" s="281" t="s">
        <v>133</v>
      </c>
      <c r="C63" s="282" t="s">
        <v>11</v>
      </c>
      <c r="D63" s="106" t="s">
        <v>88</v>
      </c>
      <c r="E63" s="122"/>
      <c r="F63" s="123"/>
      <c r="G63" s="290"/>
      <c r="H63" s="159">
        <f>(50*18*7)+7000</f>
        <v>13300</v>
      </c>
      <c r="I63" s="160">
        <v>10227</v>
      </c>
      <c r="J63" s="305">
        <f t="shared" si="4"/>
        <v>0.7689473684210526</v>
      </c>
      <c r="K63" s="126"/>
      <c r="L63" s="127"/>
      <c r="M63" s="333"/>
      <c r="N63" s="323"/>
      <c r="O63" s="184"/>
    </row>
    <row r="64" spans="1:18" s="47" customFormat="1" ht="75" customHeight="1" x14ac:dyDescent="0.35">
      <c r="A64" s="283"/>
      <c r="B64" s="281"/>
      <c r="C64" s="276" t="s">
        <v>80</v>
      </c>
      <c r="D64" s="106" t="s">
        <v>152</v>
      </c>
      <c r="E64" s="122"/>
      <c r="F64" s="123"/>
      <c r="G64" s="290"/>
      <c r="H64" s="159">
        <f>50*57*2*7</f>
        <v>39900</v>
      </c>
      <c r="I64" s="160">
        <v>28847</v>
      </c>
      <c r="J64" s="305">
        <f t="shared" si="4"/>
        <v>0.72298245614035084</v>
      </c>
      <c r="K64" s="126"/>
      <c r="L64" s="127"/>
      <c r="M64" s="333"/>
      <c r="N64" s="323"/>
      <c r="O64" s="184"/>
    </row>
    <row r="65" spans="1:16" s="64" customFormat="1" ht="61.5" customHeight="1" x14ac:dyDescent="0.35">
      <c r="A65" s="283" t="s">
        <v>86</v>
      </c>
      <c r="B65" s="277" t="s">
        <v>157</v>
      </c>
      <c r="C65" s="282" t="s">
        <v>11</v>
      </c>
      <c r="D65" s="106" t="s">
        <v>135</v>
      </c>
      <c r="E65" s="191"/>
      <c r="F65" s="192"/>
      <c r="G65" s="290"/>
      <c r="H65" s="159">
        <f>500*3*2</f>
        <v>3000</v>
      </c>
      <c r="I65" s="187"/>
      <c r="J65" s="305">
        <f t="shared" si="4"/>
        <v>0</v>
      </c>
      <c r="K65" s="188"/>
      <c r="L65" s="189"/>
      <c r="M65" s="338"/>
      <c r="N65" s="324"/>
      <c r="O65" s="190"/>
    </row>
    <row r="66" spans="1:16" s="61" customFormat="1" ht="61.5" customHeight="1" x14ac:dyDescent="0.35">
      <c r="A66" s="283"/>
      <c r="B66" s="277"/>
      <c r="C66" s="276" t="s">
        <v>80</v>
      </c>
      <c r="D66" s="106" t="s">
        <v>89</v>
      </c>
      <c r="E66" s="129"/>
      <c r="F66" s="130"/>
      <c r="G66" s="290"/>
      <c r="H66" s="159">
        <v>35000</v>
      </c>
      <c r="I66" s="160"/>
      <c r="J66" s="305">
        <f t="shared" si="4"/>
        <v>0</v>
      </c>
      <c r="K66" s="126"/>
      <c r="L66" s="127"/>
      <c r="M66" s="333"/>
      <c r="N66" s="323"/>
      <c r="O66" s="184"/>
    </row>
    <row r="67" spans="1:16" s="64" customFormat="1" ht="92.25" customHeight="1" x14ac:dyDescent="0.35">
      <c r="A67" s="284" t="s">
        <v>87</v>
      </c>
      <c r="B67" s="277" t="s">
        <v>145</v>
      </c>
      <c r="C67" s="276" t="s">
        <v>79</v>
      </c>
      <c r="D67" s="100" t="s">
        <v>134</v>
      </c>
      <c r="E67" s="191"/>
      <c r="F67" s="192"/>
      <c r="G67" s="290"/>
      <c r="H67" s="124">
        <v>25000</v>
      </c>
      <c r="I67" s="158"/>
      <c r="J67" s="305">
        <f t="shared" si="4"/>
        <v>0</v>
      </c>
      <c r="K67" s="188"/>
      <c r="L67" s="189"/>
      <c r="M67" s="338"/>
      <c r="N67" s="324"/>
      <c r="O67" s="190"/>
      <c r="P67" s="65"/>
    </row>
    <row r="68" spans="1:16" s="47" customFormat="1" ht="89.25" customHeight="1" x14ac:dyDescent="0.35">
      <c r="A68" s="60"/>
      <c r="B68" s="54"/>
      <c r="C68" s="26" t="s">
        <v>80</v>
      </c>
      <c r="D68" s="100" t="s">
        <v>136</v>
      </c>
      <c r="E68" s="129"/>
      <c r="F68" s="130"/>
      <c r="G68" s="290"/>
      <c r="H68" s="124">
        <v>16000</v>
      </c>
      <c r="I68" s="125"/>
      <c r="J68" s="305">
        <f t="shared" si="4"/>
        <v>0</v>
      </c>
      <c r="K68" s="126"/>
      <c r="L68" s="127"/>
      <c r="M68" s="333"/>
      <c r="N68" s="323"/>
      <c r="O68" s="184"/>
      <c r="P68" s="49"/>
    </row>
    <row r="69" spans="1:16" s="47" customFormat="1" ht="89.25" customHeight="1" x14ac:dyDescent="0.35">
      <c r="A69" s="60" t="s">
        <v>131</v>
      </c>
      <c r="B69" s="55" t="s">
        <v>147</v>
      </c>
      <c r="C69" s="55" t="s">
        <v>132</v>
      </c>
      <c r="D69" s="100" t="s">
        <v>137</v>
      </c>
      <c r="E69" s="193"/>
      <c r="F69" s="123"/>
      <c r="G69" s="290"/>
      <c r="H69" s="124">
        <v>16388</v>
      </c>
      <c r="I69" s="125"/>
      <c r="J69" s="305">
        <f t="shared" si="4"/>
        <v>0</v>
      </c>
      <c r="K69" s="126"/>
      <c r="L69" s="127"/>
      <c r="M69" s="333"/>
      <c r="N69" s="323"/>
      <c r="O69" s="184"/>
      <c r="P69" s="49"/>
    </row>
    <row r="70" spans="1:16" ht="36" customHeight="1" x14ac:dyDescent="0.3">
      <c r="A70" s="421" t="s">
        <v>142</v>
      </c>
      <c r="B70" s="422"/>
      <c r="C70" s="422"/>
      <c r="D70" s="423"/>
      <c r="E70" s="194">
        <f>SUM(E71:E74)</f>
        <v>37000</v>
      </c>
      <c r="F70" s="195">
        <f>F71+F72+F73+F74</f>
        <v>0</v>
      </c>
      <c r="G70" s="342">
        <f t="shared" si="0"/>
        <v>0</v>
      </c>
      <c r="H70" s="194">
        <f>SUM(H71:H74)</f>
        <v>10000.700000000001</v>
      </c>
      <c r="I70" s="194">
        <f>SUM(I71:I74)</f>
        <v>1275</v>
      </c>
      <c r="J70" s="298">
        <f>I70/H70</f>
        <v>0.12749107562470627</v>
      </c>
      <c r="K70" s="194">
        <f>SUM(K71:K74)</f>
        <v>25060.5</v>
      </c>
      <c r="L70" s="194">
        <f>SUM(L71:L74)</f>
        <v>20500</v>
      </c>
      <c r="M70" s="292">
        <f>L70/K70</f>
        <v>0.81802039065461585</v>
      </c>
      <c r="N70" s="325">
        <v>0.86</v>
      </c>
      <c r="O70" s="196"/>
      <c r="P70" s="42">
        <f>O70/1600000</f>
        <v>0</v>
      </c>
    </row>
    <row r="71" spans="1:16" ht="96.6" x14ac:dyDescent="0.35">
      <c r="A71" s="43" t="s">
        <v>48</v>
      </c>
      <c r="B71" s="41" t="s">
        <v>140</v>
      </c>
      <c r="C71" s="41" t="s">
        <v>9</v>
      </c>
      <c r="D71" s="93" t="s">
        <v>40</v>
      </c>
      <c r="E71" s="193"/>
      <c r="F71" s="123"/>
      <c r="G71" s="290"/>
      <c r="H71" s="197"/>
      <c r="I71" s="160"/>
      <c r="J71" s="309"/>
      <c r="K71" s="126">
        <f>1392.25*18</f>
        <v>25060.5</v>
      </c>
      <c r="L71" s="127">
        <v>20500</v>
      </c>
      <c r="M71" s="333">
        <f>L71/K71</f>
        <v>0.81802039065461585</v>
      </c>
      <c r="N71" s="326"/>
      <c r="O71" s="136"/>
    </row>
    <row r="72" spans="1:16" ht="82.8" x14ac:dyDescent="0.35">
      <c r="A72" s="40" t="s">
        <v>77</v>
      </c>
      <c r="B72" s="41" t="s">
        <v>42</v>
      </c>
      <c r="C72" s="41" t="s">
        <v>10</v>
      </c>
      <c r="D72" s="93" t="s">
        <v>103</v>
      </c>
      <c r="E72" s="129">
        <v>10000</v>
      </c>
      <c r="F72" s="130"/>
      <c r="G72" s="290">
        <f t="shared" ref="G72:G74" si="5">F72/E72</f>
        <v>0</v>
      </c>
      <c r="H72" s="124">
        <f>10000+0.7</f>
        <v>10000.700000000001</v>
      </c>
      <c r="I72" s="125">
        <v>1275</v>
      </c>
      <c r="J72" s="301">
        <f>I72/H72</f>
        <v>0.12749107562470627</v>
      </c>
      <c r="K72" s="126"/>
      <c r="L72" s="127"/>
      <c r="M72" s="333"/>
      <c r="N72" s="326"/>
      <c r="O72" s="136"/>
    </row>
    <row r="73" spans="1:16" ht="82.8" x14ac:dyDescent="0.35">
      <c r="A73" s="424" t="s">
        <v>156</v>
      </c>
      <c r="B73" s="426" t="s">
        <v>41</v>
      </c>
      <c r="C73" s="41" t="s">
        <v>9</v>
      </c>
      <c r="D73" s="93" t="s">
        <v>141</v>
      </c>
      <c r="E73" s="129">
        <f>30000-5000</f>
        <v>25000</v>
      </c>
      <c r="F73" s="130"/>
      <c r="G73" s="290">
        <f t="shared" si="5"/>
        <v>0</v>
      </c>
      <c r="H73" s="124"/>
      <c r="I73" s="125"/>
      <c r="J73" s="301"/>
      <c r="K73" s="126"/>
      <c r="L73" s="127"/>
      <c r="M73" s="333"/>
      <c r="N73" s="326"/>
      <c r="O73" s="136"/>
    </row>
    <row r="74" spans="1:16" ht="24" customHeight="1" x14ac:dyDescent="0.35">
      <c r="A74" s="425"/>
      <c r="B74" s="427"/>
      <c r="C74" s="41" t="s">
        <v>10</v>
      </c>
      <c r="D74" s="93" t="s">
        <v>38</v>
      </c>
      <c r="E74" s="129">
        <v>2000</v>
      </c>
      <c r="F74" s="130"/>
      <c r="G74" s="290">
        <f t="shared" si="5"/>
        <v>0</v>
      </c>
      <c r="H74" s="160"/>
      <c r="I74" s="160"/>
      <c r="J74" s="305"/>
      <c r="K74" s="126"/>
      <c r="L74" s="127"/>
      <c r="M74" s="333"/>
      <c r="N74" s="326"/>
      <c r="O74" s="136"/>
    </row>
    <row r="75" spans="1:16" ht="36" customHeight="1" x14ac:dyDescent="0.25">
      <c r="A75" s="397" t="s">
        <v>143</v>
      </c>
      <c r="B75" s="398"/>
      <c r="C75" s="398"/>
      <c r="D75" s="398"/>
      <c r="E75" s="194">
        <f>SUM(E76:E77)</f>
        <v>15022</v>
      </c>
      <c r="F75" s="195">
        <f>F76+F77</f>
        <v>11850.51</v>
      </c>
      <c r="G75" s="292">
        <f>F75/E75</f>
        <v>0.78887698042870458</v>
      </c>
      <c r="H75" s="194">
        <f t="shared" ref="H75:L75" si="6">SUM(H76:H77)</f>
        <v>15000</v>
      </c>
      <c r="I75" s="194">
        <f t="shared" si="6"/>
        <v>0</v>
      </c>
      <c r="J75" s="298"/>
      <c r="K75" s="194">
        <f t="shared" si="6"/>
        <v>95676</v>
      </c>
      <c r="L75" s="194">
        <f t="shared" si="6"/>
        <v>28351.489999999998</v>
      </c>
      <c r="M75" s="292"/>
      <c r="N75" s="325">
        <v>0.88</v>
      </c>
      <c r="O75" s="196"/>
      <c r="P75" s="42"/>
    </row>
    <row r="76" spans="1:16" s="48" customFormat="1" ht="31.5" customHeight="1" x14ac:dyDescent="0.25">
      <c r="A76" s="373" t="s">
        <v>39</v>
      </c>
      <c r="B76" s="374"/>
      <c r="C76" s="44" t="s">
        <v>6</v>
      </c>
      <c r="D76" s="93" t="s">
        <v>71</v>
      </c>
      <c r="E76" s="129"/>
      <c r="F76" s="130"/>
      <c r="G76" s="285"/>
      <c r="H76" s="124"/>
      <c r="I76" s="125"/>
      <c r="J76" s="301"/>
      <c r="K76" s="126">
        <v>82676</v>
      </c>
      <c r="L76" s="127">
        <v>17011.11</v>
      </c>
      <c r="M76" s="333">
        <f>L76/K76</f>
        <v>0.20575632589868886</v>
      </c>
      <c r="N76" s="327"/>
      <c r="O76" s="128"/>
    </row>
    <row r="77" spans="1:16" s="48" customFormat="1" ht="44.25" customHeight="1" thickBot="1" x14ac:dyDescent="0.3">
      <c r="A77" s="375"/>
      <c r="B77" s="376"/>
      <c r="C77" s="243" t="s">
        <v>12</v>
      </c>
      <c r="D77" s="251" t="s">
        <v>46</v>
      </c>
      <c r="E77" s="252">
        <f>10022+5000</f>
        <v>15022</v>
      </c>
      <c r="F77" s="226">
        <v>11850.51</v>
      </c>
      <c r="G77" s="286">
        <f>F77/E77</f>
        <v>0.78887698042870458</v>
      </c>
      <c r="H77" s="253">
        <v>15000</v>
      </c>
      <c r="I77" s="254"/>
      <c r="J77" s="310"/>
      <c r="K77" s="255">
        <v>13000</v>
      </c>
      <c r="L77" s="256">
        <v>11340.38</v>
      </c>
      <c r="M77" s="333">
        <f>L77/K77</f>
        <v>0.87233692307692301</v>
      </c>
      <c r="N77" s="328"/>
      <c r="O77" s="257"/>
    </row>
    <row r="78" spans="1:16" ht="22.5" customHeight="1" thickBot="1" x14ac:dyDescent="0.35">
      <c r="A78" s="438" t="s">
        <v>32</v>
      </c>
      <c r="B78" s="439"/>
      <c r="C78" s="439"/>
      <c r="D78" s="440"/>
      <c r="E78" s="246">
        <f>E41+E6+E70+E75</f>
        <v>506152</v>
      </c>
      <c r="F78" s="246">
        <f>F41+F6+F70+F75</f>
        <v>181678.08000000002</v>
      </c>
      <c r="G78" s="250">
        <f>F78/E78</f>
        <v>0.35893976512984244</v>
      </c>
      <c r="H78" s="249">
        <f>H41+H6+H70+H75</f>
        <v>594063.80999999994</v>
      </c>
      <c r="I78" s="247">
        <f>I75+I70+I56+I7</f>
        <v>255681</v>
      </c>
      <c r="J78" s="270">
        <f>I78/H78</f>
        <v>0.43039315928031374</v>
      </c>
      <c r="K78" s="246">
        <f>K41+K6+K70+K75</f>
        <v>395111.5</v>
      </c>
      <c r="L78" s="246">
        <f>L41+L6+L70+L75</f>
        <v>280422.39</v>
      </c>
      <c r="M78" s="250">
        <f>L78/K78</f>
        <v>0.70972975982728925</v>
      </c>
      <c r="N78" s="329"/>
      <c r="O78" s="269"/>
    </row>
    <row r="79" spans="1:16" s="9" customFormat="1" ht="31.8" thickBot="1" x14ac:dyDescent="0.35">
      <c r="A79" s="258"/>
      <c r="B79" s="259" t="s">
        <v>36</v>
      </c>
      <c r="C79" s="260" t="s">
        <v>14</v>
      </c>
      <c r="D79" s="261" t="s">
        <v>36</v>
      </c>
      <c r="E79" s="262">
        <f>E78*7/100</f>
        <v>35430.639999999999</v>
      </c>
      <c r="F79" s="263">
        <f>Category!F13+Category!G13</f>
        <v>23767.619311529335</v>
      </c>
      <c r="G79" s="287">
        <f>F79/E79</f>
        <v>0.6708210552089755</v>
      </c>
      <c r="H79" s="264">
        <f>H78*7/100</f>
        <v>41584.466699999997</v>
      </c>
      <c r="I79" s="265">
        <f>Category!L13+Category!M13</f>
        <v>17897.670000000002</v>
      </c>
      <c r="J79" s="339">
        <f>I79/H79</f>
        <v>0.43039315928031374</v>
      </c>
      <c r="K79" s="266">
        <f>K78*7/100</f>
        <v>27657.805</v>
      </c>
      <c r="L79" s="267">
        <f>Category!R13+Category!S13</f>
        <v>19629.567300000002</v>
      </c>
      <c r="M79" s="340">
        <f>L79/K79</f>
        <v>0.70972975982728936</v>
      </c>
      <c r="N79" s="330"/>
      <c r="O79" s="268"/>
    </row>
    <row r="80" spans="1:16" s="9" customFormat="1" ht="26.25" customHeight="1" thickBot="1" x14ac:dyDescent="0.35">
      <c r="A80" s="414" t="s">
        <v>31</v>
      </c>
      <c r="B80" s="415"/>
      <c r="C80" s="415"/>
      <c r="D80" s="416"/>
      <c r="E80" s="246">
        <f>E79+E78</f>
        <v>541582.64</v>
      </c>
      <c r="F80" s="246">
        <f>F79+F78</f>
        <v>205445.69931152934</v>
      </c>
      <c r="G80" s="250">
        <f>F80/E80</f>
        <v>0.37934321401352405</v>
      </c>
      <c r="H80" s="249">
        <f>H79+H78</f>
        <v>635648.27669999993</v>
      </c>
      <c r="I80" s="247">
        <f>I79+I78</f>
        <v>273578.67</v>
      </c>
      <c r="J80" s="270">
        <f>I80/H80</f>
        <v>0.43039315928031369</v>
      </c>
      <c r="K80" s="246">
        <f>K78+K79</f>
        <v>422769.30499999999</v>
      </c>
      <c r="L80" s="246">
        <f>L78+L79</f>
        <v>300051.95730000001</v>
      </c>
      <c r="M80" s="250">
        <f>L80/K80</f>
        <v>0.70972975982728925</v>
      </c>
      <c r="N80" s="331"/>
      <c r="O80" s="248"/>
      <c r="P80" s="19"/>
    </row>
    <row r="81" spans="2:15" x14ac:dyDescent="0.25">
      <c r="K81" s="12"/>
      <c r="L81" s="12"/>
      <c r="M81" s="271"/>
      <c r="O81" s="22"/>
    </row>
    <row r="82" spans="2:15" x14ac:dyDescent="0.3">
      <c r="B82" s="20"/>
      <c r="C82" s="46"/>
      <c r="D82" s="46"/>
      <c r="E82" s="46"/>
      <c r="F82" s="46"/>
      <c r="H82" s="46"/>
      <c r="I82" s="46"/>
      <c r="J82" s="245"/>
      <c r="K82" s="46"/>
      <c r="L82" s="46"/>
      <c r="M82" s="245"/>
      <c r="N82" s="46"/>
    </row>
    <row r="83" spans="2:15" x14ac:dyDescent="0.3">
      <c r="C83" s="46"/>
      <c r="D83" s="46"/>
      <c r="E83" s="46"/>
      <c r="F83" s="46"/>
      <c r="H83" s="46"/>
      <c r="I83" s="46"/>
      <c r="J83" s="245"/>
      <c r="K83" s="46"/>
      <c r="L83" s="46"/>
      <c r="M83" s="245"/>
      <c r="N83" s="46"/>
    </row>
    <row r="84" spans="2:15" x14ac:dyDescent="0.3">
      <c r="C84" s="46"/>
      <c r="D84" s="46"/>
      <c r="E84" s="46"/>
      <c r="F84" s="46"/>
      <c r="H84" s="46"/>
      <c r="I84" s="46"/>
      <c r="J84" s="245"/>
      <c r="K84" s="46"/>
      <c r="L84" s="46"/>
      <c r="M84" s="245"/>
      <c r="N84" s="46"/>
    </row>
    <row r="85" spans="2:15" x14ac:dyDescent="0.3">
      <c r="C85" s="46"/>
      <c r="D85" s="46"/>
      <c r="E85" s="46"/>
      <c r="F85" s="46"/>
      <c r="H85" s="46"/>
      <c r="I85" s="46"/>
      <c r="J85" s="245"/>
      <c r="K85" s="46"/>
      <c r="L85" s="46"/>
      <c r="M85" s="245"/>
      <c r="N85" s="46"/>
    </row>
    <row r="86" spans="2:15" x14ac:dyDescent="0.3">
      <c r="C86" s="46"/>
      <c r="D86" s="46"/>
      <c r="E86" s="46"/>
      <c r="F86" s="46"/>
      <c r="H86" s="46"/>
      <c r="I86" s="46"/>
      <c r="J86" s="245"/>
      <c r="K86" s="46"/>
      <c r="L86" s="46"/>
      <c r="M86" s="245"/>
      <c r="N86" s="46"/>
    </row>
    <row r="87" spans="2:15" x14ac:dyDescent="0.3">
      <c r="C87" s="46">
        <f>C85-B82</f>
        <v>0</v>
      </c>
      <c r="D87" s="46"/>
      <c r="E87" s="46"/>
      <c r="F87" s="46"/>
      <c r="H87" s="46"/>
      <c r="I87" s="46"/>
      <c r="J87" s="245"/>
      <c r="K87" s="46"/>
      <c r="L87" s="46"/>
      <c r="M87" s="245"/>
      <c r="N87" s="46"/>
    </row>
    <row r="88" spans="2:15" x14ac:dyDescent="0.3">
      <c r="C88" s="46"/>
      <c r="D88" s="46"/>
      <c r="E88" s="46"/>
      <c r="F88" s="46"/>
      <c r="H88" s="46"/>
      <c r="I88" s="46"/>
      <c r="J88" s="245"/>
      <c r="K88" s="46"/>
      <c r="L88" s="46"/>
      <c r="M88" s="245"/>
      <c r="N88" s="46"/>
    </row>
    <row r="89" spans="2:15" x14ac:dyDescent="0.3">
      <c r="C89" s="46"/>
      <c r="D89" s="46"/>
      <c r="E89" s="46"/>
      <c r="F89" s="46"/>
      <c r="H89" s="46"/>
      <c r="I89" s="46"/>
      <c r="J89" s="245"/>
      <c r="K89" s="46"/>
      <c r="L89" s="46"/>
      <c r="M89" s="245"/>
      <c r="N89" s="46"/>
    </row>
    <row r="90" spans="2:15" x14ac:dyDescent="0.3">
      <c r="C90" s="46"/>
      <c r="D90" s="46"/>
      <c r="E90" s="46"/>
      <c r="F90" s="46"/>
      <c r="H90" s="46"/>
      <c r="I90" s="46"/>
      <c r="J90" s="245"/>
      <c r="K90" s="46"/>
      <c r="L90" s="46"/>
      <c r="M90" s="245"/>
      <c r="N90" s="46"/>
    </row>
    <row r="91" spans="2:15" x14ac:dyDescent="0.3">
      <c r="C91" s="46"/>
      <c r="D91" s="46"/>
      <c r="E91" s="46"/>
      <c r="F91" s="46"/>
      <c r="H91" s="46"/>
      <c r="I91" s="46"/>
      <c r="J91" s="245"/>
      <c r="K91" s="46"/>
      <c r="L91" s="46"/>
      <c r="M91" s="245"/>
      <c r="N91" s="46"/>
    </row>
    <row r="92" spans="2:15" x14ac:dyDescent="0.3">
      <c r="C92" s="46"/>
      <c r="D92" s="46"/>
      <c r="E92" s="46"/>
      <c r="F92" s="46"/>
      <c r="H92" s="46"/>
      <c r="I92" s="46"/>
      <c r="J92" s="245"/>
      <c r="K92" s="46"/>
      <c r="L92" s="46"/>
      <c r="M92" s="245"/>
      <c r="N92" s="46"/>
    </row>
    <row r="93" spans="2:15" x14ac:dyDescent="0.3">
      <c r="C93" s="46"/>
      <c r="D93" s="46"/>
      <c r="E93" s="46"/>
      <c r="F93" s="46"/>
      <c r="H93" s="46"/>
      <c r="I93" s="46"/>
      <c r="J93" s="245"/>
      <c r="K93" s="46"/>
      <c r="L93" s="46"/>
      <c r="M93" s="245"/>
      <c r="N93" s="46"/>
    </row>
    <row r="94" spans="2:15" x14ac:dyDescent="0.3">
      <c r="C94" s="46"/>
      <c r="D94" s="46"/>
      <c r="E94" s="46"/>
      <c r="F94" s="46"/>
      <c r="H94" s="46"/>
      <c r="I94" s="46"/>
      <c r="J94" s="245"/>
      <c r="K94" s="46"/>
      <c r="L94" s="46"/>
      <c r="M94" s="245"/>
      <c r="N94" s="46"/>
    </row>
    <row r="95" spans="2:15" x14ac:dyDescent="0.3">
      <c r="C95" s="46"/>
      <c r="D95" s="46"/>
      <c r="E95" s="46"/>
      <c r="F95" s="46"/>
      <c r="H95" s="46"/>
      <c r="I95" s="46"/>
      <c r="J95" s="245"/>
      <c r="K95" s="46"/>
      <c r="L95" s="46"/>
      <c r="M95" s="245"/>
      <c r="N95" s="46"/>
    </row>
    <row r="96" spans="2:15" x14ac:dyDescent="0.3">
      <c r="C96" s="46"/>
      <c r="D96" s="46"/>
      <c r="E96" s="46"/>
      <c r="F96" s="46"/>
      <c r="H96" s="46"/>
      <c r="I96" s="46"/>
      <c r="J96" s="245"/>
      <c r="K96" s="46"/>
      <c r="L96" s="46"/>
      <c r="M96" s="245"/>
      <c r="N96" s="46"/>
    </row>
  </sheetData>
  <mergeCells count="41">
    <mergeCell ref="A80:D80"/>
    <mergeCell ref="B23:B24"/>
    <mergeCell ref="A23:A24"/>
    <mergeCell ref="A70:D70"/>
    <mergeCell ref="A73:A74"/>
    <mergeCell ref="B73:B74"/>
    <mergeCell ref="A41:D41"/>
    <mergeCell ref="A42:D42"/>
    <mergeCell ref="B27:B30"/>
    <mergeCell ref="A34:A35"/>
    <mergeCell ref="A31:D31"/>
    <mergeCell ref="A32:A33"/>
    <mergeCell ref="B34:B35"/>
    <mergeCell ref="B36:B38"/>
    <mergeCell ref="A78:D78"/>
    <mergeCell ref="B32:B33"/>
    <mergeCell ref="K4:M4"/>
    <mergeCell ref="B25:B26"/>
    <mergeCell ref="A17:A19"/>
    <mergeCell ref="A36:A38"/>
    <mergeCell ref="A54:A55"/>
    <mergeCell ref="B20:B22"/>
    <mergeCell ref="A27:A30"/>
    <mergeCell ref="B17:B19"/>
    <mergeCell ref="A20:A22"/>
    <mergeCell ref="A1:O1"/>
    <mergeCell ref="A2:O2"/>
    <mergeCell ref="A3:O3"/>
    <mergeCell ref="A13:A15"/>
    <mergeCell ref="A76:B77"/>
    <mergeCell ref="E4:G4"/>
    <mergeCell ref="H4:J4"/>
    <mergeCell ref="B54:B55"/>
    <mergeCell ref="A39:A40"/>
    <mergeCell ref="B39:B40"/>
    <mergeCell ref="A6:D6"/>
    <mergeCell ref="A7:D7"/>
    <mergeCell ref="A8:A10"/>
    <mergeCell ref="B8:B10"/>
    <mergeCell ref="A75:D75"/>
    <mergeCell ref="A25:A26"/>
  </mergeCells>
  <pageMargins left="0.7" right="0.7" top="0.75" bottom="0.75" header="0.3" footer="0.3"/>
  <pageSetup scale="52"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17"/>
  <sheetViews>
    <sheetView tabSelected="1" topLeftCell="M3" workbookViewId="0">
      <selection activeCell="AA5" sqref="AA5:AA11"/>
    </sheetView>
  </sheetViews>
  <sheetFormatPr defaultColWidth="8.6640625" defaultRowHeight="14.4" x14ac:dyDescent="0.3"/>
  <cols>
    <col min="1" max="1" width="1.5546875" customWidth="1"/>
    <col min="2" max="2" width="31.44140625" customWidth="1"/>
    <col min="3" max="3" width="12.33203125" customWidth="1"/>
    <col min="4" max="4" width="11.5546875" customWidth="1"/>
    <col min="5" max="5" width="11.44140625" bestFit="1" customWidth="1"/>
    <col min="6" max="6" width="9.6640625" bestFit="1" customWidth="1"/>
    <col min="7" max="7" width="10.6640625" bestFit="1" customWidth="1"/>
    <col min="8" max="8" width="6" customWidth="1"/>
    <col min="9" max="9" width="10.88671875" bestFit="1" customWidth="1"/>
    <col min="10" max="10" width="12.88671875" customWidth="1"/>
    <col min="11" max="11" width="13.5546875" customWidth="1"/>
    <col min="12" max="12" width="11.109375" customWidth="1"/>
    <col min="13" max="13" width="12.44140625" customWidth="1"/>
    <col min="14" max="14" width="5.33203125" customWidth="1"/>
    <col min="15" max="15" width="11.6640625" bestFit="1" customWidth="1"/>
    <col min="16" max="16" width="10.6640625" bestFit="1" customWidth="1"/>
    <col min="17" max="17" width="13.6640625" customWidth="1"/>
    <col min="18" max="18" width="11" customWidth="1"/>
    <col min="19" max="19" width="9.6640625" customWidth="1"/>
    <col min="20" max="20" width="6.88671875" customWidth="1"/>
    <col min="21" max="21" width="12.6640625" customWidth="1"/>
    <col min="22" max="23" width="13.33203125" customWidth="1"/>
    <col min="24" max="24" width="12.44140625" customWidth="1"/>
    <col min="25" max="25" width="14" customWidth="1"/>
    <col min="26" max="26" width="6.109375" customWidth="1"/>
    <col min="27" max="27" width="24.6640625" customWidth="1"/>
  </cols>
  <sheetData>
    <row r="1" spans="2:27" ht="18" x14ac:dyDescent="0.35">
      <c r="B1" s="7" t="s">
        <v>20</v>
      </c>
      <c r="C1" s="7"/>
      <c r="D1" s="7"/>
      <c r="E1" s="7"/>
      <c r="F1" s="7"/>
      <c r="G1" s="7"/>
      <c r="H1" s="7"/>
      <c r="I1" s="7"/>
      <c r="J1" s="8"/>
      <c r="K1" s="8"/>
      <c r="L1" s="8"/>
      <c r="M1" s="8"/>
      <c r="N1" s="8"/>
      <c r="O1" s="8"/>
      <c r="P1" s="8"/>
      <c r="Q1" s="8"/>
      <c r="R1" s="8"/>
      <c r="S1" s="8"/>
      <c r="T1" s="8"/>
      <c r="U1" s="8"/>
      <c r="V1" s="8"/>
      <c r="W1" s="8"/>
    </row>
    <row r="2" spans="2:27" ht="15" thickBot="1" x14ac:dyDescent="0.35"/>
    <row r="3" spans="2:27" ht="24.75" customHeight="1" thickBot="1" x14ac:dyDescent="0.35">
      <c r="B3" s="444" t="s">
        <v>2</v>
      </c>
      <c r="C3" s="456" t="s">
        <v>21</v>
      </c>
      <c r="D3" s="457"/>
      <c r="E3" s="457"/>
      <c r="F3" s="457"/>
      <c r="G3" s="457"/>
      <c r="H3" s="458"/>
      <c r="I3" s="456" t="s">
        <v>22</v>
      </c>
      <c r="J3" s="457"/>
      <c r="K3" s="457"/>
      <c r="L3" s="457"/>
      <c r="M3" s="457"/>
      <c r="N3" s="458"/>
      <c r="O3" s="457" t="s">
        <v>26</v>
      </c>
      <c r="P3" s="457"/>
      <c r="Q3" s="457"/>
      <c r="R3" s="457"/>
      <c r="S3" s="457"/>
      <c r="T3" s="458"/>
      <c r="U3" s="448" t="s">
        <v>15</v>
      </c>
      <c r="V3" s="446" t="s">
        <v>17</v>
      </c>
      <c r="W3" s="446" t="s">
        <v>16</v>
      </c>
      <c r="X3" s="450" t="s">
        <v>163</v>
      </c>
      <c r="Y3" s="450" t="s">
        <v>164</v>
      </c>
      <c r="Z3" s="452" t="s">
        <v>165</v>
      </c>
      <c r="AA3" s="454" t="s">
        <v>166</v>
      </c>
    </row>
    <row r="4" spans="2:27" ht="33" customHeight="1" thickBot="1" x14ac:dyDescent="0.35">
      <c r="B4" s="445"/>
      <c r="C4" s="228" t="s">
        <v>4</v>
      </c>
      <c r="D4" s="229" t="s">
        <v>5</v>
      </c>
      <c r="E4" s="230" t="s">
        <v>162</v>
      </c>
      <c r="F4" s="230" t="s">
        <v>167</v>
      </c>
      <c r="G4" s="230" t="s">
        <v>168</v>
      </c>
      <c r="H4" s="231" t="s">
        <v>169</v>
      </c>
      <c r="I4" s="228" t="s">
        <v>4</v>
      </c>
      <c r="J4" s="229" t="s">
        <v>5</v>
      </c>
      <c r="K4" s="230" t="s">
        <v>162</v>
      </c>
      <c r="L4" s="230" t="s">
        <v>167</v>
      </c>
      <c r="M4" s="230" t="s">
        <v>168</v>
      </c>
      <c r="N4" s="232" t="s">
        <v>169</v>
      </c>
      <c r="O4" s="233" t="s">
        <v>4</v>
      </c>
      <c r="P4" s="229" t="s">
        <v>5</v>
      </c>
      <c r="Q4" s="230" t="s">
        <v>162</v>
      </c>
      <c r="R4" s="230" t="s">
        <v>167</v>
      </c>
      <c r="S4" s="230" t="s">
        <v>168</v>
      </c>
      <c r="T4" s="231" t="s">
        <v>169</v>
      </c>
      <c r="U4" s="449"/>
      <c r="V4" s="447"/>
      <c r="W4" s="447"/>
      <c r="X4" s="451"/>
      <c r="Y4" s="451"/>
      <c r="Z4" s="453"/>
      <c r="AA4" s="455"/>
    </row>
    <row r="5" spans="2:27" x14ac:dyDescent="0.3">
      <c r="B5" s="66" t="s">
        <v>6</v>
      </c>
      <c r="C5" s="77">
        <v>0</v>
      </c>
      <c r="D5" s="78">
        <v>0</v>
      </c>
      <c r="E5" s="78">
        <v>0</v>
      </c>
      <c r="F5" s="78">
        <v>0</v>
      </c>
      <c r="G5" s="78">
        <v>0</v>
      </c>
      <c r="H5" s="87">
        <v>0</v>
      </c>
      <c r="I5" s="79"/>
      <c r="J5" s="80"/>
      <c r="K5" s="80"/>
      <c r="L5" s="80"/>
      <c r="M5" s="80"/>
      <c r="N5" s="88">
        <v>0</v>
      </c>
      <c r="O5" s="81">
        <f>Q5*0.7</f>
        <v>57873.2</v>
      </c>
      <c r="P5" s="82">
        <f>Q5*0.3</f>
        <v>24802.799999999999</v>
      </c>
      <c r="Q5" s="82">
        <f>+Activity!K76</f>
        <v>82676</v>
      </c>
      <c r="R5" s="82">
        <v>17011.11</v>
      </c>
      <c r="S5" s="82"/>
      <c r="T5" s="198">
        <f>(R5+S5)/O5</f>
        <v>0.29393760842669842</v>
      </c>
      <c r="U5" s="83">
        <f>O5</f>
        <v>57873.2</v>
      </c>
      <c r="V5" s="84">
        <f>P5</f>
        <v>24802.799999999999</v>
      </c>
      <c r="W5" s="84">
        <f>V5+U5</f>
        <v>82676</v>
      </c>
      <c r="X5" s="200">
        <f>F5+L5+R5</f>
        <v>17011.11</v>
      </c>
      <c r="Y5" s="200">
        <f>G5+M5+S5</f>
        <v>0</v>
      </c>
      <c r="Z5" s="89">
        <f>(X5+Y5)/U5</f>
        <v>0.29393760842669842</v>
      </c>
      <c r="AA5" s="441" t="s">
        <v>182</v>
      </c>
    </row>
    <row r="6" spans="2:27" x14ac:dyDescent="0.3">
      <c r="B6" s="67" t="s">
        <v>7</v>
      </c>
      <c r="C6" s="69">
        <f>E6*0.7</f>
        <v>11165</v>
      </c>
      <c r="D6" s="70">
        <f>E6*0.3</f>
        <v>4785</v>
      </c>
      <c r="E6" s="70">
        <f>+Activity!E52+Activity!E45+Activity!E28</f>
        <v>15950</v>
      </c>
      <c r="F6" s="70"/>
      <c r="G6" s="70">
        <f>8301+1200</f>
        <v>9501</v>
      </c>
      <c r="H6" s="87">
        <f t="shared" ref="H6:H13" si="0">(F6+G6)/C6</f>
        <v>0.8509628302731751</v>
      </c>
      <c r="I6" s="72">
        <f>K6*0.7</f>
        <v>0</v>
      </c>
      <c r="J6" s="85">
        <f>K6*0.3</f>
        <v>0</v>
      </c>
      <c r="K6" s="71"/>
      <c r="L6" s="71"/>
      <c r="M6" s="71"/>
      <c r="N6" s="88">
        <v>0</v>
      </c>
      <c r="O6" s="74">
        <f>Q6*0.7</f>
        <v>35700</v>
      </c>
      <c r="P6" s="73">
        <f>Q6*0.3</f>
        <v>15300</v>
      </c>
      <c r="Q6" s="73">
        <f>+Activity!K24+Activity!K37+Activity!K40+Activity!K54</f>
        <v>51000</v>
      </c>
      <c r="R6" s="73"/>
      <c r="S6" s="73"/>
      <c r="T6" s="198">
        <f t="shared" ref="T6:T7" si="1">(R6+S6)/O6</f>
        <v>0</v>
      </c>
      <c r="U6" s="75">
        <f>O6+I6+C6</f>
        <v>46865</v>
      </c>
      <c r="V6" s="76">
        <f>P6+J6+D6</f>
        <v>20085</v>
      </c>
      <c r="W6" s="76">
        <f t="shared" ref="W6:W11" si="2">V6+U6</f>
        <v>66950</v>
      </c>
      <c r="X6" s="200">
        <f t="shared" ref="X6:X14" si="3">F6+L6+R6</f>
        <v>0</v>
      </c>
      <c r="Y6" s="200">
        <f t="shared" ref="Y6:Y14" si="4">G6+M6+S6</f>
        <v>9501</v>
      </c>
      <c r="Z6" s="89">
        <f t="shared" ref="Z6:Z14" si="5">(X6+Y6)/U6</f>
        <v>0.20273124933319109</v>
      </c>
      <c r="AA6" s="442"/>
    </row>
    <row r="7" spans="2:27" ht="27.6" x14ac:dyDescent="0.3">
      <c r="B7" s="67" t="s">
        <v>8</v>
      </c>
      <c r="C7" s="69">
        <f>E7*0.7</f>
        <v>7000</v>
      </c>
      <c r="D7" s="70">
        <f>E7*0.3</f>
        <v>3000</v>
      </c>
      <c r="E7" s="70">
        <f>Activity!E53</f>
        <v>10000</v>
      </c>
      <c r="F7" s="70"/>
      <c r="G7" s="70"/>
      <c r="H7" s="87">
        <f t="shared" si="0"/>
        <v>0</v>
      </c>
      <c r="I7" s="72"/>
      <c r="J7" s="71"/>
      <c r="K7" s="71"/>
      <c r="L7" s="71"/>
      <c r="M7" s="71"/>
      <c r="N7" s="88">
        <v>0</v>
      </c>
      <c r="O7" s="74"/>
      <c r="P7" s="73"/>
      <c r="Q7" s="73"/>
      <c r="R7" s="73">
        <v>1340.67</v>
      </c>
      <c r="S7" s="73"/>
      <c r="T7" s="198" t="e">
        <f t="shared" si="1"/>
        <v>#DIV/0!</v>
      </c>
      <c r="U7" s="75">
        <f>O7+I7+C7</f>
        <v>7000</v>
      </c>
      <c r="V7" s="76">
        <f t="shared" ref="V7:V11" si="6">P7+J7+D7</f>
        <v>3000</v>
      </c>
      <c r="W7" s="76">
        <f t="shared" si="2"/>
        <v>10000</v>
      </c>
      <c r="X7" s="200">
        <f t="shared" si="3"/>
        <v>1340.67</v>
      </c>
      <c r="Y7" s="200">
        <f t="shared" si="4"/>
        <v>0</v>
      </c>
      <c r="Z7" s="89">
        <f t="shared" si="5"/>
        <v>0.19152428571428573</v>
      </c>
      <c r="AA7" s="442"/>
    </row>
    <row r="8" spans="2:27" ht="20.25" customHeight="1" x14ac:dyDescent="0.3">
      <c r="B8" s="67" t="s">
        <v>9</v>
      </c>
      <c r="C8" s="69">
        <f>E8*0.7</f>
        <v>245825.99999999997</v>
      </c>
      <c r="D8" s="70">
        <f>E8*0.3</f>
        <v>105354</v>
      </c>
      <c r="E8" s="70">
        <f>+Activity!E73+Activity!E51+Activity!E49+Activity!E48+Activity!E47+Activity!E46+Activity!E43+Activity!E29+Activity!E27+Activity!E26+Activity!E25+Activity!E22+Activity!E21+Activity!E19+Activity!E18+Activity!E16+Activity!E14+Activity!E13</f>
        <v>351180</v>
      </c>
      <c r="F8" s="70">
        <v>9617.08</v>
      </c>
      <c r="G8" s="70">
        <v>136750</v>
      </c>
      <c r="H8" s="87">
        <f t="shared" si="0"/>
        <v>0.59540927322577764</v>
      </c>
      <c r="I8" s="72">
        <f>K8*0.7</f>
        <v>217131.59999999998</v>
      </c>
      <c r="J8" s="71">
        <f>K8*0.3</f>
        <v>93056.4</v>
      </c>
      <c r="K8" s="71">
        <f>+Activity!H69+Activity!H67+Activity!H61+Activity!H60+Activity!H59+Activity!H57+Activity!H8+Activity!H60+Activity!H67-100000</f>
        <v>310188</v>
      </c>
      <c r="L8" s="71">
        <v>7065</v>
      </c>
      <c r="M8" s="71">
        <v>125435</v>
      </c>
      <c r="N8" s="88">
        <f t="shared" ref="N8:N14" si="7">(L8+M8)/I8</f>
        <v>0.6102290039773115</v>
      </c>
      <c r="O8" s="74">
        <f>Q8*0.7</f>
        <v>107530.84999999999</v>
      </c>
      <c r="P8" s="73">
        <f>Q8*0.3</f>
        <v>46084.65</v>
      </c>
      <c r="Q8" s="73">
        <f>+Activity!K23+Activity!K36+Activity!K39+Activity!K55+Activity!K71</f>
        <v>153615.5</v>
      </c>
      <c r="R8" s="73">
        <v>76843.289999999994</v>
      </c>
      <c r="S8" s="73">
        <v>43533</v>
      </c>
      <c r="T8" s="198">
        <f t="shared" ref="T8:T14" si="8">(R8+S8)/O8</f>
        <v>1.1194581833957418</v>
      </c>
      <c r="U8" s="75">
        <f t="shared" ref="U8:U10" si="9">O8+I8+C8</f>
        <v>570488.44999999995</v>
      </c>
      <c r="V8" s="76">
        <f t="shared" si="6"/>
        <v>244495.05</v>
      </c>
      <c r="W8" s="76">
        <f t="shared" si="2"/>
        <v>814983.5</v>
      </c>
      <c r="X8" s="200">
        <f t="shared" si="3"/>
        <v>93525.37</v>
      </c>
      <c r="Y8" s="200">
        <f t="shared" si="4"/>
        <v>305718</v>
      </c>
      <c r="Z8" s="89">
        <f t="shared" si="5"/>
        <v>0.69982726205938095</v>
      </c>
      <c r="AA8" s="442"/>
    </row>
    <row r="9" spans="2:27" s="18" customFormat="1" ht="20.25" customHeight="1" x14ac:dyDescent="0.3">
      <c r="B9" s="68" t="s">
        <v>10</v>
      </c>
      <c r="C9" s="69">
        <f>E9*0.7</f>
        <v>79800</v>
      </c>
      <c r="D9" s="70">
        <f>E9*0.3</f>
        <v>34200</v>
      </c>
      <c r="E9" s="70">
        <f>+Activity!E15+Activity!E17+Activity!E20+Activity!E30+Activity!E44+Activity!E50+Activity!E72+Activity!E74</f>
        <v>114000</v>
      </c>
      <c r="F9" s="70">
        <v>14055</v>
      </c>
      <c r="G9" s="70">
        <f>2200</f>
        <v>2200</v>
      </c>
      <c r="H9" s="87">
        <f t="shared" si="0"/>
        <v>0.2036967418546366</v>
      </c>
      <c r="I9" s="72">
        <f>K9*0.7</f>
        <v>159303.06699999998</v>
      </c>
      <c r="J9" s="71">
        <f>K9*0.3</f>
        <v>68272.743000000002</v>
      </c>
      <c r="K9" s="71">
        <f>+Activity!H72+Activity!H68+Activity!H66+Activity!H64+Activity!H62+Activity!H58+Activity!H11+Activity!H10+Activity!H9+Activity!H66</f>
        <v>227575.81</v>
      </c>
      <c r="L9" s="71">
        <v>1275</v>
      </c>
      <c r="M9" s="71"/>
      <c r="N9" s="88">
        <f t="shared" si="7"/>
        <v>8.0036123849392057E-3</v>
      </c>
      <c r="O9" s="74">
        <f>Q9*0.7</f>
        <v>17654</v>
      </c>
      <c r="P9" s="73">
        <f>Q9*0.3</f>
        <v>7566</v>
      </c>
      <c r="Q9" s="73">
        <f>+Activity!K33+Activity!K35+Activity!K38</f>
        <v>25220</v>
      </c>
      <c r="R9" s="73">
        <v>42341.8</v>
      </c>
      <c r="S9" s="73"/>
      <c r="T9" s="362">
        <f t="shared" si="8"/>
        <v>2.3984252860541524</v>
      </c>
      <c r="U9" s="75">
        <f t="shared" si="9"/>
        <v>256757.06699999998</v>
      </c>
      <c r="V9" s="76">
        <f t="shared" si="6"/>
        <v>110038.743</v>
      </c>
      <c r="W9" s="76">
        <f t="shared" si="2"/>
        <v>366795.81</v>
      </c>
      <c r="X9" s="200">
        <f t="shared" si="3"/>
        <v>57671.8</v>
      </c>
      <c r="Y9" s="200">
        <f t="shared" si="4"/>
        <v>2200</v>
      </c>
      <c r="Z9" s="89">
        <f t="shared" si="5"/>
        <v>0.23318462350249547</v>
      </c>
      <c r="AA9" s="442"/>
    </row>
    <row r="10" spans="2:27" ht="27.6" x14ac:dyDescent="0.3">
      <c r="B10" s="67" t="s">
        <v>11</v>
      </c>
      <c r="C10" s="69">
        <v>0</v>
      </c>
      <c r="D10" s="70">
        <v>0</v>
      </c>
      <c r="E10" s="70">
        <v>0</v>
      </c>
      <c r="F10" s="70">
        <v>0</v>
      </c>
      <c r="G10" s="70">
        <v>0</v>
      </c>
      <c r="H10" s="87">
        <v>0</v>
      </c>
      <c r="I10" s="72">
        <f>K10*0.7</f>
        <v>28909.999999999996</v>
      </c>
      <c r="J10" s="71">
        <f>K10*0.3</f>
        <v>12390</v>
      </c>
      <c r="K10" s="71">
        <f>+Activity!H12+Activity!H63+Activity!H65</f>
        <v>41300</v>
      </c>
      <c r="L10" s="71">
        <v>121906</v>
      </c>
      <c r="M10" s="71"/>
      <c r="N10" s="361">
        <f t="shared" si="7"/>
        <v>4.2167416118989971</v>
      </c>
      <c r="O10" s="74">
        <f>Q10*0.7</f>
        <v>48720</v>
      </c>
      <c r="P10" s="73">
        <f>Q10*0.3</f>
        <v>20880</v>
      </c>
      <c r="Q10" s="73">
        <f>+Activity!K32+Activity!K34</f>
        <v>69600</v>
      </c>
      <c r="R10" s="73">
        <v>69600</v>
      </c>
      <c r="S10" s="73"/>
      <c r="T10" s="362">
        <f t="shared" si="8"/>
        <v>1.4285714285714286</v>
      </c>
      <c r="U10" s="75">
        <f t="shared" si="9"/>
        <v>77630</v>
      </c>
      <c r="V10" s="76">
        <f t="shared" si="6"/>
        <v>33270</v>
      </c>
      <c r="W10" s="76">
        <f t="shared" si="2"/>
        <v>110900</v>
      </c>
      <c r="X10" s="200">
        <f t="shared" si="3"/>
        <v>191506</v>
      </c>
      <c r="Y10" s="200">
        <f t="shared" si="4"/>
        <v>0</v>
      </c>
      <c r="Z10" s="89">
        <f t="shared" si="5"/>
        <v>2.4669071235347158</v>
      </c>
      <c r="AA10" s="442"/>
    </row>
    <row r="11" spans="2:27" ht="28.2" thickBot="1" x14ac:dyDescent="0.35">
      <c r="B11" s="213" t="s">
        <v>12</v>
      </c>
      <c r="C11" s="214">
        <f>E11*0.7</f>
        <v>10515.4</v>
      </c>
      <c r="D11" s="201">
        <f>E11*0.3</f>
        <v>4506.5999999999995</v>
      </c>
      <c r="E11" s="201">
        <f>+Activity!E77</f>
        <v>15022</v>
      </c>
      <c r="F11" s="201">
        <v>149.22</v>
      </c>
      <c r="G11" s="201">
        <f>50906.78-32000-8301-1200</f>
        <v>9405.7799999999988</v>
      </c>
      <c r="H11" s="202">
        <f t="shared" si="0"/>
        <v>0.90866728797763263</v>
      </c>
      <c r="I11" s="203">
        <f>K11*0.7</f>
        <v>10500</v>
      </c>
      <c r="J11" s="204">
        <f>K11*0.3</f>
        <v>4500</v>
      </c>
      <c r="K11" s="204">
        <f>Activity!H77</f>
        <v>15000</v>
      </c>
      <c r="L11" s="204"/>
      <c r="M11" s="204"/>
      <c r="N11" s="205">
        <f t="shared" si="7"/>
        <v>0</v>
      </c>
      <c r="O11" s="206">
        <f>Activity!K77*0.7</f>
        <v>9100</v>
      </c>
      <c r="P11" s="207">
        <f>Q11*0.3</f>
        <v>3900</v>
      </c>
      <c r="Q11" s="207">
        <f>+Activity!K77</f>
        <v>13000</v>
      </c>
      <c r="R11" s="207">
        <v>29752.52</v>
      </c>
      <c r="S11" s="207"/>
      <c r="T11" s="363">
        <f t="shared" si="8"/>
        <v>3.2695076923076924</v>
      </c>
      <c r="U11" s="209">
        <f>O11+I11+C11</f>
        <v>30115.4</v>
      </c>
      <c r="V11" s="210">
        <f t="shared" si="6"/>
        <v>12906.599999999999</v>
      </c>
      <c r="W11" s="210">
        <f t="shared" si="2"/>
        <v>43022</v>
      </c>
      <c r="X11" s="211">
        <f t="shared" si="3"/>
        <v>29901.74</v>
      </c>
      <c r="Y11" s="211">
        <f t="shared" si="4"/>
        <v>9405.7799999999988</v>
      </c>
      <c r="Z11" s="212">
        <f t="shared" si="5"/>
        <v>1.3052298823857562</v>
      </c>
      <c r="AA11" s="443"/>
    </row>
    <row r="12" spans="2:27" s="86" customFormat="1" ht="15" thickBot="1" x14ac:dyDescent="0.35">
      <c r="B12" s="234" t="s">
        <v>13</v>
      </c>
      <c r="C12" s="235">
        <f>SUM(C5:C11)</f>
        <v>354306.4</v>
      </c>
      <c r="D12" s="236">
        <f>SUM(D5:D11)</f>
        <v>151845.6</v>
      </c>
      <c r="E12" s="236">
        <f>SUM(E5:E11)</f>
        <v>506152</v>
      </c>
      <c r="F12" s="236">
        <f t="shared" ref="F12:G12" si="10">SUM(F5:F11)</f>
        <v>23821.300000000003</v>
      </c>
      <c r="G12" s="236">
        <f t="shared" si="10"/>
        <v>157856.78</v>
      </c>
      <c r="H12" s="357">
        <f t="shared" si="0"/>
        <v>0.51277109304263202</v>
      </c>
      <c r="I12" s="235">
        <f>SUM(I5:I11)</f>
        <v>415844.66699999996</v>
      </c>
      <c r="J12" s="236">
        <f>SUM(J5:J11)</f>
        <v>178219.14299999998</v>
      </c>
      <c r="K12" s="236">
        <f t="shared" ref="K12:P12" si="11">SUM(K5:K11)</f>
        <v>594063.81000000006</v>
      </c>
      <c r="L12" s="236">
        <f t="shared" si="11"/>
        <v>130246</v>
      </c>
      <c r="M12" s="236">
        <f t="shared" si="11"/>
        <v>125435</v>
      </c>
      <c r="N12" s="358">
        <f t="shared" si="7"/>
        <v>0.61484737040044812</v>
      </c>
      <c r="O12" s="237">
        <f t="shared" si="11"/>
        <v>276578.05</v>
      </c>
      <c r="P12" s="236">
        <f t="shared" si="11"/>
        <v>118533.45000000001</v>
      </c>
      <c r="Q12" s="236">
        <f>SUM(Q5:Q11)</f>
        <v>395111.5</v>
      </c>
      <c r="R12" s="236">
        <f t="shared" ref="R12:S12" si="12">SUM(R5:R11)</f>
        <v>236889.38999999998</v>
      </c>
      <c r="S12" s="236">
        <f t="shared" si="12"/>
        <v>43533</v>
      </c>
      <c r="T12" s="357">
        <f t="shared" si="8"/>
        <v>1.0138996568961276</v>
      </c>
      <c r="U12" s="235">
        <f>O12+I12+C12</f>
        <v>1046729.117</v>
      </c>
      <c r="V12" s="236">
        <f>P12+J12+D12</f>
        <v>448598.19299999997</v>
      </c>
      <c r="W12" s="236">
        <f>SUM(W5:W11)</f>
        <v>1495327.31</v>
      </c>
      <c r="X12" s="359">
        <f t="shared" si="3"/>
        <v>390956.68999999994</v>
      </c>
      <c r="Y12" s="359">
        <f t="shared" si="4"/>
        <v>326824.78000000003</v>
      </c>
      <c r="Z12" s="360">
        <f t="shared" si="5"/>
        <v>0.68573755935748948</v>
      </c>
      <c r="AA12" s="238"/>
    </row>
    <row r="13" spans="2:27" ht="15" thickBot="1" x14ac:dyDescent="0.35">
      <c r="B13" s="66" t="s">
        <v>14</v>
      </c>
      <c r="C13" s="77">
        <f>E13*0.7</f>
        <v>24801.447999999997</v>
      </c>
      <c r="D13" s="78">
        <f>E13*0.3</f>
        <v>10629.191999999999</v>
      </c>
      <c r="E13" s="215">
        <f>+Activity!E79</f>
        <v>35430.639999999999</v>
      </c>
      <c r="F13" s="215">
        <f>SUM(F5:G11)*0.07</f>
        <v>12717.465600000003</v>
      </c>
      <c r="G13" s="215">
        <f>SUM(G5:H11)*0.07</f>
        <v>11050.153711529334</v>
      </c>
      <c r="H13" s="202">
        <f t="shared" si="0"/>
        <v>0.95831579315567939</v>
      </c>
      <c r="I13" s="216">
        <f>K13*0.7</f>
        <v>29109.126689999997</v>
      </c>
      <c r="J13" s="217">
        <f>K13*0.3</f>
        <v>12475.340009999998</v>
      </c>
      <c r="K13" s="217">
        <f>Activity!H79</f>
        <v>41584.466699999997</v>
      </c>
      <c r="L13" s="217">
        <f>7/100*L12</f>
        <v>9117.2200000000012</v>
      </c>
      <c r="M13" s="217">
        <f>7/100*M12</f>
        <v>8780.4500000000007</v>
      </c>
      <c r="N13" s="205">
        <f>(L13+M13)/I13</f>
        <v>0.61484737040044823</v>
      </c>
      <c r="O13" s="218">
        <f>Q13*0.7</f>
        <v>19360.463499999998</v>
      </c>
      <c r="P13" s="219">
        <f>Q13*0.3</f>
        <v>8297.3415000000005</v>
      </c>
      <c r="Q13" s="219">
        <f>+Activity!K79</f>
        <v>27657.805</v>
      </c>
      <c r="R13" s="219">
        <f>7/100*R12</f>
        <v>16582.257300000001</v>
      </c>
      <c r="S13" s="219">
        <f>7/100*S12</f>
        <v>3047.3100000000004</v>
      </c>
      <c r="T13" s="208">
        <f t="shared" si="8"/>
        <v>1.0138996568961278</v>
      </c>
      <c r="U13" s="220">
        <f>C13+I13+O13</f>
        <v>73271.038189999992</v>
      </c>
      <c r="V13" s="221">
        <f>D13+J13+P13</f>
        <v>31401.873509999998</v>
      </c>
      <c r="W13" s="221">
        <f>U13+V13</f>
        <v>104672.9117</v>
      </c>
      <c r="X13" s="211">
        <f>F13+L13+R13</f>
        <v>38416.942900000009</v>
      </c>
      <c r="Y13" s="211">
        <f>G13+M13+S13</f>
        <v>22877.913711529338</v>
      </c>
      <c r="Z13" s="212">
        <f t="shared" si="5"/>
        <v>0.83654958528886869</v>
      </c>
      <c r="AA13" s="222"/>
    </row>
    <row r="14" spans="2:27" s="86" customFormat="1" ht="15" thickBot="1" x14ac:dyDescent="0.35">
      <c r="B14" s="239" t="s">
        <v>3</v>
      </c>
      <c r="C14" s="240">
        <f>C12+C13</f>
        <v>379107.848</v>
      </c>
      <c r="D14" s="241">
        <f>D13+D12</f>
        <v>162474.79200000002</v>
      </c>
      <c r="E14" s="235">
        <f>E13+E12</f>
        <v>541582.64</v>
      </c>
      <c r="F14" s="236">
        <f t="shared" ref="F14:G14" si="13">F13+F12</f>
        <v>36538.765600000006</v>
      </c>
      <c r="G14" s="236">
        <f t="shared" si="13"/>
        <v>168906.93371152933</v>
      </c>
      <c r="H14" s="242">
        <f>(F14+G14)/C14</f>
        <v>0.54191887716217724</v>
      </c>
      <c r="I14" s="235">
        <f>I13+I12</f>
        <v>444953.79368999996</v>
      </c>
      <c r="J14" s="236">
        <f>J13+J12</f>
        <v>190694.48300999997</v>
      </c>
      <c r="K14" s="236">
        <f>K12+K13</f>
        <v>635648.27670000005</v>
      </c>
      <c r="L14" s="236">
        <f>L12+L13</f>
        <v>139363.22</v>
      </c>
      <c r="M14" s="236">
        <f>M12+M13</f>
        <v>134215.45000000001</v>
      </c>
      <c r="N14" s="358">
        <f t="shared" si="7"/>
        <v>0.61484737040044823</v>
      </c>
      <c r="O14" s="237">
        <f>O13+O12</f>
        <v>295938.5135</v>
      </c>
      <c r="P14" s="236">
        <f>P13+P12</f>
        <v>126830.79150000001</v>
      </c>
      <c r="Q14" s="236">
        <f>Q12+Q13</f>
        <v>422769.30499999999</v>
      </c>
      <c r="R14" s="236">
        <f t="shared" ref="R14:S14" si="14">R12+R13</f>
        <v>253471.64729999998</v>
      </c>
      <c r="S14" s="236">
        <f t="shared" si="14"/>
        <v>46580.31</v>
      </c>
      <c r="T14" s="357">
        <f t="shared" si="8"/>
        <v>1.0138996568961276</v>
      </c>
      <c r="U14" s="235">
        <f>U13+U12</f>
        <v>1120000.1551899998</v>
      </c>
      <c r="V14" s="236">
        <f>+V13+V12</f>
        <v>480000.06650999998</v>
      </c>
      <c r="W14" s="236">
        <f>E14+K14+Q14</f>
        <v>1600000.2216999999</v>
      </c>
      <c r="X14" s="359">
        <f t="shared" si="3"/>
        <v>429373.63289999997</v>
      </c>
      <c r="Y14" s="359">
        <f t="shared" si="4"/>
        <v>349702.69371152931</v>
      </c>
      <c r="Z14" s="360">
        <f t="shared" si="5"/>
        <v>0.69560376666141155</v>
      </c>
      <c r="AA14" s="238"/>
    </row>
    <row r="15" spans="2:27" ht="15.6" x14ac:dyDescent="0.3">
      <c r="D15" s="16"/>
      <c r="E15" s="15"/>
      <c r="F15" s="15"/>
      <c r="G15" s="15"/>
      <c r="H15" s="15"/>
      <c r="I15" s="16"/>
      <c r="J15" s="17"/>
      <c r="K15" s="17"/>
      <c r="L15" s="17"/>
      <c r="M15" s="17"/>
      <c r="N15" s="17"/>
      <c r="O15" s="17"/>
      <c r="P15" s="17"/>
      <c r="Q15" s="16"/>
      <c r="R15" s="16"/>
      <c r="S15" s="16"/>
      <c r="T15" s="16"/>
      <c r="V15" s="6"/>
      <c r="W15" s="6"/>
    </row>
    <row r="16" spans="2:27" x14ac:dyDescent="0.3">
      <c r="E16" s="6"/>
      <c r="F16" s="45"/>
      <c r="G16" s="45"/>
      <c r="H16" s="45"/>
      <c r="O16" s="62"/>
      <c r="P16" s="62"/>
      <c r="Q16" s="45"/>
      <c r="R16" s="45"/>
      <c r="S16" s="45"/>
      <c r="T16" s="45"/>
      <c r="U16" s="45"/>
      <c r="V16" s="45"/>
      <c r="W16" s="6"/>
    </row>
    <row r="17" spans="11:23" x14ac:dyDescent="0.3">
      <c r="K17" s="45"/>
      <c r="L17" s="45"/>
      <c r="M17" s="45"/>
      <c r="N17" s="45"/>
      <c r="P17" s="45"/>
      <c r="Q17" s="199"/>
      <c r="W17" s="45"/>
    </row>
  </sheetData>
  <mergeCells count="12">
    <mergeCell ref="AA5:AA11"/>
    <mergeCell ref="B3:B4"/>
    <mergeCell ref="W3:W4"/>
    <mergeCell ref="U3:U4"/>
    <mergeCell ref="V3:V4"/>
    <mergeCell ref="X3:X4"/>
    <mergeCell ref="Y3:Y4"/>
    <mergeCell ref="Z3:Z4"/>
    <mergeCell ref="AA3:AA4"/>
    <mergeCell ref="C3:H3"/>
    <mergeCell ref="I3:N3"/>
    <mergeCell ref="O3:T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Activity</vt:lpstr>
      <vt:lpstr>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2018-12-21T11:25:30Z</cp:lastPrinted>
  <dcterms:created xsi:type="dcterms:W3CDTF">2017-11-15T21:17:43Z</dcterms:created>
  <dcterms:modified xsi:type="dcterms:W3CDTF">2019-11-28T10:39:43Z</dcterms:modified>
</cp:coreProperties>
</file>