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lphonse\Documents\PROJETS BPF\Rapports Annuels 2019 Portefeuille PBF Burundi\Rapports annuels 2019 Versions finales.Zip\UNFPA UNICEF UNESCO\"/>
    </mc:Choice>
  </mc:AlternateContent>
  <xr:revisionPtr revIDLastSave="0" documentId="8_{DAF608F7-DB9B-4DAA-9B92-E1B2335B6DA6}" xr6:coauthVersionLast="41" xr6:coauthVersionMax="41" xr10:uidLastSave="{00000000-0000-0000-0000-000000000000}"/>
  <bookViews>
    <workbookView xWindow="-120" yWindow="-120" windowWidth="20730" windowHeight="11160" xr2:uid="{00000000-000D-0000-FFFF-FFFF00000000}"/>
  </bookViews>
  <sheets>
    <sheet name="Budget Global" sheetId="1" r:id="rId1"/>
    <sheet name="Budget et Dépense par type" sheetId="3" r:id="rId2"/>
    <sheet name="BUDGET PAR TYPE" sheetId="2" r:id="rId3"/>
  </sheets>
  <definedNames>
    <definedName name="_xlnm.Print_Area" localSheetId="0">'Budget Global'!$A$1:$I$54</definedName>
    <definedName name="_xlnm.Print_Area" localSheetId="2">'BUDGET PAR TYPE'!$A$1:$H$19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3" l="1"/>
  <c r="D17" i="3" s="1"/>
  <c r="M14" i="3"/>
  <c r="L14" i="3"/>
  <c r="K14" i="3"/>
  <c r="G13" i="3"/>
  <c r="F13" i="3"/>
  <c r="E13" i="3"/>
  <c r="C13" i="3"/>
  <c r="B13" i="3"/>
  <c r="H12" i="3"/>
  <c r="E12" i="3"/>
  <c r="E14" i="3" s="1"/>
  <c r="C11" i="3"/>
  <c r="I11" i="3" s="1"/>
  <c r="B11" i="3"/>
  <c r="H11" i="3" s="1"/>
  <c r="G10" i="3"/>
  <c r="F10" i="3"/>
  <c r="C10" i="3"/>
  <c r="I10" i="3" s="1"/>
  <c r="B10" i="3"/>
  <c r="C9" i="3"/>
  <c r="I9" i="3" s="1"/>
  <c r="B9" i="3"/>
  <c r="H9" i="3" s="1"/>
  <c r="J9" i="3" s="1"/>
  <c r="G8" i="3"/>
  <c r="F8" i="3"/>
  <c r="C8" i="3"/>
  <c r="B8" i="3"/>
  <c r="G7" i="3"/>
  <c r="F7" i="3"/>
  <c r="C7" i="3"/>
  <c r="B7" i="3"/>
  <c r="H7" i="3" s="1"/>
  <c r="I13" i="3" l="1"/>
  <c r="G14" i="3"/>
  <c r="H8" i="3"/>
  <c r="I7" i="3"/>
  <c r="J7" i="3" s="1"/>
  <c r="I8" i="3"/>
  <c r="J8" i="3" s="1"/>
  <c r="F14" i="3"/>
  <c r="F15" i="3" s="1"/>
  <c r="F17" i="3" s="1"/>
  <c r="H10" i="3"/>
  <c r="J10" i="3" s="1"/>
  <c r="H13" i="3"/>
  <c r="G15" i="3"/>
  <c r="G17" i="3" s="1"/>
  <c r="E15" i="3"/>
  <c r="E17" i="3" s="1"/>
  <c r="J11" i="3"/>
  <c r="J13" i="3"/>
  <c r="B14" i="3"/>
  <c r="K15" i="3"/>
  <c r="K17" i="3" s="1"/>
  <c r="K20" i="3" s="1"/>
  <c r="L22" i="3" s="1"/>
  <c r="C14" i="3"/>
  <c r="L15" i="3"/>
  <c r="L17" i="3" s="1"/>
  <c r="L20" i="3" s="1"/>
  <c r="I12" i="3"/>
  <c r="J12" i="3" s="1"/>
  <c r="M15" i="3"/>
  <c r="M17" i="3" s="1"/>
  <c r="M20" i="3" s="1"/>
  <c r="I14" i="3" l="1"/>
  <c r="C15" i="3"/>
  <c r="I15" i="3" s="1"/>
  <c r="H14" i="3"/>
  <c r="B15" i="3"/>
  <c r="H15" i="3" s="1"/>
  <c r="J14" i="3" l="1"/>
  <c r="H17" i="3"/>
  <c r="J15" i="3"/>
  <c r="C17" i="3"/>
  <c r="B17" i="3"/>
  <c r="I17" i="3"/>
  <c r="J17" i="3" l="1"/>
  <c r="H9" i="2" l="1"/>
  <c r="G12" i="2"/>
  <c r="G9" i="2"/>
  <c r="G13" i="2" l="1"/>
  <c r="G16" i="2" s="1"/>
  <c r="H6" i="2" l="1"/>
  <c r="H13" i="2" s="1"/>
  <c r="H14" i="2" s="1"/>
  <c r="I40" i="1"/>
  <c r="I35" i="1" l="1"/>
  <c r="H45" i="1" l="1"/>
  <c r="H33" i="1"/>
  <c r="H28" i="1"/>
  <c r="H23" i="1"/>
  <c r="H18" i="1"/>
  <c r="G23" i="1" l="1"/>
  <c r="I45" i="1" l="1"/>
  <c r="I29" i="1"/>
  <c r="I30" i="1"/>
  <c r="I32" i="1"/>
  <c r="I28" i="1"/>
  <c r="I23" i="1"/>
  <c r="I18" i="1"/>
  <c r="D45" i="1"/>
  <c r="C14" i="2"/>
  <c r="I46" i="1" l="1"/>
  <c r="I47" i="1"/>
  <c r="E13" i="2"/>
  <c r="E14" i="2" s="1"/>
  <c r="F13" i="2"/>
  <c r="I48" i="1" l="1"/>
  <c r="H16" i="2" s="1"/>
  <c r="F14" i="2"/>
  <c r="I49" i="1" l="1"/>
  <c r="F16" i="2"/>
  <c r="G45" i="1"/>
  <c r="G28" i="1"/>
  <c r="G18" i="1"/>
  <c r="H46" i="1" l="1"/>
  <c r="H47" i="1" s="1"/>
  <c r="H48" i="1" s="1"/>
  <c r="I53" i="1"/>
  <c r="G46" i="1"/>
  <c r="G47" i="1" s="1"/>
  <c r="C30" i="1"/>
  <c r="G48" i="1" l="1"/>
  <c r="G49" i="1" s="1"/>
  <c r="H53" i="1"/>
  <c r="D9" i="2"/>
  <c r="B12" i="2"/>
  <c r="G53" i="1" l="1"/>
  <c r="B10" i="2"/>
  <c r="H49" i="1" l="1"/>
  <c r="E45" i="1"/>
  <c r="C40" i="1"/>
  <c r="C45" i="1" s="1"/>
  <c r="B9" i="2"/>
  <c r="C16" i="2"/>
  <c r="B8" i="2"/>
  <c r="B7" i="2"/>
  <c r="B6" i="2"/>
  <c r="C33" i="1"/>
  <c r="D18" i="1"/>
  <c r="E18" i="1"/>
  <c r="D33" i="1"/>
  <c r="E33" i="1"/>
  <c r="I50" i="1" l="1"/>
  <c r="E53" i="1" s="1"/>
  <c r="B13" i="2"/>
  <c r="B14" i="2" s="1"/>
  <c r="D12" i="2"/>
  <c r="D7" i="2"/>
  <c r="D6" i="2"/>
  <c r="E28" i="1"/>
  <c r="D13" i="2" l="1"/>
  <c r="D14" i="2" s="1"/>
  <c r="D28" i="1"/>
  <c r="C28" i="1"/>
  <c r="D23" i="1"/>
  <c r="E23" i="1"/>
  <c r="E46" i="1" s="1"/>
  <c r="C23" i="1"/>
  <c r="C18" i="1"/>
  <c r="D16" i="2" l="1"/>
  <c r="E47" i="1"/>
  <c r="E48" i="1" s="1"/>
  <c r="C46" i="1"/>
  <c r="D46" i="1"/>
  <c r="D47" i="1" l="1"/>
  <c r="D48" i="1" s="1"/>
  <c r="C47" i="1"/>
  <c r="C48" i="1" s="1"/>
  <c r="E49" i="1"/>
  <c r="I52" i="1" s="1"/>
  <c r="C49" i="1" l="1"/>
  <c r="D49" i="1"/>
  <c r="H52" i="1" s="1"/>
  <c r="B16" i="2"/>
  <c r="E50" i="1" l="1"/>
  <c r="E52" i="1"/>
  <c r="G52" i="1"/>
</calcChain>
</file>

<file path=xl/sharedStrings.xml><?xml version="1.0" encoding="utf-8"?>
<sst xmlns="http://schemas.openxmlformats.org/spreadsheetml/2006/main" count="113" uniqueCount="83">
  <si>
    <t>CATEGORIES</t>
  </si>
  <si>
    <t>TOTAL</t>
  </si>
  <si>
    <t>Tranche 1 (70%)</t>
  </si>
  <si>
    <t>Annexe D - Budget du projet PBF</t>
  </si>
  <si>
    <t>Tableau 2 - Budget de projet PBF par categorie de cout de l'ONU</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</si>
  <si>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</si>
  <si>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</si>
  <si>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</si>
  <si>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</si>
  <si>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</si>
  <si>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</si>
  <si>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</si>
  <si>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</si>
  <si>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</si>
  <si>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UNFPA</t>
  </si>
  <si>
    <t>UNICEF</t>
  </si>
  <si>
    <t>UNESCO</t>
  </si>
  <si>
    <t xml:space="preserve">Organiser un atelier de trois jours, entre les trois agences, pour harmoniser les contenus des supports de communication, et les messages en faveur de la résilience </t>
  </si>
  <si>
    <t>Organiser les sorties conjointes de suivi du projet</t>
  </si>
  <si>
    <t>Tableau 1 - Budget du projet PBF par resultat, produit et activité</t>
  </si>
  <si>
    <t>Formulation du resultat/ produit/ activité</t>
  </si>
  <si>
    <t>Budget UNFPA</t>
  </si>
  <si>
    <t>Budget UNICEF</t>
  </si>
  <si>
    <t>Budget UNESCO</t>
  </si>
  <si>
    <t>Numéro de resultat/ produit et activité</t>
  </si>
  <si>
    <t>Résultat 1: Les jeunes filles et les jeunes garçons sont résilients et contribuent à la réconciliation et à la prévention des violences à travers une meilleure perception du passé.</t>
  </si>
  <si>
    <t>Total Produit 1.1</t>
  </si>
  <si>
    <t>Total Produit 2.2</t>
  </si>
  <si>
    <t>Résultat 2 : Les institutions nationales contribuent à une présentation constructive du passé aux jeunes filles et garçons.</t>
  </si>
  <si>
    <t>Total Produit 2.1</t>
  </si>
  <si>
    <t>Produit 2.2 : Les décideurs au niveau national prennent en compte les attentes des jeunes en rapport avec la présentation constructive du passé</t>
  </si>
  <si>
    <t xml:space="preserve">Résultat  transversal : La coordination, le suivi et l’évaluation, la documentation et la communication, sont opérationnels </t>
  </si>
  <si>
    <t>Total Produit 1.2</t>
  </si>
  <si>
    <t xml:space="preserve">Former les jeunes bénéficiaires sur la résolution pacifique des conflits    </t>
  </si>
  <si>
    <t xml:space="preserve">Produire un guide sur la base d’éléments culturels pour améliorer la perception des jeunes par rapport au passé </t>
  </si>
  <si>
    <t>Produire les contenus audio-visuels promouvant la résilience, le pardon et la réconciliation (chaque agence)</t>
  </si>
  <si>
    <t xml:space="preserve">Diffuser des messages, spots publicitaires, magazines, vidéos sur la réconciliation focalisés sur les jeunes </t>
  </si>
  <si>
    <t>Former un pool de jeunes sur les techniques interactives et participatives pour la réconciliation, sur la médiation communautaire, sur le dialogue pour la paix, sur la participation des jeunes et gestion des conflits.</t>
  </si>
  <si>
    <t xml:space="preserve">Organiser des séances sur la résilience communautaire dans les zones d’interventions et les réseaux. </t>
  </si>
  <si>
    <t>Organiser des jeux éducatifs et interactifs sur la réconciliation</t>
  </si>
  <si>
    <t xml:space="preserve">Produit 1. 1 :   Les jeunes filles et garçons, sont des agents de changement en matière de résilience communautaire et participent à la présentation constructive du passé du pays  </t>
  </si>
  <si>
    <t>Produit 1. 2 : Les capacités des réseaux communautaires et de jeunes filles et garçons sont renforcées pour relayer une compréhension apaisée du passé dans les communautés</t>
  </si>
  <si>
    <t>Appuyer les réseaux communautaires pour le mise en œuvre des activités liées à la résilience communautaire et la gestion du passé</t>
  </si>
  <si>
    <t xml:space="preserve">Organiser des fora d’échanges et de dialogues intergénérationnels sur la résilience face aux conflits, le pardon, la tolérance politique </t>
  </si>
  <si>
    <t xml:space="preserve">Renforcer les capacités des réseaux communautaires  y compris les nouveaux, en matière de résilience communautaire, </t>
  </si>
  <si>
    <t>Organiser des session de diffusion de la stratégie de résilience auprès des leaders communaux (élaboré au cours du projet passé)</t>
  </si>
  <si>
    <t xml:space="preserve">Organiser de sessions de plaidoyer pour l’appropriation communautaire/ communale du projet </t>
  </si>
  <si>
    <t>Organiser le recueil et la diffusion des bonnes pratiques et des leçons apprises,</t>
  </si>
  <si>
    <t>Organiser un atelier d’harmonisation des outils de collectes de données du projet.</t>
  </si>
  <si>
    <t>Organiser des ateliers de validation des données</t>
  </si>
  <si>
    <t>Organiser un atelier d’élaboration des plan d’action pour chaque réseau</t>
  </si>
  <si>
    <t xml:space="preserve">Organiser un forum national de plaidoyer des jeunes impliqués dans le projet auprès de décideurs </t>
  </si>
  <si>
    <r>
      <t>Resultat 1: Les jeunes filles et les jeunes garçons, bénéficiant du projet, sont plus résilients, contribuent à la réconciliation et à la prévention des violences à travers une meilleure perception du passé</t>
    </r>
    <r>
      <rPr>
        <sz val="11"/>
        <color theme="1"/>
        <rFont val="Times New Roman"/>
        <family val="1"/>
      </rPr>
      <t xml:space="preserve">. </t>
    </r>
  </si>
  <si>
    <t xml:space="preserve"> Renforcer les capacités des jeunes en matière de production d’outils de communication sur la résilience</t>
  </si>
  <si>
    <t xml:space="preserve"> Equiper les espaces de rencontre des jeunes</t>
  </si>
  <si>
    <t xml:space="preserve"> Former les jeunes bénéficiaires sur la communication non violente et non-violence active</t>
  </si>
  <si>
    <r>
      <t>Produit 2.1</t>
    </r>
    <r>
      <rPr>
        <sz val="11"/>
        <color theme="1"/>
        <rFont val="Times New Roman"/>
        <family val="1"/>
      </rPr>
      <t xml:space="preserve">: </t>
    </r>
    <r>
      <rPr>
        <b/>
        <i/>
        <sz val="11"/>
        <color theme="1"/>
        <rFont val="Times New Roman"/>
        <family val="1"/>
      </rPr>
      <t>Les leaders d’opinion et les autorités locales et les média contribuent au renforcement des capacités des jeunes filles et garçons en matière de résilience communautaire en lien avec le passé</t>
    </r>
  </si>
  <si>
    <t xml:space="preserve">TOTAL </t>
  </si>
  <si>
    <t>PROJET: Appui à la Résilience des jeunes face aux conflits sociopolitiques au Burundi</t>
  </si>
  <si>
    <t>Appuyer la dynamisation des comités mixtes de sécurité pour une meilleure prise en compte des activités de resilience</t>
  </si>
  <si>
    <r>
      <t xml:space="preserve">Organiser des sessions regulières de plaidoyer auprès des élus </t>
    </r>
    <r>
      <rPr>
        <b/>
        <i/>
        <sz val="11"/>
        <color theme="1"/>
        <rFont val="Times New Roman"/>
        <family val="1"/>
      </rPr>
      <t>(Députés, chefs de collines)</t>
    </r>
    <r>
      <rPr>
        <sz val="11"/>
        <color theme="1"/>
        <rFont val="Times New Roman"/>
        <family val="1"/>
      </rPr>
      <t xml:space="preserve">, en faveur d’une meilleure gestion du passé par les jeunes filles et garçons </t>
    </r>
    <r>
      <rPr>
        <b/>
        <i/>
        <sz val="11"/>
        <color theme="9"/>
        <rFont val="Times New Roman"/>
        <family val="1"/>
      </rPr>
      <t xml:space="preserve">(incitation a intégrer les besoins des jeunes dans leurs plans) </t>
    </r>
  </si>
  <si>
    <t xml:space="preserve">Organiser de sessions de plaidoyer auprès des leaders d'opinion locaux pour les sensibiliser aux besoins, attentes et apports des jeunes quant à prévention des conflits et violences, à travers une bonne gestion du passé </t>
  </si>
  <si>
    <t xml:space="preserve">Réaliser deux études sur les perceptions des aînés et des jeunes sur le passé, une au début et l’autre à la fin du projet. </t>
  </si>
  <si>
    <t>Renforcer l’équipe de suivi évaluation et d’assistance technique (Spécialiste adolescents)</t>
  </si>
  <si>
    <t xml:space="preserve"> Asssurer la gestion et la coordination du projet ( pour UNFPA, 2 VNU, 50 000 PBSO, Coordination du projet au nom des trois agences )  Pour UNESCO (Chargé de suivi du projet, chauffeur)</t>
  </si>
  <si>
    <t>Frais de gestion (7%)</t>
  </si>
  <si>
    <t>Budget pour les activités</t>
  </si>
  <si>
    <t>Cout du projet</t>
  </si>
  <si>
    <t>TOTAL GLOBAL</t>
  </si>
  <si>
    <t>Dépenses</t>
  </si>
  <si>
    <t>% Dépenses par rapport au budget total</t>
  </si>
  <si>
    <t>% Dépenses par rapport à la première tranche</t>
  </si>
  <si>
    <t xml:space="preserve">%/ direct sur le genre </t>
  </si>
  <si>
    <t>Total Résultat transversal</t>
  </si>
  <si>
    <t xml:space="preserve">Dépenses </t>
  </si>
  <si>
    <t>Total tranche 1</t>
  </si>
  <si>
    <t>Total tranche 2</t>
  </si>
  <si>
    <t xml:space="preserve"> TOTAL PROJET</t>
  </si>
  <si>
    <t>Depenses Tranche 1</t>
  </si>
  <si>
    <t>Tranche 2 (30%)</t>
  </si>
  <si>
    <t>UNDPA</t>
  </si>
  <si>
    <t>TOTAL Grenre</t>
  </si>
  <si>
    <t xml:space="preserve"> Montant destiné à la promotion du genre (50%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</si>
</sst>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_);_(* \(#,##0.00\);_(* &quot;-&quot;??_);_(@_)"/>
    <numFmt numFmtId="166" formatCode="_-* #,##0\ _F_B_u_-;\-* #,##0\ _F_B_u_-;_-* &quot;-&quot;\ _F_B_u_-;_-@_-"/>
    <numFmt numFmtId="167" formatCode="_-* #,##0\ _€_-;\-* #,##0\ _€_-;_-* &quot;-&quot;??\ _€_-;_-@_-"/>
    <numFmt numFmtId="168" formatCode="_-* #,##0.00\ _F_B_u_-;\-* #,##0.00\ _F_B_u_-;_-* &quot;-&quot;\ _F_B_u_-;_-@_-"/>
  </numFmts>
  <fonts count="25" x14ac:knownFonts="1">
    <font>
      <sz val="11"/>
      <color theme="1"/>
      <name val="Calibri"/>
      <family val="2"/>
      <scheme val="minor"/>
    </font>
    <font>
      <b/>
      <sz val="12"/>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sz val="11"/>
      <color theme="1"/>
      <name val="Arial Narrow"/>
      <family val="2"/>
    </font>
    <font>
      <sz val="11"/>
      <name val="Times New Roman"/>
      <family val="1"/>
    </font>
    <font>
      <b/>
      <sz val="11"/>
      <name val="Times New Roman"/>
      <family val="1"/>
    </font>
    <font>
      <sz val="11"/>
      <color rgb="FFFF0000"/>
      <name val="Times New Roman"/>
      <family val="1"/>
    </font>
    <font>
      <sz val="11"/>
      <color rgb="FF9C0006"/>
      <name val="Calibri"/>
      <family val="2"/>
      <scheme val="minor"/>
    </font>
    <font>
      <b/>
      <i/>
      <sz val="11"/>
      <color theme="9"/>
      <name val="Times New Roman"/>
      <family val="1"/>
    </font>
    <font>
      <sz val="10"/>
      <name val="Times New Roman"/>
      <family val="1"/>
    </font>
    <font>
      <b/>
      <sz val="10"/>
      <color theme="1"/>
      <name val="Calibri"/>
      <family val="2"/>
      <scheme val="minor"/>
    </font>
    <font>
      <sz val="10"/>
      <color theme="1"/>
      <name val="Calibri"/>
      <family val="2"/>
      <scheme val="minor"/>
    </font>
    <font>
      <b/>
      <sz val="10"/>
      <name val="Times New Roman"/>
      <family val="1"/>
    </font>
    <font>
      <b/>
      <sz val="11"/>
      <color rgb="FF9C0006"/>
      <name val="Calibri"/>
      <family val="2"/>
      <scheme val="minor"/>
    </font>
    <font>
      <b/>
      <sz val="11"/>
      <color rgb="FF00B050"/>
      <name val="Calibri"/>
      <family val="2"/>
      <scheme val="minor"/>
    </font>
    <font>
      <b/>
      <sz val="14"/>
      <color theme="1"/>
      <name val="Arial Narrow"/>
      <family val="2"/>
    </font>
    <font>
      <sz val="14"/>
      <color theme="1"/>
      <name val="Arial Narrow"/>
      <family val="2"/>
    </font>
    <font>
      <b/>
      <sz val="10"/>
      <color theme="1"/>
      <name val="Calibri"/>
      <family val="2"/>
    </font>
    <font>
      <sz val="10"/>
      <color theme="1"/>
      <name val="Calibri"/>
      <family val="2"/>
    </font>
  </fonts>
  <fills count="2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bgColor indexed="64"/>
      </patternFill>
    </fill>
    <fill>
      <patternFill patternType="solid">
        <fgColor theme="0" tint="-0.14999847407452621"/>
        <bgColor indexed="64"/>
      </patternFill>
    </fill>
    <fill>
      <patternFill patternType="solid">
        <fgColor rgb="FFFFC7CE"/>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bgColor indexed="64"/>
      </patternFill>
    </fill>
    <fill>
      <patternFill patternType="solid">
        <fgColor theme="2" tint="-9.9978637043366805E-2"/>
        <bgColor indexed="64"/>
      </patternFill>
    </fill>
    <fill>
      <patternFill patternType="solid">
        <fgColor theme="9" tint="0.79998168889431442"/>
        <bgColor indexed="64"/>
      </patternFill>
    </fill>
  </fills>
  <borders count="1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s>
  <cellStyleXfs count="5">
    <xf numFmtId="0" fontId="0" fillId="0" borderId="0"/>
    <xf numFmtId="164" fontId="5" fillId="0" borderId="0" applyFont="0" applyFill="0" applyBorder="0" applyAlignment="0" applyProtection="0"/>
    <xf numFmtId="0" fontId="13" fillId="12" borderId="0" applyNumberFormat="0" applyBorder="0" applyAlignment="0" applyProtection="0"/>
    <xf numFmtId="9" fontId="5" fillId="0" borderId="0" applyFont="0" applyFill="0" applyBorder="0" applyAlignment="0" applyProtection="0"/>
    <xf numFmtId="166" fontId="5" fillId="0" borderId="0" applyFont="0" applyFill="0" applyBorder="0" applyAlignment="0" applyProtection="0"/>
  </cellStyleXfs>
  <cellXfs count="183">
    <xf numFmtId="0" fontId="0" fillId="0" borderId="0" xfId="0"/>
    <xf numFmtId="0" fontId="0" fillId="0" borderId="0" xfId="0" applyFont="1"/>
    <xf numFmtId="0" fontId="0" fillId="7" borderId="0" xfId="0" applyFont="1" applyFill="1"/>
    <xf numFmtId="3" fontId="6" fillId="0" borderId="6" xfId="1" applyNumberFormat="1" applyFont="1" applyBorder="1" applyAlignment="1">
      <alignment horizontal="justify" vertical="center"/>
    </xf>
    <xf numFmtId="3" fontId="10" fillId="0" borderId="6" xfId="1" applyNumberFormat="1" applyFont="1" applyBorder="1" applyAlignment="1">
      <alignment horizontal="justify" vertical="center" wrapText="1"/>
    </xf>
    <xf numFmtId="3" fontId="10" fillId="0" borderId="6" xfId="1" applyNumberFormat="1" applyFont="1" applyBorder="1" applyAlignment="1">
      <alignment vertical="center" wrapText="1"/>
    </xf>
    <xf numFmtId="3" fontId="6" fillId="0" borderId="6" xfId="1" applyNumberFormat="1" applyFont="1" applyBorder="1" applyAlignment="1">
      <alignment horizontal="left" vertical="center" wrapText="1"/>
    </xf>
    <xf numFmtId="3" fontId="6" fillId="0" borderId="6" xfId="1" applyNumberFormat="1" applyFont="1" applyBorder="1" applyAlignment="1">
      <alignment vertical="center" wrapText="1"/>
    </xf>
    <xf numFmtId="3" fontId="6" fillId="0" borderId="6" xfId="1" applyNumberFormat="1" applyFont="1" applyBorder="1"/>
    <xf numFmtId="3" fontId="10" fillId="0" borderId="6" xfId="1" applyNumberFormat="1" applyFont="1" applyBorder="1" applyAlignment="1">
      <alignment vertical="top"/>
    </xf>
    <xf numFmtId="3" fontId="7" fillId="9" borderId="6" xfId="1" applyNumberFormat="1" applyFont="1" applyFill="1" applyBorder="1" applyAlignment="1">
      <alignment vertical="center" wrapText="1"/>
    </xf>
    <xf numFmtId="3" fontId="6" fillId="0" borderId="6" xfId="1" applyNumberFormat="1" applyFont="1" applyBorder="1" applyAlignment="1">
      <alignment horizontal="left" vertical="top" wrapText="1"/>
    </xf>
    <xf numFmtId="3" fontId="6" fillId="0" borderId="6" xfId="1" applyNumberFormat="1" applyFont="1" applyBorder="1" applyAlignment="1">
      <alignment wrapText="1"/>
    </xf>
    <xf numFmtId="3" fontId="0" fillId="0" borderId="6" xfId="1" applyNumberFormat="1" applyFont="1" applyBorder="1"/>
    <xf numFmtId="3" fontId="0" fillId="0" borderId="6" xfId="0" applyNumberFormat="1" applyFont="1" applyBorder="1"/>
    <xf numFmtId="3" fontId="10" fillId="0" borderId="6" xfId="1" applyNumberFormat="1" applyFont="1" applyBorder="1" applyAlignment="1">
      <alignment horizontal="right" vertical="center" wrapText="1"/>
    </xf>
    <xf numFmtId="0" fontId="0" fillId="0" borderId="6" xfId="0" applyFont="1" applyBorder="1"/>
    <xf numFmtId="3" fontId="2" fillId="0" borderId="6" xfId="0" applyNumberFormat="1" applyFont="1" applyBorder="1"/>
    <xf numFmtId="3" fontId="6" fillId="0" borderId="6" xfId="0" applyNumberFormat="1" applyFont="1" applyBorder="1" applyAlignment="1">
      <alignment horizontal="center" vertical="center" wrapText="1"/>
    </xf>
    <xf numFmtId="3" fontId="10" fillId="0" borderId="6" xfId="1" applyNumberFormat="1" applyFont="1" applyBorder="1" applyAlignment="1">
      <alignment horizontal="center" vertical="center" wrapText="1"/>
    </xf>
    <xf numFmtId="3" fontId="6" fillId="0" borderId="6" xfId="1" applyNumberFormat="1" applyFont="1" applyBorder="1" applyAlignment="1">
      <alignment vertical="center"/>
    </xf>
    <xf numFmtId="3" fontId="12" fillId="0" borderId="6" xfId="1" applyNumberFormat="1" applyFont="1" applyBorder="1"/>
    <xf numFmtId="3" fontId="7" fillId="0" borderId="6" xfId="1" applyNumberFormat="1" applyFont="1" applyBorder="1" applyAlignment="1">
      <alignment vertical="center" wrapText="1"/>
    </xf>
    <xf numFmtId="3" fontId="1" fillId="0" borderId="6" xfId="0" applyNumberFormat="1" applyFont="1" applyBorder="1"/>
    <xf numFmtId="0" fontId="13" fillId="0" borderId="6" xfId="2" applyFill="1" applyBorder="1"/>
    <xf numFmtId="3" fontId="4" fillId="9" borderId="6" xfId="1" applyNumberFormat="1" applyFont="1" applyFill="1" applyBorder="1" applyAlignment="1">
      <alignment vertical="center" wrapText="1"/>
    </xf>
    <xf numFmtId="3" fontId="3" fillId="0" borderId="6" xfId="1" applyNumberFormat="1" applyFont="1" applyBorder="1" applyAlignment="1">
      <alignment horizontal="justify" vertical="center"/>
    </xf>
    <xf numFmtId="3" fontId="3" fillId="0" borderId="6" xfId="1" applyNumberFormat="1" applyFont="1" applyBorder="1" applyAlignment="1">
      <alignment horizontal="left" vertical="top" wrapText="1"/>
    </xf>
    <xf numFmtId="3" fontId="3" fillId="0" borderId="6" xfId="1" applyNumberFormat="1" applyFont="1" applyBorder="1" applyAlignment="1">
      <alignment horizontal="right" vertical="top" wrapText="1"/>
    </xf>
    <xf numFmtId="3" fontId="3" fillId="0" borderId="6" xfId="1" applyNumberFormat="1" applyFont="1" applyBorder="1" applyAlignment="1">
      <alignment horizontal="left" vertical="center" wrapText="1"/>
    </xf>
    <xf numFmtId="3" fontId="3" fillId="0" borderId="6" xfId="1" applyNumberFormat="1" applyFont="1" applyBorder="1"/>
    <xf numFmtId="3" fontId="3" fillId="0" borderId="6" xfId="1" applyNumberFormat="1" applyFont="1" applyBorder="1" applyAlignment="1">
      <alignment wrapText="1"/>
    </xf>
    <xf numFmtId="3" fontId="17" fillId="0" borderId="6" xfId="1" applyNumberFormat="1" applyFont="1" applyBorder="1"/>
    <xf numFmtId="3" fontId="17" fillId="0" borderId="6" xfId="0" applyNumberFormat="1" applyFont="1" applyBorder="1"/>
    <xf numFmtId="3" fontId="4" fillId="0" borderId="6" xfId="1" applyNumberFormat="1" applyFont="1" applyFill="1" applyBorder="1" applyAlignment="1">
      <alignment vertical="center" wrapText="1"/>
    </xf>
    <xf numFmtId="3" fontId="18" fillId="0" borderId="6" xfId="1" applyNumberFormat="1" applyFont="1" applyFill="1" applyBorder="1" applyAlignment="1">
      <alignment vertical="center" wrapText="1"/>
    </xf>
    <xf numFmtId="0" fontId="0" fillId="0" borderId="0" xfId="0" applyFont="1" applyFill="1"/>
    <xf numFmtId="3" fontId="17" fillId="0" borderId="6" xfId="1" applyNumberFormat="1" applyFont="1" applyFill="1" applyBorder="1"/>
    <xf numFmtId="3" fontId="17" fillId="0" borderId="6" xfId="0" applyNumberFormat="1" applyFont="1" applyFill="1" applyBorder="1"/>
    <xf numFmtId="0" fontId="19" fillId="0" borderId="6" xfId="2" applyFont="1" applyFill="1" applyBorder="1" applyAlignment="1">
      <alignment horizontal="center" vertical="center"/>
    </xf>
    <xf numFmtId="0" fontId="2" fillId="0" borderId="6" xfId="0" applyFont="1" applyBorder="1" applyAlignment="1">
      <alignment horizontal="center" vertical="center"/>
    </xf>
    <xf numFmtId="3" fontId="4" fillId="16" borderId="6" xfId="1" applyNumberFormat="1" applyFont="1" applyFill="1" applyBorder="1" applyAlignment="1">
      <alignment vertical="center" wrapText="1"/>
    </xf>
    <xf numFmtId="3" fontId="10" fillId="16" borderId="6" xfId="1" applyNumberFormat="1" applyFont="1" applyFill="1" applyBorder="1" applyAlignment="1">
      <alignment horizontal="center" vertical="center" wrapText="1"/>
    </xf>
    <xf numFmtId="3" fontId="7" fillId="16" borderId="6" xfId="1" applyNumberFormat="1" applyFont="1" applyFill="1" applyBorder="1" applyAlignment="1">
      <alignment vertical="center" wrapText="1"/>
    </xf>
    <xf numFmtId="3" fontId="11" fillId="16" borderId="6" xfId="1" applyNumberFormat="1" applyFont="1" applyFill="1" applyBorder="1" applyAlignment="1">
      <alignment vertical="center" wrapText="1"/>
    </xf>
    <xf numFmtId="3" fontId="4" fillId="16" borderId="6" xfId="1" applyNumberFormat="1" applyFont="1" applyFill="1" applyBorder="1" applyAlignment="1">
      <alignment horizontal="right" vertical="center" wrapText="1"/>
    </xf>
    <xf numFmtId="0" fontId="13" fillId="16" borderId="6" xfId="2" applyFill="1" applyBorder="1"/>
    <xf numFmtId="3" fontId="7" fillId="8" borderId="6" xfId="1" applyNumberFormat="1" applyFont="1" applyFill="1" applyBorder="1" applyAlignment="1">
      <alignment vertical="center" wrapText="1"/>
    </xf>
    <xf numFmtId="3" fontId="7" fillId="8" borderId="6" xfId="1" applyNumberFormat="1" applyFont="1" applyFill="1" applyBorder="1"/>
    <xf numFmtId="3" fontId="2" fillId="8" borderId="6" xfId="1" applyNumberFormat="1" applyFont="1" applyFill="1" applyBorder="1"/>
    <xf numFmtId="3" fontId="3" fillId="0" borderId="6" xfId="1" applyNumberFormat="1" applyFont="1" applyBorder="1" applyAlignment="1">
      <alignment horizontal="right" vertical="center" wrapText="1"/>
    </xf>
    <xf numFmtId="3" fontId="10" fillId="0" borderId="6" xfId="1" applyNumberFormat="1" applyFont="1" applyBorder="1" applyAlignment="1">
      <alignment horizontal="right" vertical="top" wrapText="1"/>
    </xf>
    <xf numFmtId="3" fontId="6" fillId="0" borderId="6" xfId="1" applyNumberFormat="1" applyFont="1" applyBorder="1" applyAlignment="1">
      <alignment horizontal="right" vertical="top"/>
    </xf>
    <xf numFmtId="3" fontId="3" fillId="0" borderId="6" xfId="1" applyNumberFormat="1" applyFont="1" applyBorder="1" applyAlignment="1">
      <alignment horizontal="justify" vertical="top"/>
    </xf>
    <xf numFmtId="3" fontId="4" fillId="5" borderId="6" xfId="1" applyNumberFormat="1" applyFont="1" applyFill="1" applyBorder="1" applyAlignment="1">
      <alignment vertical="center" wrapText="1"/>
    </xf>
    <xf numFmtId="3" fontId="0" fillId="16" borderId="6" xfId="0" applyNumberFormat="1" applyFont="1" applyFill="1" applyBorder="1"/>
    <xf numFmtId="3" fontId="16" fillId="0" borderId="6" xfId="0" applyNumberFormat="1" applyFont="1" applyFill="1" applyBorder="1"/>
    <xf numFmtId="3" fontId="0" fillId="0" borderId="8" xfId="0" applyNumberFormat="1" applyFont="1" applyBorder="1"/>
    <xf numFmtId="3" fontId="6" fillId="0" borderId="8" xfId="0" applyNumberFormat="1" applyFont="1" applyBorder="1" applyAlignment="1">
      <alignment horizontal="center" vertical="center" wrapText="1"/>
    </xf>
    <xf numFmtId="3" fontId="6" fillId="5" borderId="8" xfId="0" applyNumberFormat="1" applyFont="1" applyFill="1" applyBorder="1" applyAlignment="1">
      <alignment vertical="center" wrapText="1"/>
    </xf>
    <xf numFmtId="0" fontId="0" fillId="0" borderId="8" xfId="0" applyFont="1" applyBorder="1"/>
    <xf numFmtId="3" fontId="16" fillId="0" borderId="6" xfId="0" applyNumberFormat="1" applyFont="1" applyBorder="1"/>
    <xf numFmtId="3" fontId="15" fillId="0" borderId="6" xfId="1" applyNumberFormat="1" applyFont="1" applyFill="1" applyBorder="1" applyAlignment="1">
      <alignment vertical="center" wrapText="1"/>
    </xf>
    <xf numFmtId="3" fontId="3" fillId="0" borderId="6" xfId="1" applyNumberFormat="1" applyFont="1" applyFill="1" applyBorder="1" applyAlignment="1">
      <alignment vertical="center" wrapText="1"/>
    </xf>
    <xf numFmtId="3" fontId="15" fillId="0" borderId="6" xfId="1" applyNumberFormat="1" applyFont="1" applyFill="1" applyBorder="1" applyAlignment="1">
      <alignment vertical="top"/>
    </xf>
    <xf numFmtId="3" fontId="15" fillId="5" borderId="6" xfId="1" applyNumberFormat="1" applyFont="1" applyFill="1" applyBorder="1" applyAlignment="1">
      <alignment horizontal="left" vertical="center" wrapText="1"/>
    </xf>
    <xf numFmtId="3" fontId="15" fillId="0" borderId="6" xfId="1" applyNumberFormat="1" applyFont="1" applyFill="1" applyBorder="1" applyAlignment="1">
      <alignment vertical="top" wrapText="1"/>
    </xf>
    <xf numFmtId="3" fontId="3" fillId="0" borderId="6" xfId="1" applyNumberFormat="1" applyFont="1" applyFill="1" applyBorder="1" applyAlignment="1">
      <alignment vertical="top" wrapText="1"/>
    </xf>
    <xf numFmtId="3" fontId="18" fillId="5" borderId="6" xfId="1" applyNumberFormat="1" applyFont="1" applyFill="1" applyBorder="1" applyAlignment="1">
      <alignment horizontal="center" vertical="center" wrapText="1"/>
    </xf>
    <xf numFmtId="0" fontId="0" fillId="0" borderId="6" xfId="0" applyFont="1" applyFill="1" applyBorder="1"/>
    <xf numFmtId="3" fontId="4" fillId="13" borderId="6" xfId="1" applyNumberFormat="1" applyFont="1" applyFill="1" applyBorder="1" applyAlignment="1">
      <alignment vertical="center" wrapText="1"/>
    </xf>
    <xf numFmtId="3" fontId="0" fillId="0" borderId="6" xfId="0" applyNumberFormat="1" applyFont="1" applyFill="1" applyBorder="1"/>
    <xf numFmtId="3" fontId="2" fillId="9" borderId="6" xfId="0" applyNumberFormat="1" applyFont="1" applyFill="1" applyBorder="1"/>
    <xf numFmtId="3" fontId="6" fillId="0" borderId="6" xfId="1" applyNumberFormat="1" applyFont="1" applyBorder="1" applyAlignment="1">
      <alignment horizontal="left" vertical="top"/>
    </xf>
    <xf numFmtId="3" fontId="6" fillId="0" borderId="6" xfId="1" applyNumberFormat="1" applyFont="1" applyBorder="1" applyAlignment="1">
      <alignment horizontal="right" vertical="top" wrapText="1"/>
    </xf>
    <xf numFmtId="3" fontId="0" fillId="0" borderId="6" xfId="1" applyNumberFormat="1" applyFont="1" applyBorder="1" applyAlignment="1">
      <alignment horizontal="right" vertical="top"/>
    </xf>
    <xf numFmtId="3" fontId="9" fillId="0" borderId="6" xfId="1" applyNumberFormat="1" applyFont="1" applyBorder="1" applyAlignment="1">
      <alignment horizontal="right" vertical="top"/>
    </xf>
    <xf numFmtId="3" fontId="15" fillId="0" borderId="6" xfId="1" applyNumberFormat="1" applyFont="1" applyFill="1" applyBorder="1" applyAlignment="1">
      <alignment horizontal="right" vertical="top" wrapText="1"/>
    </xf>
    <xf numFmtId="3" fontId="3" fillId="0" borderId="6" xfId="1" applyNumberFormat="1" applyFont="1" applyBorder="1" applyAlignment="1">
      <alignment horizontal="right" vertical="top"/>
    </xf>
    <xf numFmtId="3" fontId="3" fillId="0" borderId="6" xfId="1" applyNumberFormat="1" applyFont="1" applyFill="1" applyBorder="1" applyAlignment="1">
      <alignment horizontal="right" vertical="top" wrapText="1"/>
    </xf>
    <xf numFmtId="0" fontId="0" fillId="0" borderId="6" xfId="0" applyFont="1" applyFill="1" applyBorder="1" applyAlignment="1">
      <alignment horizontal="right" vertical="top"/>
    </xf>
    <xf numFmtId="3" fontId="2" fillId="16" borderId="6" xfId="0" applyNumberFormat="1" applyFont="1" applyFill="1" applyBorder="1" applyAlignment="1">
      <alignment horizontal="center" vertical="center"/>
    </xf>
    <xf numFmtId="3" fontId="2" fillId="8" borderId="6" xfId="0" applyNumberFormat="1" applyFont="1" applyFill="1" applyBorder="1" applyAlignment="1">
      <alignment horizontal="center"/>
    </xf>
    <xf numFmtId="3" fontId="0" fillId="5" borderId="6" xfId="0" applyNumberFormat="1" applyFont="1" applyFill="1" applyBorder="1" applyAlignment="1">
      <alignment horizontal="center" vertical="top"/>
    </xf>
    <xf numFmtId="10" fontId="0" fillId="0" borderId="6" xfId="3" applyNumberFormat="1" applyFont="1" applyFill="1" applyBorder="1" applyAlignment="1">
      <alignment horizontal="center"/>
    </xf>
    <xf numFmtId="10" fontId="0" fillId="0" borderId="6" xfId="3" applyNumberFormat="1" applyFont="1" applyBorder="1" applyAlignment="1">
      <alignment horizontal="center"/>
    </xf>
    <xf numFmtId="3" fontId="10" fillId="0" borderId="6" xfId="1" applyNumberFormat="1" applyFont="1" applyBorder="1" applyAlignment="1">
      <alignment vertical="top" wrapText="1"/>
    </xf>
    <xf numFmtId="9" fontId="20" fillId="0" borderId="6" xfId="3" applyFont="1" applyBorder="1"/>
    <xf numFmtId="9" fontId="0" fillId="0" borderId="6" xfId="3" applyFont="1" applyBorder="1"/>
    <xf numFmtId="10" fontId="0" fillId="5" borderId="6" xfId="3" applyNumberFormat="1" applyFont="1" applyFill="1" applyBorder="1" applyAlignment="1">
      <alignment horizontal="center"/>
    </xf>
    <xf numFmtId="3" fontId="6" fillId="0" borderId="6" xfId="1" applyNumberFormat="1" applyFont="1" applyBorder="1" applyAlignment="1">
      <alignment vertical="top" wrapText="1"/>
    </xf>
    <xf numFmtId="164" fontId="0" fillId="0" borderId="6" xfId="1" applyFont="1" applyBorder="1"/>
    <xf numFmtId="164" fontId="0" fillId="16" borderId="6" xfId="1" applyFont="1" applyFill="1" applyBorder="1"/>
    <xf numFmtId="164" fontId="0" fillId="0" borderId="6" xfId="1" applyFont="1" applyBorder="1" applyAlignment="1">
      <alignment horizontal="center"/>
    </xf>
    <xf numFmtId="164" fontId="0" fillId="0" borderId="6" xfId="1" applyFont="1" applyBorder="1" applyAlignment="1">
      <alignment horizontal="right" vertical="top"/>
    </xf>
    <xf numFmtId="10" fontId="2" fillId="17" borderId="6" xfId="3" applyNumberFormat="1" applyFont="1" applyFill="1" applyBorder="1" applyAlignment="1">
      <alignment horizontal="center"/>
    </xf>
    <xf numFmtId="3" fontId="3" fillId="5" borderId="6" xfId="1" applyNumberFormat="1" applyFont="1" applyFill="1" applyBorder="1" applyAlignment="1">
      <alignment horizontal="justify" vertical="center"/>
    </xf>
    <xf numFmtId="3" fontId="3" fillId="5" borderId="6" xfId="1" applyNumberFormat="1" applyFont="1" applyFill="1" applyBorder="1" applyAlignment="1">
      <alignment horizontal="right" vertical="top"/>
    </xf>
    <xf numFmtId="3" fontId="3" fillId="5" borderId="6" xfId="1" applyNumberFormat="1" applyFont="1" applyFill="1" applyBorder="1" applyAlignment="1">
      <alignment wrapText="1"/>
    </xf>
    <xf numFmtId="3" fontId="3" fillId="5" borderId="6" xfId="1" applyNumberFormat="1" applyFont="1" applyFill="1" applyBorder="1" applyAlignment="1">
      <alignment horizontal="justify" vertical="top"/>
    </xf>
    <xf numFmtId="167" fontId="21" fillId="0" borderId="0" xfId="1" applyNumberFormat="1" applyFont="1"/>
    <xf numFmtId="167" fontId="22" fillId="0" borderId="0" xfId="1" applyNumberFormat="1" applyFont="1"/>
    <xf numFmtId="167" fontId="21" fillId="2" borderId="4" xfId="1" applyNumberFormat="1" applyFont="1" applyFill="1" applyBorder="1" applyAlignment="1">
      <alignment horizontal="center" vertical="center" wrapText="1"/>
    </xf>
    <xf numFmtId="167" fontId="22" fillId="14" borderId="0" xfId="1" applyNumberFormat="1" applyFont="1" applyFill="1"/>
    <xf numFmtId="167" fontId="21" fillId="3" borderId="3" xfId="1" applyNumberFormat="1" applyFont="1" applyFill="1" applyBorder="1" applyAlignment="1">
      <alignment horizontal="center" vertical="center" wrapText="1"/>
    </xf>
    <xf numFmtId="167" fontId="22" fillId="0" borderId="5" xfId="1" applyNumberFormat="1" applyFont="1" applyBorder="1" applyAlignment="1">
      <alignment vertical="center" wrapText="1"/>
    </xf>
    <xf numFmtId="167" fontId="22" fillId="0" borderId="3" xfId="1" applyNumberFormat="1" applyFont="1" applyBorder="1" applyAlignment="1">
      <alignment horizontal="right" vertical="center" wrapText="1"/>
    </xf>
    <xf numFmtId="167" fontId="22" fillId="14" borderId="0" xfId="1" applyNumberFormat="1" applyFont="1" applyFill="1" applyAlignment="1">
      <alignment vertical="center"/>
    </xf>
    <xf numFmtId="167" fontId="22" fillId="5" borderId="6" xfId="1" applyNumberFormat="1" applyFont="1" applyFill="1" applyBorder="1" applyAlignment="1">
      <alignment vertical="center"/>
    </xf>
    <xf numFmtId="167" fontId="22" fillId="0" borderId="2" xfId="1" applyNumberFormat="1" applyFont="1" applyBorder="1" applyAlignment="1">
      <alignment vertical="center" wrapText="1"/>
    </xf>
    <xf numFmtId="167" fontId="22" fillId="0" borderId="3" xfId="1" applyNumberFormat="1" applyFont="1" applyBorder="1" applyAlignment="1">
      <alignment horizontal="center" vertical="center" wrapText="1"/>
    </xf>
    <xf numFmtId="165" fontId="22" fillId="0" borderId="0" xfId="1" applyNumberFormat="1" applyFont="1"/>
    <xf numFmtId="167" fontId="21" fillId="4" borderId="2" xfId="1" applyNumberFormat="1" applyFont="1" applyFill="1" applyBorder="1" applyAlignment="1">
      <alignment vertical="center" wrapText="1"/>
    </xf>
    <xf numFmtId="167" fontId="22" fillId="11" borderId="3" xfId="1" applyNumberFormat="1" applyFont="1" applyFill="1" applyBorder="1" applyAlignment="1">
      <alignment horizontal="right" vertical="center" wrapText="1"/>
    </xf>
    <xf numFmtId="167" fontId="22" fillId="4" borderId="3" xfId="1" applyNumberFormat="1" applyFont="1" applyFill="1" applyBorder="1" applyAlignment="1">
      <alignment horizontal="right" vertical="center" wrapText="1"/>
    </xf>
    <xf numFmtId="167" fontId="21" fillId="11" borderId="6" xfId="1" applyNumberFormat="1" applyFont="1" applyFill="1" applyBorder="1" applyAlignment="1">
      <alignment vertical="center"/>
    </xf>
    <xf numFmtId="167" fontId="22" fillId="11" borderId="6" xfId="1" applyNumberFormat="1" applyFont="1" applyFill="1" applyBorder="1" applyAlignment="1">
      <alignment vertical="center"/>
    </xf>
    <xf numFmtId="167" fontId="22" fillId="0" borderId="0" xfId="1" applyNumberFormat="1" applyFont="1" applyAlignment="1">
      <alignment vertical="center"/>
    </xf>
    <xf numFmtId="3" fontId="15" fillId="0" borderId="6" xfId="1" applyNumberFormat="1" applyFont="1" applyBorder="1" applyAlignment="1">
      <alignment horizontal="right" vertical="top" wrapText="1"/>
    </xf>
    <xf numFmtId="3" fontId="17" fillId="0" borderId="6" xfId="0" applyNumberFormat="1" applyFont="1" applyFill="1" applyBorder="1" applyAlignment="1">
      <alignment horizontal="center"/>
    </xf>
    <xf numFmtId="3" fontId="2" fillId="0" borderId="6" xfId="0" applyNumberFormat="1" applyFont="1" applyBorder="1" applyAlignment="1">
      <alignment horizontal="center"/>
    </xf>
    <xf numFmtId="168" fontId="0" fillId="0" borderId="0" xfId="4" applyNumberFormat="1" applyFont="1"/>
    <xf numFmtId="167" fontId="0" fillId="0" borderId="6" xfId="1" applyNumberFormat="1" applyFont="1" applyFill="1" applyBorder="1" applyAlignment="1">
      <alignment horizontal="right" vertical="top"/>
    </xf>
    <xf numFmtId="167" fontId="0" fillId="16" borderId="6" xfId="1" applyNumberFormat="1" applyFont="1" applyFill="1" applyBorder="1"/>
    <xf numFmtId="167" fontId="0" fillId="0" borderId="6" xfId="1" applyNumberFormat="1" applyFont="1" applyBorder="1"/>
    <xf numFmtId="167" fontId="1" fillId="0" borderId="0" xfId="1" applyNumberFormat="1" applyFont="1"/>
    <xf numFmtId="167" fontId="0" fillId="0" borderId="0" xfId="1" applyNumberFormat="1" applyFont="1"/>
    <xf numFmtId="167" fontId="2" fillId="0" borderId="0" xfId="1" applyNumberFormat="1" applyFont="1"/>
    <xf numFmtId="167" fontId="23" fillId="2" borderId="13" xfId="1" applyNumberFormat="1" applyFont="1" applyFill="1" applyBorder="1" applyAlignment="1">
      <alignment horizontal="center" vertical="center" wrapText="1"/>
    </xf>
    <xf numFmtId="167" fontId="23" fillId="3" borderId="3" xfId="1" applyNumberFormat="1" applyFont="1" applyFill="1" applyBorder="1" applyAlignment="1">
      <alignment horizontal="center" vertical="center" wrapText="1"/>
    </xf>
    <xf numFmtId="167" fontId="0" fillId="19" borderId="6" xfId="1" applyNumberFormat="1" applyFont="1" applyFill="1" applyBorder="1"/>
    <xf numFmtId="167" fontId="3" fillId="0" borderId="5" xfId="1" applyNumberFormat="1" applyFont="1" applyBorder="1" applyAlignment="1">
      <alignment vertical="center" wrapText="1"/>
    </xf>
    <xf numFmtId="167" fontId="24" fillId="0" borderId="3" xfId="1" applyNumberFormat="1" applyFont="1" applyBorder="1" applyAlignment="1">
      <alignment horizontal="right" vertical="center" wrapText="1"/>
    </xf>
    <xf numFmtId="167" fontId="24" fillId="0" borderId="16" xfId="1" applyNumberFormat="1" applyFont="1" applyBorder="1" applyAlignment="1">
      <alignment horizontal="right" vertical="center" wrapText="1"/>
    </xf>
    <xf numFmtId="167" fontId="3" fillId="0" borderId="2" xfId="1" applyNumberFormat="1" applyFont="1" applyBorder="1" applyAlignment="1">
      <alignment vertical="center" wrapText="1"/>
    </xf>
    <xf numFmtId="167" fontId="24" fillId="0" borderId="3" xfId="1" applyNumberFormat="1" applyFont="1" applyBorder="1" applyAlignment="1">
      <alignment horizontal="center" vertical="center" wrapText="1"/>
    </xf>
    <xf numFmtId="167" fontId="4" fillId="4" borderId="2" xfId="1" applyNumberFormat="1" applyFont="1" applyFill="1" applyBorder="1" applyAlignment="1">
      <alignment vertical="center" wrapText="1"/>
    </xf>
    <xf numFmtId="167" fontId="24" fillId="11" borderId="3" xfId="1" applyNumberFormat="1" applyFont="1" applyFill="1" applyBorder="1" applyAlignment="1">
      <alignment horizontal="right" vertical="center" wrapText="1"/>
    </xf>
    <xf numFmtId="167" fontId="24" fillId="4" borderId="3" xfId="1" applyNumberFormat="1" applyFont="1" applyFill="1" applyBorder="1" applyAlignment="1">
      <alignment horizontal="right" vertical="center" wrapText="1"/>
    </xf>
    <xf numFmtId="167" fontId="24" fillId="18" borderId="3" xfId="1" applyNumberFormat="1" applyFont="1" applyFill="1" applyBorder="1" applyAlignment="1">
      <alignment horizontal="right" vertical="center" wrapText="1"/>
    </xf>
    <xf numFmtId="167" fontId="24" fillId="18" borderId="16" xfId="1" applyNumberFormat="1" applyFont="1" applyFill="1" applyBorder="1" applyAlignment="1">
      <alignment horizontal="right" vertical="center" wrapText="1"/>
    </xf>
    <xf numFmtId="167" fontId="0" fillId="19" borderId="0" xfId="1" applyNumberFormat="1" applyFont="1" applyFill="1"/>
    <xf numFmtId="0" fontId="2" fillId="14" borderId="9" xfId="0" applyFont="1" applyFill="1" applyBorder="1"/>
    <xf numFmtId="167" fontId="2" fillId="14" borderId="9" xfId="0" applyNumberFormat="1" applyFont="1" applyFill="1" applyBorder="1"/>
    <xf numFmtId="167" fontId="2" fillId="0" borderId="9" xfId="1" applyNumberFormat="1" applyFont="1" applyBorder="1" applyAlignment="1">
      <alignment vertical="center" wrapText="1"/>
    </xf>
    <xf numFmtId="167" fontId="2" fillId="0" borderId="9" xfId="1" applyNumberFormat="1" applyFont="1" applyBorder="1" applyAlignment="1">
      <alignment vertical="center"/>
    </xf>
    <xf numFmtId="3" fontId="4" fillId="0" borderId="8"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0" fontId="0" fillId="0" borderId="8" xfId="0" applyFont="1" applyBorder="1" applyAlignment="1">
      <alignment horizontal="left"/>
    </xf>
    <xf numFmtId="0" fontId="0" fillId="0" borderId="7" xfId="0" applyFont="1" applyBorder="1" applyAlignment="1">
      <alignment horizontal="left"/>
    </xf>
    <xf numFmtId="3" fontId="7" fillId="16" borderId="8" xfId="1" applyNumberFormat="1" applyFont="1" applyFill="1" applyBorder="1" applyAlignment="1">
      <alignment horizontal="left" vertical="top" wrapText="1"/>
    </xf>
    <xf numFmtId="3" fontId="7" fillId="16" borderId="7" xfId="1" applyNumberFormat="1" applyFont="1" applyFill="1" applyBorder="1" applyAlignment="1">
      <alignment horizontal="left" vertical="top" wrapText="1"/>
    </xf>
    <xf numFmtId="3" fontId="6" fillId="5" borderId="8" xfId="0" applyNumberFormat="1" applyFont="1" applyFill="1" applyBorder="1" applyAlignment="1">
      <alignment horizontal="center" vertical="center" wrapText="1"/>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7" fillId="10" borderId="6" xfId="0" applyNumberFormat="1" applyFont="1" applyFill="1" applyBorder="1" applyAlignment="1">
      <alignment horizontal="left" vertical="top" wrapText="1"/>
    </xf>
    <xf numFmtId="3" fontId="7" fillId="10" borderId="8" xfId="0" applyNumberFormat="1" applyFont="1" applyFill="1" applyBorder="1" applyAlignment="1">
      <alignment horizontal="left" vertical="top" wrapText="1"/>
    </xf>
    <xf numFmtId="3" fontId="7" fillId="0" borderId="6" xfId="1" applyNumberFormat="1" applyFont="1" applyBorder="1" applyAlignment="1">
      <alignment horizontal="left" vertical="top" wrapText="1"/>
    </xf>
    <xf numFmtId="3" fontId="7" fillId="0" borderId="6" xfId="0" applyNumberFormat="1" applyFont="1" applyBorder="1" applyAlignment="1">
      <alignment horizontal="left" vertical="top" wrapText="1"/>
    </xf>
    <xf numFmtId="3" fontId="7" fillId="0" borderId="8" xfId="0" applyNumberFormat="1" applyFont="1" applyBorder="1" applyAlignment="1">
      <alignment horizontal="left" vertical="top" wrapText="1"/>
    </xf>
    <xf numFmtId="3" fontId="8" fillId="6" borderId="6" xfId="1" applyNumberFormat="1" applyFont="1" applyFill="1" applyBorder="1" applyAlignment="1">
      <alignment horizontal="left" vertical="top" wrapText="1"/>
    </xf>
    <xf numFmtId="3" fontId="11" fillId="16" borderId="6" xfId="1" applyNumberFormat="1" applyFont="1" applyFill="1" applyBorder="1" applyAlignment="1">
      <alignment horizontal="center" vertical="center" wrapText="1"/>
    </xf>
    <xf numFmtId="3" fontId="7" fillId="8" borderId="6" xfId="1" applyNumberFormat="1" applyFont="1" applyFill="1" applyBorder="1" applyAlignment="1">
      <alignment vertical="center" wrapText="1"/>
    </xf>
    <xf numFmtId="3" fontId="11" fillId="16" borderId="8" xfId="1" applyNumberFormat="1" applyFont="1" applyFill="1" applyBorder="1" applyAlignment="1">
      <alignment horizontal="left" vertical="center" wrapText="1"/>
    </xf>
    <xf numFmtId="3" fontId="11" fillId="16" borderId="7" xfId="1" applyNumberFormat="1" applyFont="1" applyFill="1" applyBorder="1" applyAlignment="1">
      <alignment horizontal="left" vertical="center" wrapText="1"/>
    </xf>
    <xf numFmtId="3" fontId="10" fillId="9" borderId="6" xfId="1" applyNumberFormat="1" applyFont="1" applyFill="1" applyBorder="1" applyAlignment="1">
      <alignment horizontal="left" vertical="center" wrapText="1"/>
    </xf>
    <xf numFmtId="3" fontId="7" fillId="8" borderId="6" xfId="0" applyNumberFormat="1" applyFont="1" applyFill="1" applyBorder="1" applyAlignment="1">
      <alignment vertical="center" wrapText="1"/>
    </xf>
    <xf numFmtId="3" fontId="7" fillId="8" borderId="8" xfId="0" applyNumberFormat="1" applyFont="1" applyFill="1" applyBorder="1" applyAlignment="1">
      <alignment vertical="center" wrapText="1"/>
    </xf>
    <xf numFmtId="3" fontId="6" fillId="0" borderId="8" xfId="0" applyNumberFormat="1" applyFont="1" applyBorder="1" applyAlignment="1">
      <alignment horizontal="center" vertical="center" wrapText="1"/>
    </xf>
    <xf numFmtId="164" fontId="2" fillId="0" borderId="9" xfId="1" applyFont="1" applyBorder="1" applyAlignment="1">
      <alignment horizontal="left" vertical="top"/>
    </xf>
    <xf numFmtId="167" fontId="23" fillId="2" borderId="1" xfId="1" applyNumberFormat="1" applyFont="1" applyFill="1" applyBorder="1" applyAlignment="1">
      <alignment horizontal="center" vertical="center" wrapText="1"/>
    </xf>
    <xf numFmtId="167" fontId="23" fillId="2" borderId="2" xfId="1" applyNumberFormat="1" applyFont="1" applyFill="1" applyBorder="1" applyAlignment="1">
      <alignment horizontal="center" vertical="center" wrapText="1"/>
    </xf>
    <xf numFmtId="167" fontId="23" fillId="2" borderId="4" xfId="1" applyNumberFormat="1" applyFont="1" applyFill="1" applyBorder="1" applyAlignment="1">
      <alignment horizontal="center" vertical="center" wrapText="1"/>
    </xf>
    <xf numFmtId="167" fontId="23" fillId="2" borderId="12" xfId="1" applyNumberFormat="1" applyFont="1" applyFill="1" applyBorder="1" applyAlignment="1">
      <alignment horizontal="center" vertical="center" wrapText="1"/>
    </xf>
    <xf numFmtId="167" fontId="23" fillId="2" borderId="14" xfId="1" applyNumberFormat="1" applyFont="1" applyFill="1" applyBorder="1" applyAlignment="1">
      <alignment horizontal="center" vertical="center" wrapText="1"/>
    </xf>
    <xf numFmtId="167" fontId="23" fillId="2" borderId="15" xfId="1" applyNumberFormat="1" applyFont="1" applyFill="1" applyBorder="1" applyAlignment="1">
      <alignment horizontal="center" vertical="center" wrapText="1"/>
    </xf>
    <xf numFmtId="167" fontId="2" fillId="18" borderId="6" xfId="1" applyNumberFormat="1" applyFont="1" applyFill="1" applyBorder="1" applyAlignment="1">
      <alignment horizontal="center" vertical="center"/>
    </xf>
    <xf numFmtId="167" fontId="22" fillId="15" borderId="0" xfId="1" applyNumberFormat="1" applyFont="1" applyFill="1" applyAlignment="1">
      <alignment horizontal="center" wrapText="1"/>
    </xf>
    <xf numFmtId="167" fontId="21" fillId="2" borderId="1" xfId="1" applyNumberFormat="1" applyFont="1" applyFill="1" applyBorder="1" applyAlignment="1">
      <alignment horizontal="center" vertical="center" wrapText="1"/>
    </xf>
    <xf numFmtId="167" fontId="21" fillId="2" borderId="2" xfId="1" applyNumberFormat="1" applyFont="1" applyFill="1" applyBorder="1" applyAlignment="1">
      <alignment horizontal="center" vertical="center" wrapText="1"/>
    </xf>
    <xf numFmtId="167" fontId="22" fillId="5" borderId="10" xfId="1" applyNumberFormat="1" applyFont="1" applyFill="1" applyBorder="1" applyAlignment="1">
      <alignment horizontal="center" vertical="center"/>
    </xf>
    <xf numFmtId="167" fontId="22" fillId="5" borderId="11" xfId="1" applyNumberFormat="1" applyFont="1" applyFill="1" applyBorder="1" applyAlignment="1">
      <alignment horizontal="center" vertical="center"/>
    </xf>
  </cellXfs>
  <cellStyles count="5">
    <cellStyle name="Insatisfaisant" xfId="2" builtinId="27"/>
    <cellStyle name="Milliers" xfId="1" builtinId="3"/>
    <cellStyle name="Milliers [0]" xfId="4" builtinId="6"/>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tabSelected="1" view="pageBreakPreview" zoomScaleNormal="100" zoomScaleSheetLayoutView="100" workbookViewId="0">
      <selection activeCell="I47" sqref="I47"/>
    </sheetView>
  </sheetViews>
  <sheetFormatPr baseColWidth="10" defaultColWidth="8.85546875" defaultRowHeight="15" x14ac:dyDescent="0.25"/>
  <cols>
    <col min="1" max="1" width="10.5703125" style="1" customWidth="1"/>
    <col min="2" max="2" width="62.42578125" style="1" customWidth="1"/>
    <col min="3" max="3" width="14.5703125" style="1" bestFit="1" customWidth="1"/>
    <col min="4" max="4" width="15.42578125" style="1" bestFit="1" customWidth="1"/>
    <col min="5" max="5" width="15.85546875" style="1" customWidth="1"/>
    <col min="6" max="6" width="12.85546875" style="1" customWidth="1"/>
    <col min="7" max="7" width="15.42578125" style="36" customWidth="1"/>
    <col min="8" max="8" width="14.140625" style="1" customWidth="1"/>
    <col min="9" max="9" width="15.42578125" style="1" customWidth="1"/>
    <col min="10" max="10" width="8.85546875" style="1"/>
    <col min="11" max="11" width="14.140625" style="1" bestFit="1" customWidth="1"/>
    <col min="12" max="16384" width="8.85546875" style="1"/>
  </cols>
  <sheetData>
    <row r="1" spans="1:9" x14ac:dyDescent="0.25">
      <c r="A1" s="17" t="s">
        <v>3</v>
      </c>
      <c r="B1" s="17"/>
      <c r="C1" s="17"/>
      <c r="D1" s="17"/>
      <c r="E1" s="14"/>
      <c r="F1" s="57"/>
      <c r="G1" s="56"/>
      <c r="H1" s="61"/>
      <c r="I1" s="16"/>
    </row>
    <row r="2" spans="1:9" x14ac:dyDescent="0.25">
      <c r="A2" s="154" t="s">
        <v>58</v>
      </c>
      <c r="B2" s="154"/>
      <c r="C2" s="154"/>
      <c r="D2" s="154"/>
      <c r="E2" s="154"/>
      <c r="F2" s="155"/>
      <c r="G2" s="24"/>
      <c r="H2" s="16"/>
      <c r="I2" s="16"/>
    </row>
    <row r="3" spans="1:9" x14ac:dyDescent="0.25">
      <c r="A3" s="17" t="s">
        <v>19</v>
      </c>
      <c r="B3" s="14"/>
      <c r="C3" s="14"/>
      <c r="D3" s="14"/>
      <c r="E3" s="14"/>
      <c r="F3" s="57"/>
      <c r="G3" s="38"/>
      <c r="H3" s="33"/>
      <c r="I3" s="16"/>
    </row>
    <row r="4" spans="1:9" ht="36.6" customHeight="1" x14ac:dyDescent="0.25">
      <c r="A4" s="156" t="s">
        <v>52</v>
      </c>
      <c r="B4" s="156"/>
      <c r="C4" s="156"/>
      <c r="D4" s="156"/>
      <c r="E4" s="156"/>
      <c r="F4" s="157"/>
      <c r="G4" s="146" t="s">
        <v>74</v>
      </c>
      <c r="H4" s="147"/>
      <c r="I4" s="148"/>
    </row>
    <row r="5" spans="1:9" ht="33" customHeight="1" x14ac:dyDescent="0.25">
      <c r="A5" s="18" t="s">
        <v>24</v>
      </c>
      <c r="B5" s="18" t="s">
        <v>20</v>
      </c>
      <c r="C5" s="18" t="s">
        <v>21</v>
      </c>
      <c r="D5" s="18" t="s">
        <v>22</v>
      </c>
      <c r="E5" s="18" t="s">
        <v>23</v>
      </c>
      <c r="F5" s="58" t="s">
        <v>72</v>
      </c>
      <c r="G5" s="39" t="s">
        <v>14</v>
      </c>
      <c r="H5" s="40" t="s">
        <v>15</v>
      </c>
      <c r="I5" s="40" t="s">
        <v>16</v>
      </c>
    </row>
    <row r="6" spans="1:9" ht="29.1" customHeight="1" x14ac:dyDescent="0.25">
      <c r="A6" s="159" t="s">
        <v>25</v>
      </c>
      <c r="B6" s="159"/>
      <c r="C6" s="159"/>
      <c r="D6" s="159"/>
      <c r="E6" s="159"/>
      <c r="F6" s="160"/>
      <c r="G6" s="24"/>
      <c r="H6" s="16"/>
      <c r="I6" s="16"/>
    </row>
    <row r="7" spans="1:9" ht="39.6" customHeight="1" x14ac:dyDescent="0.25">
      <c r="A7" s="167" t="s">
        <v>40</v>
      </c>
      <c r="B7" s="167"/>
      <c r="C7" s="167"/>
      <c r="D7" s="167"/>
      <c r="E7" s="167"/>
      <c r="F7" s="168"/>
      <c r="G7" s="62"/>
      <c r="H7" s="26"/>
      <c r="I7" s="16"/>
    </row>
    <row r="8" spans="1:9" ht="30" x14ac:dyDescent="0.25">
      <c r="A8" s="19">
        <v>1</v>
      </c>
      <c r="B8" s="3" t="s">
        <v>34</v>
      </c>
      <c r="C8" s="4"/>
      <c r="D8" s="51">
        <v>45000</v>
      </c>
      <c r="E8" s="52">
        <v>20000</v>
      </c>
      <c r="F8" s="169">
        <v>0.5</v>
      </c>
      <c r="G8" s="62">
        <v>45000</v>
      </c>
      <c r="H8" s="26"/>
      <c r="I8" s="124">
        <v>18000</v>
      </c>
    </row>
    <row r="9" spans="1:9" ht="30" x14ac:dyDescent="0.25">
      <c r="A9" s="19">
        <v>2</v>
      </c>
      <c r="B9" s="3" t="s">
        <v>35</v>
      </c>
      <c r="C9" s="15">
        <v>50000</v>
      </c>
      <c r="D9" s="51">
        <v>30000</v>
      </c>
      <c r="E9" s="52">
        <v>25000</v>
      </c>
      <c r="F9" s="169"/>
      <c r="G9" s="62">
        <v>50000</v>
      </c>
      <c r="H9" s="29"/>
      <c r="I9" s="124">
        <v>22339</v>
      </c>
    </row>
    <row r="10" spans="1:9" ht="30" x14ac:dyDescent="0.25">
      <c r="A10" s="19">
        <v>3</v>
      </c>
      <c r="B10" s="6" t="s">
        <v>36</v>
      </c>
      <c r="C10" s="15">
        <v>40000</v>
      </c>
      <c r="D10" s="51">
        <v>100000</v>
      </c>
      <c r="E10" s="52">
        <v>30000</v>
      </c>
      <c r="F10" s="169"/>
      <c r="G10" s="62">
        <v>40000</v>
      </c>
      <c r="H10" s="50"/>
      <c r="I10" s="91"/>
    </row>
    <row r="11" spans="1:9" ht="60" x14ac:dyDescent="0.25">
      <c r="A11" s="19">
        <v>4</v>
      </c>
      <c r="B11" s="6" t="s">
        <v>37</v>
      </c>
      <c r="C11" s="51"/>
      <c r="D11" s="86">
        <v>50000</v>
      </c>
      <c r="E11" s="73">
        <v>55000</v>
      </c>
      <c r="F11" s="169"/>
      <c r="G11" s="69"/>
      <c r="H11" s="28">
        <v>50000</v>
      </c>
      <c r="I11" s="124">
        <v>37059.583635577852</v>
      </c>
    </row>
    <row r="12" spans="1:9" ht="24.95" customHeight="1" x14ac:dyDescent="0.25">
      <c r="A12" s="19">
        <v>5</v>
      </c>
      <c r="B12" s="6" t="s">
        <v>38</v>
      </c>
      <c r="C12" s="7">
        <v>50000</v>
      </c>
      <c r="D12" s="7"/>
      <c r="E12" s="8">
        <v>35000</v>
      </c>
      <c r="F12" s="169"/>
      <c r="G12" s="63">
        <v>50000</v>
      </c>
      <c r="H12" s="96"/>
      <c r="I12" s="91"/>
    </row>
    <row r="13" spans="1:9" ht="24" customHeight="1" x14ac:dyDescent="0.25">
      <c r="A13" s="19">
        <v>6</v>
      </c>
      <c r="B13" s="3" t="s">
        <v>39</v>
      </c>
      <c r="C13" s="7">
        <v>50000</v>
      </c>
      <c r="D13" s="7">
        <v>75000</v>
      </c>
      <c r="E13" s="8"/>
      <c r="F13" s="169"/>
      <c r="G13" s="63">
        <v>50000</v>
      </c>
      <c r="H13" s="96">
        <v>35000</v>
      </c>
      <c r="I13" s="91"/>
    </row>
    <row r="14" spans="1:9" ht="30" x14ac:dyDescent="0.25">
      <c r="A14" s="19">
        <v>7</v>
      </c>
      <c r="B14" s="3" t="s">
        <v>53</v>
      </c>
      <c r="C14" s="4"/>
      <c r="D14" s="5">
        <v>50000</v>
      </c>
      <c r="E14" s="8"/>
      <c r="F14" s="169"/>
      <c r="G14" s="63"/>
      <c r="H14" s="96"/>
      <c r="I14" s="91"/>
    </row>
    <row r="15" spans="1:9" x14ac:dyDescent="0.25">
      <c r="A15" s="19">
        <v>8</v>
      </c>
      <c r="B15" s="3" t="s">
        <v>54</v>
      </c>
      <c r="C15" s="7">
        <v>100000</v>
      </c>
      <c r="D15" s="7">
        <v>65000</v>
      </c>
      <c r="E15" s="8"/>
      <c r="F15" s="169"/>
      <c r="G15" s="69"/>
      <c r="H15" s="96">
        <v>45000</v>
      </c>
      <c r="I15" s="91"/>
    </row>
    <row r="16" spans="1:9" ht="30" x14ac:dyDescent="0.25">
      <c r="A16" s="19">
        <v>9</v>
      </c>
      <c r="B16" s="3" t="s">
        <v>55</v>
      </c>
      <c r="C16" s="7">
        <v>50000</v>
      </c>
      <c r="D16" s="7">
        <v>50000</v>
      </c>
      <c r="E16" s="8">
        <v>90000</v>
      </c>
      <c r="F16" s="169"/>
      <c r="G16" s="63">
        <v>50000</v>
      </c>
      <c r="H16" s="30">
        <v>50000</v>
      </c>
      <c r="I16" s="124">
        <v>45000</v>
      </c>
    </row>
    <row r="17" spans="1:9" x14ac:dyDescent="0.25">
      <c r="A17" s="19">
        <v>10</v>
      </c>
      <c r="B17" s="8" t="s">
        <v>33</v>
      </c>
      <c r="C17" s="7">
        <v>50000</v>
      </c>
      <c r="D17" s="9"/>
      <c r="E17" s="7"/>
      <c r="F17" s="169"/>
      <c r="G17" s="64">
        <v>50000</v>
      </c>
      <c r="H17" s="65"/>
      <c r="I17" s="91"/>
    </row>
    <row r="18" spans="1:9" x14ac:dyDescent="0.25">
      <c r="A18" s="166" t="s">
        <v>26</v>
      </c>
      <c r="B18" s="166"/>
      <c r="C18" s="10">
        <f>SUM(C8:C17)</f>
        <v>390000</v>
      </c>
      <c r="D18" s="10">
        <f>SUM(D8:D17)</f>
        <v>465000</v>
      </c>
      <c r="E18" s="10">
        <f>SUM(E8:E17)</f>
        <v>255000</v>
      </c>
      <c r="F18" s="169"/>
      <c r="G18" s="25">
        <f>SUM(G8:G17)</f>
        <v>335000</v>
      </c>
      <c r="H18" s="72">
        <f>SUM(H8:H17)</f>
        <v>180000</v>
      </c>
      <c r="I18" s="72">
        <f>I17+I16+I15+I14+I13+I12+I11+I10+I9+I8+I7+I6</f>
        <v>122398.58363557784</v>
      </c>
    </row>
    <row r="19" spans="1:9" ht="34.5" customHeight="1" x14ac:dyDescent="0.25">
      <c r="A19" s="163" t="s">
        <v>41</v>
      </c>
      <c r="B19" s="163"/>
      <c r="C19" s="163"/>
      <c r="D19" s="163"/>
      <c r="E19" s="163"/>
      <c r="F19" s="169"/>
      <c r="G19" s="66"/>
      <c r="H19" s="53"/>
      <c r="I19" s="91"/>
    </row>
    <row r="20" spans="1:9" ht="41.1" customHeight="1" x14ac:dyDescent="0.25">
      <c r="A20" s="19">
        <v>1</v>
      </c>
      <c r="B20" s="3" t="s">
        <v>43</v>
      </c>
      <c r="C20" s="15">
        <v>50000</v>
      </c>
      <c r="D20" s="5">
        <v>75000</v>
      </c>
      <c r="E20" s="8"/>
      <c r="F20" s="169"/>
      <c r="G20" s="67">
        <v>50000</v>
      </c>
      <c r="H20" s="99">
        <v>45000</v>
      </c>
      <c r="I20" s="91"/>
    </row>
    <row r="21" spans="1:9" ht="30" x14ac:dyDescent="0.25">
      <c r="A21" s="19">
        <v>3</v>
      </c>
      <c r="B21" s="3" t="s">
        <v>44</v>
      </c>
      <c r="C21" s="7">
        <v>40000</v>
      </c>
      <c r="D21" s="7">
        <v>75000</v>
      </c>
      <c r="E21" s="7">
        <v>60000</v>
      </c>
      <c r="F21" s="169"/>
      <c r="G21" s="67">
        <v>40000</v>
      </c>
      <c r="H21" s="118">
        <v>50000</v>
      </c>
      <c r="I21" s="91"/>
    </row>
    <row r="22" spans="1:9" ht="34.5" customHeight="1" x14ac:dyDescent="0.25">
      <c r="A22" s="19">
        <v>4</v>
      </c>
      <c r="B22" s="11" t="s">
        <v>42</v>
      </c>
      <c r="C22" s="7">
        <v>70000</v>
      </c>
      <c r="D22" s="7">
        <v>60000</v>
      </c>
      <c r="E22" s="8">
        <v>90000</v>
      </c>
      <c r="F22" s="169"/>
      <c r="G22" s="34">
        <v>50000</v>
      </c>
      <c r="H22" s="54">
        <v>60000</v>
      </c>
      <c r="I22" s="91"/>
    </row>
    <row r="23" spans="1:9" x14ac:dyDescent="0.25">
      <c r="A23" s="42"/>
      <c r="B23" s="43" t="s">
        <v>29</v>
      </c>
      <c r="C23" s="43">
        <f>SUM(C20:C22)</f>
        <v>160000</v>
      </c>
      <c r="D23" s="43">
        <f>SUM(D20:D22)</f>
        <v>210000</v>
      </c>
      <c r="E23" s="43">
        <f>SUM(E20:E22)</f>
        <v>150000</v>
      </c>
      <c r="F23" s="169"/>
      <c r="G23" s="41">
        <f>SUM(G20:G22)</f>
        <v>140000</v>
      </c>
      <c r="H23" s="55">
        <f>SUM(H20:H22)</f>
        <v>155000</v>
      </c>
      <c r="I23" s="92">
        <f>I22+I21+I19</f>
        <v>0</v>
      </c>
    </row>
    <row r="24" spans="1:9" ht="23.45" customHeight="1" x14ac:dyDescent="0.25">
      <c r="A24" s="158" t="s">
        <v>28</v>
      </c>
      <c r="B24" s="158"/>
      <c r="C24" s="158"/>
      <c r="D24" s="158"/>
      <c r="E24" s="158"/>
      <c r="F24" s="169"/>
      <c r="G24" s="24"/>
      <c r="H24" s="16"/>
      <c r="I24" s="91"/>
    </row>
    <row r="25" spans="1:9" ht="32.450000000000003" customHeight="1" x14ac:dyDescent="0.25">
      <c r="A25" s="163" t="s">
        <v>56</v>
      </c>
      <c r="B25" s="163"/>
      <c r="C25" s="163"/>
      <c r="D25" s="163"/>
      <c r="E25" s="163"/>
      <c r="F25" s="169"/>
      <c r="G25" s="63"/>
      <c r="H25" s="26"/>
      <c r="I25" s="91"/>
    </row>
    <row r="26" spans="1:9" ht="60" customHeight="1" x14ac:dyDescent="0.25">
      <c r="A26" s="19">
        <v>1</v>
      </c>
      <c r="B26" s="3" t="s">
        <v>60</v>
      </c>
      <c r="C26" s="74">
        <v>20000</v>
      </c>
      <c r="D26" s="74">
        <v>35000</v>
      </c>
      <c r="E26" s="74">
        <v>84999</v>
      </c>
      <c r="F26" s="169"/>
      <c r="G26" s="63"/>
      <c r="H26" s="98">
        <v>20000</v>
      </c>
      <c r="I26" s="91"/>
    </row>
    <row r="27" spans="1:9" ht="33.6" customHeight="1" x14ac:dyDescent="0.25">
      <c r="A27" s="19">
        <v>2</v>
      </c>
      <c r="B27" s="12" t="s">
        <v>59</v>
      </c>
      <c r="C27" s="74">
        <v>30000</v>
      </c>
      <c r="D27" s="74"/>
      <c r="E27" s="52"/>
      <c r="F27" s="169"/>
      <c r="G27" s="35">
        <v>30000</v>
      </c>
      <c r="H27" s="68"/>
      <c r="I27" s="91"/>
    </row>
    <row r="28" spans="1:9" ht="18.75" customHeight="1" x14ac:dyDescent="0.25">
      <c r="A28" s="164" t="s">
        <v>32</v>
      </c>
      <c r="B28" s="165"/>
      <c r="C28" s="44">
        <f>SUM(C26:C27)</f>
        <v>50000</v>
      </c>
      <c r="D28" s="44">
        <f>SUM(D26:D27)</f>
        <v>35000</v>
      </c>
      <c r="E28" s="44">
        <f>SUM(E26:E27)</f>
        <v>84999</v>
      </c>
      <c r="F28" s="169"/>
      <c r="G28" s="45">
        <f>SUM(G26:G27)</f>
        <v>30000</v>
      </c>
      <c r="H28" s="55">
        <f>SUM(H26:H27)</f>
        <v>20000</v>
      </c>
      <c r="I28" s="92">
        <f>I27+I26+I25+I24</f>
        <v>0</v>
      </c>
    </row>
    <row r="29" spans="1:9" ht="30.6" customHeight="1" x14ac:dyDescent="0.25">
      <c r="A29" s="161" t="s">
        <v>30</v>
      </c>
      <c r="B29" s="161"/>
      <c r="C29" s="161"/>
      <c r="D29" s="161"/>
      <c r="E29" s="161"/>
      <c r="F29" s="169"/>
      <c r="G29" s="63"/>
      <c r="H29" s="27"/>
      <c r="I29" s="91">
        <f t="shared" ref="I29:I32" si="0">SUM(G29:H29)</f>
        <v>0</v>
      </c>
    </row>
    <row r="30" spans="1:9" ht="47.25" customHeight="1" x14ac:dyDescent="0.25">
      <c r="A30" s="19">
        <v>1</v>
      </c>
      <c r="B30" s="11" t="s">
        <v>51</v>
      </c>
      <c r="C30" s="52">
        <f>5651+30000</f>
        <v>35651</v>
      </c>
      <c r="D30" s="74"/>
      <c r="E30" s="74">
        <v>15000</v>
      </c>
      <c r="F30" s="169"/>
      <c r="G30" s="37"/>
      <c r="H30" s="26"/>
      <c r="I30" s="91">
        <f t="shared" si="0"/>
        <v>0</v>
      </c>
    </row>
    <row r="31" spans="1:9" ht="80.25" customHeight="1" x14ac:dyDescent="0.25">
      <c r="A31" s="19">
        <v>2</v>
      </c>
      <c r="B31" s="3" t="s">
        <v>61</v>
      </c>
      <c r="C31" s="75"/>
      <c r="D31" s="75">
        <v>25000</v>
      </c>
      <c r="E31" s="75">
        <v>10000</v>
      </c>
      <c r="F31" s="169"/>
      <c r="G31" s="37"/>
      <c r="H31" s="31">
        <v>15000</v>
      </c>
      <c r="I31" s="91"/>
    </row>
    <row r="32" spans="1:9" ht="44.25" customHeight="1" x14ac:dyDescent="0.25">
      <c r="A32" s="19">
        <v>3</v>
      </c>
      <c r="B32" s="90" t="s">
        <v>45</v>
      </c>
      <c r="C32" s="76">
        <v>30000</v>
      </c>
      <c r="D32" s="75"/>
      <c r="E32" s="75"/>
      <c r="F32" s="169"/>
      <c r="G32" s="35"/>
      <c r="H32" s="68"/>
      <c r="I32" s="93">
        <f t="shared" si="0"/>
        <v>0</v>
      </c>
    </row>
    <row r="33" spans="1:11" ht="12.95" customHeight="1" x14ac:dyDescent="0.25">
      <c r="A33" s="162" t="s">
        <v>27</v>
      </c>
      <c r="B33" s="162"/>
      <c r="C33" s="44">
        <f>+C30+C31+C32</f>
        <v>65651</v>
      </c>
      <c r="D33" s="44">
        <f t="shared" ref="D33:E33" si="1">+D30+D31+D32</f>
        <v>25000</v>
      </c>
      <c r="E33" s="44">
        <f t="shared" si="1"/>
        <v>25000</v>
      </c>
      <c r="F33" s="169"/>
      <c r="G33" s="46">
        <v>0</v>
      </c>
      <c r="H33" s="55">
        <f>SUM(H30:H32)</f>
        <v>15000</v>
      </c>
      <c r="I33" s="123"/>
    </row>
    <row r="34" spans="1:11" ht="36.75" customHeight="1" x14ac:dyDescent="0.25">
      <c r="A34" s="158" t="s">
        <v>31</v>
      </c>
      <c r="B34" s="158"/>
      <c r="C34" s="158"/>
      <c r="D34" s="158"/>
      <c r="E34" s="158"/>
      <c r="F34" s="169"/>
      <c r="G34" s="77"/>
      <c r="H34" s="78"/>
      <c r="I34" s="94"/>
    </row>
    <row r="35" spans="1:11" ht="54.75" customHeight="1" x14ac:dyDescent="0.25">
      <c r="A35" s="19">
        <v>1</v>
      </c>
      <c r="B35" s="3" t="s">
        <v>62</v>
      </c>
      <c r="C35" s="51"/>
      <c r="D35" s="51"/>
      <c r="E35" s="51">
        <v>90000</v>
      </c>
      <c r="F35" s="169"/>
      <c r="G35" s="77"/>
      <c r="H35" s="78"/>
      <c r="I35" s="122">
        <f>68061.25+13138.72</f>
        <v>81199.97</v>
      </c>
      <c r="K35" s="121"/>
    </row>
    <row r="36" spans="1:11" ht="42.95" customHeight="1" x14ac:dyDescent="0.25">
      <c r="A36" s="19">
        <v>2</v>
      </c>
      <c r="B36" s="3" t="s">
        <v>17</v>
      </c>
      <c r="C36" s="52">
        <v>20000</v>
      </c>
      <c r="D36" s="51"/>
      <c r="E36" s="74"/>
      <c r="F36" s="59"/>
      <c r="G36" s="79">
        <v>20000</v>
      </c>
      <c r="H36" s="78"/>
      <c r="I36" s="94"/>
    </row>
    <row r="37" spans="1:11" ht="30.6" customHeight="1" x14ac:dyDescent="0.25">
      <c r="A37" s="19">
        <v>3</v>
      </c>
      <c r="B37" s="3" t="s">
        <v>46</v>
      </c>
      <c r="C37" s="74"/>
      <c r="D37" s="74">
        <v>5000</v>
      </c>
      <c r="E37" s="52"/>
      <c r="F37" s="59"/>
      <c r="G37" s="80"/>
      <c r="H37" s="97">
        <v>5000</v>
      </c>
      <c r="I37" s="94"/>
    </row>
    <row r="38" spans="1:11" ht="20.100000000000001" customHeight="1" x14ac:dyDescent="0.25">
      <c r="A38" s="19">
        <v>4</v>
      </c>
      <c r="B38" s="3" t="s">
        <v>18</v>
      </c>
      <c r="C38" s="7">
        <v>60000</v>
      </c>
      <c r="D38" s="7">
        <v>20000</v>
      </c>
      <c r="E38" s="8"/>
      <c r="F38" s="59"/>
      <c r="G38" s="79">
        <v>50000</v>
      </c>
      <c r="H38" s="97">
        <v>11450</v>
      </c>
      <c r="I38" s="94"/>
    </row>
    <row r="39" spans="1:11" ht="30" x14ac:dyDescent="0.25">
      <c r="A39" s="19">
        <v>5</v>
      </c>
      <c r="B39" s="3" t="s">
        <v>47</v>
      </c>
      <c r="C39" s="7">
        <v>80000</v>
      </c>
      <c r="D39" s="7">
        <v>20000</v>
      </c>
      <c r="E39" s="8"/>
      <c r="F39" s="59"/>
      <c r="G39" s="79">
        <v>48212</v>
      </c>
      <c r="H39" s="97">
        <v>10000</v>
      </c>
      <c r="I39" s="94"/>
    </row>
    <row r="40" spans="1:11" ht="54" customHeight="1" x14ac:dyDescent="0.25">
      <c r="A40" s="19">
        <v>6</v>
      </c>
      <c r="B40" s="3" t="s">
        <v>64</v>
      </c>
      <c r="C40" s="20">
        <f>120000+63350</f>
        <v>183350</v>
      </c>
      <c r="D40" s="7">
        <v>5000</v>
      </c>
      <c r="E40" s="7">
        <v>45000</v>
      </c>
      <c r="F40" s="59"/>
      <c r="G40" s="79">
        <v>121560</v>
      </c>
      <c r="H40" s="97">
        <v>5000</v>
      </c>
      <c r="I40" s="122">
        <f>8059+2398</f>
        <v>10457</v>
      </c>
    </row>
    <row r="41" spans="1:11" ht="30.6" customHeight="1" x14ac:dyDescent="0.25">
      <c r="A41" s="19">
        <v>7</v>
      </c>
      <c r="B41" s="3" t="s">
        <v>48</v>
      </c>
      <c r="C41" s="8">
        <v>15000</v>
      </c>
      <c r="D41" s="5">
        <v>5000</v>
      </c>
      <c r="E41" s="8"/>
      <c r="F41" s="59"/>
      <c r="G41" s="77">
        <v>15000</v>
      </c>
      <c r="H41" s="97">
        <v>5000</v>
      </c>
      <c r="I41" s="94"/>
    </row>
    <row r="42" spans="1:11" ht="21" customHeight="1" x14ac:dyDescent="0.25">
      <c r="A42" s="19">
        <v>8</v>
      </c>
      <c r="B42" s="3" t="s">
        <v>49</v>
      </c>
      <c r="C42" s="13"/>
      <c r="D42" s="13">
        <v>5000</v>
      </c>
      <c r="E42" s="13"/>
      <c r="F42" s="59"/>
      <c r="G42" s="62"/>
      <c r="H42" s="26"/>
      <c r="I42" s="16"/>
    </row>
    <row r="43" spans="1:11" ht="30" x14ac:dyDescent="0.25">
      <c r="A43" s="19">
        <v>9</v>
      </c>
      <c r="B43" s="3" t="s">
        <v>63</v>
      </c>
      <c r="C43" s="21"/>
      <c r="D43" s="5">
        <v>71000</v>
      </c>
      <c r="E43" s="8"/>
      <c r="F43" s="59"/>
      <c r="G43" s="63"/>
      <c r="H43" s="26">
        <v>62172</v>
      </c>
      <c r="I43" s="16"/>
    </row>
    <row r="44" spans="1:11" ht="37.700000000000003" customHeight="1" x14ac:dyDescent="0.25">
      <c r="A44" s="7">
        <v>10</v>
      </c>
      <c r="B44" s="3" t="s">
        <v>50</v>
      </c>
      <c r="C44" s="8"/>
      <c r="D44" s="7">
        <v>10000</v>
      </c>
      <c r="E44" s="22"/>
      <c r="F44" s="153"/>
      <c r="G44" s="34"/>
      <c r="H44" s="54">
        <v>10000</v>
      </c>
      <c r="I44" s="16"/>
    </row>
    <row r="45" spans="1:11" ht="24.75" customHeight="1" x14ac:dyDescent="0.25">
      <c r="A45" s="151" t="s">
        <v>73</v>
      </c>
      <c r="B45" s="152"/>
      <c r="C45" s="43">
        <f>SUM(C35:C44)</f>
        <v>358350</v>
      </c>
      <c r="D45" s="43">
        <f>SUM(D35:D44)</f>
        <v>141000</v>
      </c>
      <c r="E45" s="43">
        <f t="shared" ref="E45" si="2">SUM(E35:E44)</f>
        <v>135000</v>
      </c>
      <c r="F45" s="153"/>
      <c r="G45" s="41">
        <f>SUM(G38:G41)</f>
        <v>234772</v>
      </c>
      <c r="H45" s="41">
        <f>SUM(H35:H44)</f>
        <v>108622</v>
      </c>
      <c r="I45" s="81">
        <f>I34+I35+I36+I37+I38+I39+I40+I41+I42+I43+I44</f>
        <v>91656.97</v>
      </c>
    </row>
    <row r="46" spans="1:11" s="2" customFormat="1" ht="30" customHeight="1" x14ac:dyDescent="0.25">
      <c r="A46" s="47" t="s">
        <v>57</v>
      </c>
      <c r="B46" s="47"/>
      <c r="C46" s="48">
        <f>+C45+C33+C28+C23+C18</f>
        <v>1024001</v>
      </c>
      <c r="D46" s="48">
        <f>+D45+D33+D28+D23+D18</f>
        <v>876000</v>
      </c>
      <c r="E46" s="48">
        <f>+E45+E33+E28+E23+E18</f>
        <v>649999</v>
      </c>
      <c r="F46" s="153"/>
      <c r="G46" s="49">
        <f>SUM(G45+G23+G18)</f>
        <v>709772</v>
      </c>
      <c r="H46" s="70">
        <f>SUM(H45+H23+H18)</f>
        <v>443622</v>
      </c>
      <c r="I46" s="82">
        <f>I45+I33+I28+I23+I18</f>
        <v>214055.55363557785</v>
      </c>
    </row>
    <row r="47" spans="1:11" s="2" customFormat="1" x14ac:dyDescent="0.25">
      <c r="A47" s="14"/>
      <c r="B47" s="14" t="s">
        <v>66</v>
      </c>
      <c r="C47" s="13">
        <f>+C46*100/107</f>
        <v>957010.28037383175</v>
      </c>
      <c r="D47" s="13">
        <f>+D46*100/107</f>
        <v>818691.58878504671</v>
      </c>
      <c r="E47" s="13">
        <f>+E46*100/107</f>
        <v>607475.70093457948</v>
      </c>
      <c r="F47" s="57"/>
      <c r="G47" s="38">
        <f>G46*100/107</f>
        <v>663338.3177570093</v>
      </c>
      <c r="H47" s="32">
        <f>+H46*100/107</f>
        <v>414600</v>
      </c>
      <c r="I47" s="83">
        <f>I46*100/107</f>
        <v>200051.91928558677</v>
      </c>
    </row>
    <row r="48" spans="1:11" x14ac:dyDescent="0.25">
      <c r="A48" s="14"/>
      <c r="B48" s="14" t="s">
        <v>65</v>
      </c>
      <c r="C48" s="14">
        <f>+C46-C47</f>
        <v>66990.719626168255</v>
      </c>
      <c r="D48" s="14">
        <f>+D46-D47</f>
        <v>57308.411214953288</v>
      </c>
      <c r="E48" s="14">
        <f>+E46-E47</f>
        <v>42523.29906542052</v>
      </c>
      <c r="F48" s="57"/>
      <c r="G48" s="38">
        <f>G47*7%</f>
        <v>46433.682242990653</v>
      </c>
      <c r="H48" s="38">
        <f>H47*7%</f>
        <v>29022.000000000004</v>
      </c>
      <c r="I48" s="119">
        <f>I47/100*7</f>
        <v>14003.634349991074</v>
      </c>
    </row>
    <row r="49" spans="1:9" x14ac:dyDescent="0.25">
      <c r="A49" s="14"/>
      <c r="B49" s="14" t="s">
        <v>67</v>
      </c>
      <c r="C49" s="14">
        <f>SUM(C47:C48)</f>
        <v>1024001</v>
      </c>
      <c r="D49" s="14">
        <f>SUM(D47:D48)</f>
        <v>876000</v>
      </c>
      <c r="E49" s="14">
        <f>SUM(E47:E48)</f>
        <v>649999</v>
      </c>
      <c r="F49" s="57"/>
      <c r="G49" s="38">
        <f>G47+G48</f>
        <v>709772</v>
      </c>
      <c r="H49" s="38">
        <f>H47+H48</f>
        <v>443622</v>
      </c>
      <c r="I49" s="119">
        <f>I47+I48</f>
        <v>214055.55363557785</v>
      </c>
    </row>
    <row r="50" spans="1:9" ht="15.75" x14ac:dyDescent="0.25">
      <c r="A50" s="17" t="s">
        <v>68</v>
      </c>
      <c r="B50" s="14"/>
      <c r="C50" s="14"/>
      <c r="D50" s="14"/>
      <c r="E50" s="23">
        <f>C49+D49+E49</f>
        <v>2550000</v>
      </c>
      <c r="F50" s="57"/>
      <c r="G50" s="71"/>
      <c r="H50" s="33"/>
      <c r="I50" s="120">
        <f>SUM(G49:I49)</f>
        <v>1367449.5536355779</v>
      </c>
    </row>
    <row r="51" spans="1:9" x14ac:dyDescent="0.25">
      <c r="A51" s="16"/>
      <c r="B51" s="16"/>
      <c r="C51" s="16"/>
      <c r="D51" s="16"/>
      <c r="E51" s="16"/>
      <c r="F51" s="60"/>
      <c r="G51" s="69"/>
      <c r="H51" s="88"/>
      <c r="I51" s="16"/>
    </row>
    <row r="52" spans="1:9" x14ac:dyDescent="0.25">
      <c r="A52" s="149" t="s">
        <v>70</v>
      </c>
      <c r="B52" s="150"/>
      <c r="C52" s="16"/>
      <c r="D52" s="16"/>
      <c r="E52" s="87">
        <f>I50/E50</f>
        <v>0.53625472691591292</v>
      </c>
      <c r="F52" s="60"/>
      <c r="G52" s="84">
        <f>G49/C49</f>
        <v>0.69313604185933408</v>
      </c>
      <c r="H52" s="85">
        <f>H46/D49</f>
        <v>0.50641780821917803</v>
      </c>
      <c r="I52" s="89">
        <f>I46/E49</f>
        <v>0.32931674300357056</v>
      </c>
    </row>
    <row r="53" spans="1:9" x14ac:dyDescent="0.25">
      <c r="A53" s="149" t="s">
        <v>71</v>
      </c>
      <c r="B53" s="150"/>
      <c r="C53" s="16"/>
      <c r="D53" s="16"/>
      <c r="E53" s="87">
        <f>I50/1776186</f>
        <v>0.7698797049608419</v>
      </c>
      <c r="F53" s="60"/>
      <c r="G53" s="95">
        <f>G49/717415</f>
        <v>0.98934647310134305</v>
      </c>
      <c r="H53" s="95">
        <f>'Budget Global'!H46/612575</f>
        <v>0.72419213973799124</v>
      </c>
      <c r="I53" s="95">
        <f>'Budget Global'!I46/446196</f>
        <v>0.47973436255721219</v>
      </c>
    </row>
    <row r="54" spans="1:9" x14ac:dyDescent="0.25">
      <c r="A54" s="16"/>
      <c r="B54" s="16"/>
      <c r="C54" s="16"/>
      <c r="D54" s="16"/>
      <c r="E54" s="16"/>
      <c r="F54" s="60"/>
      <c r="G54" s="69"/>
      <c r="H54" s="16"/>
      <c r="I54" s="16"/>
    </row>
  </sheetData>
  <sortState xmlns:xlrd2="http://schemas.microsoft.com/office/spreadsheetml/2017/richdata2" ref="A64:E71">
    <sortCondition ref="B64:B71"/>
  </sortState>
  <mergeCells count="18">
    <mergeCell ref="A2:F2"/>
    <mergeCell ref="A4:F4"/>
    <mergeCell ref="A34:E34"/>
    <mergeCell ref="A6:F6"/>
    <mergeCell ref="A29:E29"/>
    <mergeCell ref="A33:B33"/>
    <mergeCell ref="A25:E25"/>
    <mergeCell ref="A28:B28"/>
    <mergeCell ref="A18:B18"/>
    <mergeCell ref="A24:E24"/>
    <mergeCell ref="A7:F7"/>
    <mergeCell ref="F8:F35"/>
    <mergeCell ref="A19:E19"/>
    <mergeCell ref="G4:I4"/>
    <mergeCell ref="A52:B52"/>
    <mergeCell ref="A53:B53"/>
    <mergeCell ref="A45:B45"/>
    <mergeCell ref="F44:F46"/>
  </mergeCells>
  <pageMargins left="0.7" right="0.7" top="0.75" bottom="0.75" header="0.3" footer="0.3"/>
  <pageSetup scale="65" orientation="landscape" r:id="rId1"/>
  <rowBreaks count="1" manualBreakCount="1">
    <brk id="2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22"/>
  <sheetViews>
    <sheetView topLeftCell="A4" workbookViewId="0">
      <selection activeCell="L27" sqref="L27"/>
    </sheetView>
  </sheetViews>
  <sheetFormatPr baseColWidth="10" defaultRowHeight="15" x14ac:dyDescent="0.25"/>
  <cols>
    <col min="1" max="1" width="27.140625" customWidth="1"/>
    <col min="4" max="7" width="9.140625" bestFit="1" customWidth="1"/>
    <col min="8" max="8" width="10.5703125" bestFit="1" customWidth="1"/>
    <col min="9" max="9" width="9.140625" bestFit="1" customWidth="1"/>
    <col min="10" max="10" width="10.5703125" bestFit="1" customWidth="1"/>
    <col min="11" max="13" width="10.42578125" bestFit="1" customWidth="1"/>
  </cols>
  <sheetData>
    <row r="2" spans="1:13" ht="15.75" x14ac:dyDescent="0.25">
      <c r="A2" s="125" t="s">
        <v>4</v>
      </c>
      <c r="B2" s="125"/>
      <c r="C2" s="125"/>
      <c r="D2" s="125"/>
      <c r="E2" s="126"/>
      <c r="F2" s="126"/>
      <c r="G2" s="126"/>
      <c r="H2" s="126"/>
      <c r="I2" s="126"/>
      <c r="J2" s="126"/>
      <c r="K2" s="126"/>
      <c r="L2" s="126"/>
      <c r="M2" s="126"/>
    </row>
    <row r="3" spans="1:13" x14ac:dyDescent="0.25">
      <c r="A3" s="127"/>
      <c r="B3" s="127"/>
      <c r="C3" s="127"/>
      <c r="D3" s="127"/>
      <c r="E3" s="126"/>
      <c r="F3" s="126"/>
      <c r="G3" s="126"/>
      <c r="H3" s="126"/>
      <c r="I3" s="126"/>
      <c r="J3" s="126"/>
      <c r="K3" s="126"/>
      <c r="L3" s="126"/>
      <c r="M3" s="126"/>
    </row>
    <row r="4" spans="1:13" ht="15.75" thickBot="1" x14ac:dyDescent="0.3">
      <c r="A4" s="126"/>
      <c r="B4" s="126"/>
      <c r="C4" s="126"/>
      <c r="D4" s="126"/>
      <c r="E4" s="126"/>
      <c r="F4" s="126"/>
      <c r="G4" s="126"/>
      <c r="H4" s="126"/>
      <c r="I4" s="126"/>
      <c r="J4" s="126"/>
      <c r="K4" s="126"/>
      <c r="L4" s="126"/>
      <c r="M4" s="126"/>
    </row>
    <row r="5" spans="1:13" ht="26.25" thickBot="1" x14ac:dyDescent="0.3">
      <c r="A5" s="171" t="s">
        <v>0</v>
      </c>
      <c r="B5" s="173" t="s">
        <v>14</v>
      </c>
      <c r="C5" s="174"/>
      <c r="D5" s="173" t="s">
        <v>15</v>
      </c>
      <c r="E5" s="174"/>
      <c r="F5" s="173" t="s">
        <v>16</v>
      </c>
      <c r="G5" s="174"/>
      <c r="H5" s="128" t="s">
        <v>75</v>
      </c>
      <c r="I5" s="128" t="s">
        <v>76</v>
      </c>
      <c r="J5" s="175" t="s">
        <v>77</v>
      </c>
      <c r="K5" s="177" t="s">
        <v>78</v>
      </c>
      <c r="L5" s="177"/>
      <c r="M5" s="177"/>
    </row>
    <row r="6" spans="1:13" ht="26.25" thickBot="1" x14ac:dyDescent="0.3">
      <c r="A6" s="172"/>
      <c r="B6" s="129" t="s">
        <v>2</v>
      </c>
      <c r="C6" s="129" t="s">
        <v>79</v>
      </c>
      <c r="D6" s="129" t="s">
        <v>2</v>
      </c>
      <c r="E6" s="129" t="s">
        <v>79</v>
      </c>
      <c r="F6" s="129" t="s">
        <v>2</v>
      </c>
      <c r="G6" s="129" t="s">
        <v>79</v>
      </c>
      <c r="H6" s="129"/>
      <c r="I6" s="129"/>
      <c r="J6" s="176"/>
      <c r="K6" s="130" t="s">
        <v>80</v>
      </c>
      <c r="L6" s="130" t="s">
        <v>15</v>
      </c>
      <c r="M6" s="130" t="s">
        <v>16</v>
      </c>
    </row>
    <row r="7" spans="1:13" ht="15.75" thickBot="1" x14ac:dyDescent="0.3">
      <c r="A7" s="131" t="s">
        <v>5</v>
      </c>
      <c r="B7" s="132">
        <f>70000*0.7</f>
        <v>49000</v>
      </c>
      <c r="C7" s="132">
        <f>70000*0.3</f>
        <v>21000</v>
      </c>
      <c r="D7" s="132">
        <v>50000</v>
      </c>
      <c r="E7" s="132">
        <v>20000</v>
      </c>
      <c r="F7" s="132">
        <f>45000/100*70</f>
        <v>31500</v>
      </c>
      <c r="G7" s="132">
        <f>45000/100*30</f>
        <v>13500</v>
      </c>
      <c r="H7" s="132">
        <f>+B7+D7+F7</f>
        <v>130500</v>
      </c>
      <c r="I7" s="132">
        <f>+C7+E7+G7</f>
        <v>54500</v>
      </c>
      <c r="J7" s="133">
        <f>+H7+I7</f>
        <v>185000</v>
      </c>
      <c r="K7" s="130">
        <v>39000</v>
      </c>
      <c r="L7" s="130">
        <v>47000</v>
      </c>
      <c r="M7" s="130">
        <v>10457</v>
      </c>
    </row>
    <row r="8" spans="1:13" ht="26.25" thickBot="1" x14ac:dyDescent="0.3">
      <c r="A8" s="134" t="s">
        <v>6</v>
      </c>
      <c r="B8" s="132">
        <f>5000*0.7</f>
        <v>3500</v>
      </c>
      <c r="C8" s="132">
        <f>5000*0.3</f>
        <v>1500</v>
      </c>
      <c r="D8" s="135">
        <v>5000</v>
      </c>
      <c r="E8" s="132">
        <v>2000</v>
      </c>
      <c r="F8" s="132">
        <f>6050/100*70</f>
        <v>4235</v>
      </c>
      <c r="G8" s="132">
        <f>6050/100*30</f>
        <v>1815</v>
      </c>
      <c r="H8" s="132">
        <f t="shared" ref="H8:I15" si="0">+B8+D8+F8</f>
        <v>12735</v>
      </c>
      <c r="I8" s="132">
        <f t="shared" si="0"/>
        <v>5315</v>
      </c>
      <c r="J8" s="133">
        <f t="shared" ref="J8:J15" si="1">+H8+I8</f>
        <v>18050</v>
      </c>
      <c r="K8" s="130">
        <v>3500</v>
      </c>
      <c r="L8" s="130">
        <v>5000</v>
      </c>
      <c r="M8" s="130"/>
    </row>
    <row r="9" spans="1:13" ht="39" thickBot="1" x14ac:dyDescent="0.3">
      <c r="A9" s="134" t="s">
        <v>7</v>
      </c>
      <c r="B9" s="132">
        <f>10000*0.7</f>
        <v>7000</v>
      </c>
      <c r="C9" s="132">
        <f>10000*0.3</f>
        <v>3000</v>
      </c>
      <c r="D9" s="132"/>
      <c r="E9" s="132"/>
      <c r="F9" s="132"/>
      <c r="G9" s="132"/>
      <c r="H9" s="132">
        <f t="shared" si="0"/>
        <v>7000</v>
      </c>
      <c r="I9" s="132">
        <f t="shared" si="0"/>
        <v>3000</v>
      </c>
      <c r="J9" s="133">
        <f t="shared" si="1"/>
        <v>10000</v>
      </c>
      <c r="K9" s="130">
        <v>7000</v>
      </c>
      <c r="L9" s="130"/>
      <c r="M9" s="130"/>
    </row>
    <row r="10" spans="1:13" ht="15.75" thickBot="1" x14ac:dyDescent="0.3">
      <c r="A10" s="134" t="s">
        <v>8</v>
      </c>
      <c r="B10" s="132">
        <f>740000*0.7</f>
        <v>517999.99999999994</v>
      </c>
      <c r="C10" s="132">
        <f>740000*0.3</f>
        <v>222000</v>
      </c>
      <c r="D10" s="132">
        <v>330000</v>
      </c>
      <c r="E10" s="132">
        <v>140000</v>
      </c>
      <c r="F10" s="132">
        <f>520300/100*70-(4114)</f>
        <v>360096</v>
      </c>
      <c r="G10" s="132">
        <f>520300/100*30</f>
        <v>156090</v>
      </c>
      <c r="H10" s="132">
        <f t="shared" si="0"/>
        <v>1208096</v>
      </c>
      <c r="I10" s="132">
        <f t="shared" si="0"/>
        <v>518090</v>
      </c>
      <c r="J10" s="133">
        <f t="shared" si="1"/>
        <v>1726186</v>
      </c>
      <c r="K10" s="130">
        <v>518038</v>
      </c>
      <c r="L10" s="130">
        <v>197024</v>
      </c>
      <c r="M10" s="130">
        <v>184614</v>
      </c>
    </row>
    <row r="11" spans="1:13" ht="15.75" thickBot="1" x14ac:dyDescent="0.3">
      <c r="A11" s="134" t="s">
        <v>9</v>
      </c>
      <c r="B11" s="132">
        <f>34250*0.7</f>
        <v>23975</v>
      </c>
      <c r="C11" s="132">
        <f>34250*0.3-(820)</f>
        <v>9455</v>
      </c>
      <c r="D11" s="132"/>
      <c r="E11" s="132"/>
      <c r="F11" s="132"/>
      <c r="G11" s="132"/>
      <c r="H11" s="132">
        <f t="shared" si="0"/>
        <v>23975</v>
      </c>
      <c r="I11" s="132">
        <f t="shared" si="0"/>
        <v>9455</v>
      </c>
      <c r="J11" s="133">
        <f t="shared" si="1"/>
        <v>33430</v>
      </c>
      <c r="K11" s="130">
        <v>23800</v>
      </c>
      <c r="L11" s="130"/>
      <c r="M11" s="130"/>
    </row>
    <row r="12" spans="1:13" ht="26.25" thickBot="1" x14ac:dyDescent="0.3">
      <c r="A12" s="134" t="s">
        <v>10</v>
      </c>
      <c r="B12" s="132"/>
      <c r="C12" s="132"/>
      <c r="D12" s="132">
        <v>170000</v>
      </c>
      <c r="E12" s="132">
        <f>2692+74000</f>
        <v>76692</v>
      </c>
      <c r="F12" s="132"/>
      <c r="G12" s="132"/>
      <c r="H12" s="132">
        <f>+B12+D12+F12</f>
        <v>170000</v>
      </c>
      <c r="I12" s="132">
        <f>+C12+E12+G12</f>
        <v>76692</v>
      </c>
      <c r="J12" s="133">
        <f t="shared" si="1"/>
        <v>246692</v>
      </c>
      <c r="K12" s="130"/>
      <c r="L12" s="130">
        <v>150000</v>
      </c>
      <c r="M12" s="130"/>
    </row>
    <row r="13" spans="1:13" ht="39" thickBot="1" x14ac:dyDescent="0.3">
      <c r="A13" s="134" t="s">
        <v>11</v>
      </c>
      <c r="B13" s="132">
        <f>71000*0.7+19306</f>
        <v>69006</v>
      </c>
      <c r="C13" s="132">
        <f>71000*0.3+8274</f>
        <v>29574</v>
      </c>
      <c r="D13" s="132">
        <v>17500</v>
      </c>
      <c r="E13" s="132">
        <f>7500</f>
        <v>7500</v>
      </c>
      <c r="F13" s="132">
        <f>30250/100*70</f>
        <v>21175</v>
      </c>
      <c r="G13" s="132">
        <f>30250/100*30+9991</f>
        <v>19066</v>
      </c>
      <c r="H13" s="132">
        <f t="shared" si="0"/>
        <v>107681</v>
      </c>
      <c r="I13" s="132">
        <f t="shared" si="0"/>
        <v>56140</v>
      </c>
      <c r="J13" s="133">
        <f t="shared" si="1"/>
        <v>163821</v>
      </c>
      <c r="K13" s="130">
        <v>72000</v>
      </c>
      <c r="L13" s="130">
        <v>15576</v>
      </c>
      <c r="M13" s="130">
        <v>5000</v>
      </c>
    </row>
    <row r="14" spans="1:13" ht="15.75" thickBot="1" x14ac:dyDescent="0.3">
      <c r="A14" s="136" t="s">
        <v>12</v>
      </c>
      <c r="B14" s="137">
        <f t="shared" ref="B14:G14" si="2">SUM(B7:B13)</f>
        <v>670481</v>
      </c>
      <c r="C14" s="137">
        <f t="shared" si="2"/>
        <v>286529</v>
      </c>
      <c r="D14" s="137">
        <v>572500</v>
      </c>
      <c r="E14" s="137">
        <f>SUM(E7:E13)</f>
        <v>246192</v>
      </c>
      <c r="F14" s="138">
        <f t="shared" si="2"/>
        <v>417006</v>
      </c>
      <c r="G14" s="139">
        <f t="shared" si="2"/>
        <v>190471</v>
      </c>
      <c r="H14" s="139">
        <f t="shared" si="0"/>
        <v>1659987</v>
      </c>
      <c r="I14" s="139">
        <f t="shared" si="0"/>
        <v>723192</v>
      </c>
      <c r="J14" s="140">
        <f t="shared" si="1"/>
        <v>2383179</v>
      </c>
      <c r="K14" s="130">
        <f>SUM(K7:K13)</f>
        <v>663338</v>
      </c>
      <c r="L14" s="130">
        <f t="shared" ref="L14:M14" si="3">SUM(L7:L13)</f>
        <v>414600</v>
      </c>
      <c r="M14" s="130">
        <f t="shared" si="3"/>
        <v>200071</v>
      </c>
    </row>
    <row r="15" spans="1:13" ht="15.75" thickBot="1" x14ac:dyDescent="0.3">
      <c r="A15" s="134" t="s">
        <v>13</v>
      </c>
      <c r="B15" s="132">
        <f>+B14*0.07</f>
        <v>46933.670000000006</v>
      </c>
      <c r="C15" s="132">
        <f>+C14*0.07</f>
        <v>20057.030000000002</v>
      </c>
      <c r="D15" s="132">
        <f t="shared" ref="D15:G15" si="4">+D14*0.07</f>
        <v>40075.000000000007</v>
      </c>
      <c r="E15" s="132">
        <f t="shared" si="4"/>
        <v>17233.440000000002</v>
      </c>
      <c r="F15" s="132">
        <f t="shared" si="4"/>
        <v>29190.420000000002</v>
      </c>
      <c r="G15" s="132">
        <f t="shared" si="4"/>
        <v>13332.970000000001</v>
      </c>
      <c r="H15" s="132">
        <f t="shared" si="0"/>
        <v>116199.09000000001</v>
      </c>
      <c r="I15" s="132">
        <f t="shared" si="0"/>
        <v>50623.44</v>
      </c>
      <c r="J15" s="133">
        <f t="shared" si="1"/>
        <v>166822.53000000003</v>
      </c>
      <c r="K15" s="130">
        <f>+K14*0.07</f>
        <v>46433.66</v>
      </c>
      <c r="L15" s="130">
        <f t="shared" ref="L15:M15" si="5">+L14*0.07</f>
        <v>29022.000000000004</v>
      </c>
      <c r="M15" s="130">
        <f t="shared" si="5"/>
        <v>14004.970000000001</v>
      </c>
    </row>
    <row r="16" spans="1:13" ht="15.75" thickBot="1" x14ac:dyDescent="0.3">
      <c r="A16" s="134"/>
      <c r="B16" s="132"/>
      <c r="C16" s="132"/>
      <c r="D16" s="132"/>
      <c r="E16" s="132"/>
      <c r="F16" s="132"/>
      <c r="G16" s="132"/>
      <c r="H16" s="132"/>
      <c r="I16" s="132"/>
      <c r="J16" s="132"/>
      <c r="K16" s="141"/>
      <c r="L16" s="141"/>
      <c r="M16" s="141"/>
    </row>
    <row r="17" spans="1:13" ht="15.75" thickBot="1" x14ac:dyDescent="0.3">
      <c r="A17" s="136" t="s">
        <v>1</v>
      </c>
      <c r="B17" s="137">
        <f t="shared" ref="B17:J17" si="6">+B14+B15</f>
        <v>717414.67</v>
      </c>
      <c r="C17" s="137">
        <f t="shared" si="6"/>
        <v>306586.03000000003</v>
      </c>
      <c r="D17" s="139">
        <f t="shared" si="6"/>
        <v>612575</v>
      </c>
      <c r="E17" s="139">
        <f t="shared" si="6"/>
        <v>263425.44</v>
      </c>
      <c r="F17" s="139">
        <f t="shared" si="6"/>
        <v>446196.42</v>
      </c>
      <c r="G17" s="139">
        <f t="shared" si="6"/>
        <v>203803.97</v>
      </c>
      <c r="H17" s="139">
        <f t="shared" si="6"/>
        <v>1776186.09</v>
      </c>
      <c r="I17" s="139">
        <f t="shared" si="6"/>
        <v>773815.44</v>
      </c>
      <c r="J17" s="140">
        <f t="shared" si="6"/>
        <v>2550001.5300000003</v>
      </c>
      <c r="K17" s="130">
        <f>+K14+K15</f>
        <v>709771.66</v>
      </c>
      <c r="L17" s="130">
        <f t="shared" ref="L17:M17" si="7">+L14+L15</f>
        <v>443622</v>
      </c>
      <c r="M17" s="130">
        <f t="shared" si="7"/>
        <v>214075.97</v>
      </c>
    </row>
    <row r="18" spans="1:13" x14ac:dyDescent="0.25">
      <c r="A18" s="126"/>
      <c r="B18" s="126"/>
      <c r="C18" s="126"/>
      <c r="D18" s="126"/>
      <c r="E18" s="126"/>
      <c r="F18" s="126"/>
      <c r="G18" s="126"/>
      <c r="H18" s="126"/>
      <c r="I18" s="126"/>
      <c r="J18" s="126"/>
      <c r="K18" s="126"/>
      <c r="L18" s="126"/>
      <c r="M18" s="126"/>
    </row>
    <row r="19" spans="1:13" x14ac:dyDescent="0.25">
      <c r="A19" s="126"/>
      <c r="B19" s="126"/>
      <c r="C19" s="126"/>
      <c r="D19" s="126"/>
      <c r="E19" s="126"/>
      <c r="F19" s="126"/>
      <c r="G19" s="126"/>
      <c r="H19" s="126"/>
      <c r="I19" s="126"/>
      <c r="J19" s="126"/>
      <c r="K19" s="126"/>
      <c r="L19" s="126"/>
      <c r="M19" s="126"/>
    </row>
    <row r="20" spans="1:13" ht="30" x14ac:dyDescent="0.25">
      <c r="A20" s="144" t="s">
        <v>82</v>
      </c>
      <c r="B20" s="170"/>
      <c r="C20" s="170"/>
      <c r="D20" s="170"/>
      <c r="E20" s="170"/>
      <c r="F20" s="170"/>
      <c r="G20" s="170"/>
      <c r="H20" s="170"/>
      <c r="I20" s="170"/>
      <c r="J20" s="170"/>
      <c r="K20" s="145">
        <f>K17/2</f>
        <v>354885.83</v>
      </c>
      <c r="L20" s="145">
        <f t="shared" ref="L20:M20" si="8">L17/2</f>
        <v>221811</v>
      </c>
      <c r="M20" s="145">
        <f t="shared" si="8"/>
        <v>107037.985</v>
      </c>
    </row>
    <row r="21" spans="1:13" x14ac:dyDescent="0.25">
      <c r="A21" s="126"/>
      <c r="B21" s="126"/>
      <c r="C21" s="126"/>
      <c r="D21" s="126"/>
      <c r="E21" s="126"/>
      <c r="F21" s="126"/>
      <c r="G21" s="126"/>
      <c r="H21" s="126"/>
      <c r="I21" s="126"/>
      <c r="J21" s="126"/>
      <c r="K21" s="126"/>
      <c r="L21" s="126"/>
      <c r="M21" s="126"/>
    </row>
    <row r="22" spans="1:13" x14ac:dyDescent="0.25">
      <c r="A22" s="142" t="s">
        <v>81</v>
      </c>
      <c r="B22" s="142"/>
      <c r="C22" s="142"/>
      <c r="D22" s="142"/>
      <c r="E22" s="142"/>
      <c r="F22" s="142"/>
      <c r="G22" s="142"/>
      <c r="H22" s="142"/>
      <c r="I22" s="142"/>
      <c r="J22" s="142"/>
      <c r="K22" s="142"/>
      <c r="L22" s="143">
        <f>K20+L20+M20</f>
        <v>683734.81500000006</v>
      </c>
      <c r="M22" s="142"/>
    </row>
  </sheetData>
  <mergeCells count="7">
    <mergeCell ref="K5:M5"/>
    <mergeCell ref="B20:J20"/>
    <mergeCell ref="A5:A6"/>
    <mergeCell ref="B5:C5"/>
    <mergeCell ref="D5:E5"/>
    <mergeCell ref="F5:G5"/>
    <mergeCell ref="J5:J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zoomScale="80" zoomScaleNormal="80" workbookViewId="0">
      <selection activeCell="I17" sqref="I17"/>
    </sheetView>
  </sheetViews>
  <sheetFormatPr baseColWidth="10" defaultColWidth="8.85546875" defaultRowHeight="18" x14ac:dyDescent="0.25"/>
  <cols>
    <col min="1" max="1" width="27.5703125" style="101" customWidth="1"/>
    <col min="2" max="2" width="13.140625" style="101" customWidth="1"/>
    <col min="3" max="3" width="11.42578125" style="101" customWidth="1"/>
    <col min="4" max="4" width="14.140625" style="101" customWidth="1"/>
    <col min="5" max="5" width="5.7109375" style="101" customWidth="1"/>
    <col min="6" max="6" width="13.7109375" style="101" customWidth="1"/>
    <col min="7" max="7" width="14.140625" style="101" customWidth="1"/>
    <col min="8" max="8" width="13.7109375" style="101" customWidth="1"/>
    <col min="9" max="9" width="10" style="101" bestFit="1" customWidth="1"/>
    <col min="10" max="10" width="14.42578125" style="101" customWidth="1"/>
    <col min="11" max="11" width="39.5703125" style="101" customWidth="1"/>
    <col min="12" max="16384" width="8.85546875" style="101"/>
  </cols>
  <sheetData>
    <row r="1" spans="1:10" x14ac:dyDescent="0.25">
      <c r="A1" s="100" t="s">
        <v>4</v>
      </c>
      <c r="B1" s="100"/>
      <c r="C1" s="100"/>
    </row>
    <row r="2" spans="1:10" x14ac:dyDescent="0.25">
      <c r="A2" s="100"/>
      <c r="B2" s="100"/>
      <c r="C2" s="100"/>
    </row>
    <row r="3" spans="1:10" ht="18.75" thickBot="1" x14ac:dyDescent="0.3">
      <c r="F3" s="178" t="s">
        <v>69</v>
      </c>
      <c r="G3" s="178"/>
      <c r="H3" s="178"/>
    </row>
    <row r="4" spans="1:10" ht="18.75" thickBot="1" x14ac:dyDescent="0.3">
      <c r="A4" s="179" t="s">
        <v>0</v>
      </c>
      <c r="B4" s="102" t="s">
        <v>14</v>
      </c>
      <c r="C4" s="102" t="s">
        <v>15</v>
      </c>
      <c r="D4" s="102" t="s">
        <v>16</v>
      </c>
      <c r="E4" s="103"/>
      <c r="F4" s="181" t="s">
        <v>14</v>
      </c>
      <c r="G4" s="181" t="s">
        <v>15</v>
      </c>
      <c r="H4" s="181" t="s">
        <v>16</v>
      </c>
    </row>
    <row r="5" spans="1:10" ht="36.75" thickBot="1" x14ac:dyDescent="0.3">
      <c r="A5" s="180"/>
      <c r="B5" s="104" t="s">
        <v>2</v>
      </c>
      <c r="C5" s="104" t="s">
        <v>2</v>
      </c>
      <c r="D5" s="104" t="s">
        <v>2</v>
      </c>
      <c r="E5" s="103"/>
      <c r="F5" s="182"/>
      <c r="G5" s="182"/>
      <c r="H5" s="182"/>
    </row>
    <row r="6" spans="1:10" ht="40.5" customHeight="1" thickBot="1" x14ac:dyDescent="0.3">
      <c r="A6" s="105" t="s">
        <v>5</v>
      </c>
      <c r="B6" s="106">
        <f>70000*0.7</f>
        <v>49000</v>
      </c>
      <c r="C6" s="106">
        <v>50000</v>
      </c>
      <c r="D6" s="106">
        <f>45000/100*70</f>
        <v>31500</v>
      </c>
      <c r="E6" s="107"/>
      <c r="F6" s="108">
        <v>39000</v>
      </c>
      <c r="G6" s="108">
        <v>47000</v>
      </c>
      <c r="H6" s="108">
        <f>8059+2398</f>
        <v>10457</v>
      </c>
    </row>
    <row r="7" spans="1:10" ht="55.5" customHeight="1" thickBot="1" x14ac:dyDescent="0.3">
      <c r="A7" s="109" t="s">
        <v>6</v>
      </c>
      <c r="B7" s="106">
        <f>5000*0.7</f>
        <v>3500</v>
      </c>
      <c r="C7" s="110">
        <v>5000</v>
      </c>
      <c r="D7" s="106">
        <f>6050/100*70</f>
        <v>4235</v>
      </c>
      <c r="E7" s="107"/>
      <c r="F7" s="108">
        <v>3500</v>
      </c>
      <c r="G7" s="108">
        <v>5000</v>
      </c>
      <c r="H7" s="108"/>
      <c r="J7" s="111"/>
    </row>
    <row r="8" spans="1:10" ht="72.75" customHeight="1" thickBot="1" x14ac:dyDescent="0.3">
      <c r="A8" s="109" t="s">
        <v>7</v>
      </c>
      <c r="B8" s="106">
        <f>10000*0.7</f>
        <v>7000</v>
      </c>
      <c r="C8" s="106"/>
      <c r="D8" s="106"/>
      <c r="E8" s="107"/>
      <c r="F8" s="108">
        <v>7000</v>
      </c>
      <c r="G8" s="108"/>
      <c r="H8" s="108"/>
    </row>
    <row r="9" spans="1:10" ht="29.25" customHeight="1" thickBot="1" x14ac:dyDescent="0.3">
      <c r="A9" s="109" t="s">
        <v>8</v>
      </c>
      <c r="B9" s="106">
        <f>740000*0.7</f>
        <v>517999.99999999994</v>
      </c>
      <c r="C9" s="106">
        <v>330000</v>
      </c>
      <c r="D9" s="106">
        <f>520300/100*70-(4114)</f>
        <v>360096</v>
      </c>
      <c r="E9" s="107"/>
      <c r="F9" s="108">
        <v>518038</v>
      </c>
      <c r="G9" s="108">
        <f>180000+17024</f>
        <v>197024</v>
      </c>
      <c r="H9" s="108">
        <f>203598-4984</f>
        <v>198614</v>
      </c>
    </row>
    <row r="10" spans="1:10" ht="18.75" thickBot="1" x14ac:dyDescent="0.3">
      <c r="A10" s="109" t="s">
        <v>9</v>
      </c>
      <c r="B10" s="106">
        <f>34250*0.7</f>
        <v>23975</v>
      </c>
      <c r="C10" s="106"/>
      <c r="D10" s="106"/>
      <c r="E10" s="107"/>
      <c r="F10" s="108">
        <v>23800</v>
      </c>
      <c r="G10" s="108"/>
      <c r="H10" s="108"/>
    </row>
    <row r="11" spans="1:10" ht="54.75" thickBot="1" x14ac:dyDescent="0.3">
      <c r="A11" s="109" t="s">
        <v>10</v>
      </c>
      <c r="B11" s="106"/>
      <c r="C11" s="106">
        <v>170000</v>
      </c>
      <c r="D11" s="106"/>
      <c r="E11" s="107"/>
      <c r="F11" s="108"/>
      <c r="G11" s="108">
        <v>150000</v>
      </c>
      <c r="H11" s="108"/>
    </row>
    <row r="12" spans="1:10" ht="54.75" thickBot="1" x14ac:dyDescent="0.3">
      <c r="A12" s="109" t="s">
        <v>11</v>
      </c>
      <c r="B12" s="106">
        <f>71000*0.7+19306</f>
        <v>69006</v>
      </c>
      <c r="C12" s="106">
        <v>17500</v>
      </c>
      <c r="D12" s="106">
        <f>30250/100*70</f>
        <v>21175</v>
      </c>
      <c r="E12" s="107"/>
      <c r="F12" s="108">
        <v>72000</v>
      </c>
      <c r="G12" s="108">
        <f>576+15000</f>
        <v>15576</v>
      </c>
      <c r="H12" s="108">
        <v>5000</v>
      </c>
    </row>
    <row r="13" spans="1:10" ht="39" customHeight="1" thickBot="1" x14ac:dyDescent="0.3">
      <c r="A13" s="112" t="s">
        <v>12</v>
      </c>
      <c r="B13" s="113">
        <f t="shared" ref="B13:E13" si="0">SUM(B6:B12)</f>
        <v>670481</v>
      </c>
      <c r="C13" s="113">
        <v>572500</v>
      </c>
      <c r="D13" s="114">
        <f t="shared" si="0"/>
        <v>417006</v>
      </c>
      <c r="E13" s="107">
        <f t="shared" si="0"/>
        <v>0</v>
      </c>
      <c r="F13" s="113">
        <f>SUM(F6:F12)</f>
        <v>663338</v>
      </c>
      <c r="G13" s="115">
        <f>SUM(G6:G12)</f>
        <v>414600</v>
      </c>
      <c r="H13" s="116">
        <f>H12+H11+H10+H9+H8+H7+H6+H5</f>
        <v>214071</v>
      </c>
    </row>
    <row r="14" spans="1:10" ht="18.75" thickBot="1" x14ac:dyDescent="0.3">
      <c r="A14" s="109" t="s">
        <v>13</v>
      </c>
      <c r="B14" s="106">
        <f>+B13*0.07</f>
        <v>46933.670000000006</v>
      </c>
      <c r="C14" s="106">
        <f t="shared" ref="C14:D14" si="1">+C13*0.07</f>
        <v>40075.000000000007</v>
      </c>
      <c r="D14" s="106">
        <f t="shared" si="1"/>
        <v>29190.420000000002</v>
      </c>
      <c r="E14" s="106">
        <f t="shared" ref="E14" si="2">+E13*0.07</f>
        <v>0</v>
      </c>
      <c r="F14" s="106">
        <f t="shared" ref="F14" si="3">+F13*0.07</f>
        <v>46433.66</v>
      </c>
      <c r="G14" s="106">
        <v>29022</v>
      </c>
      <c r="H14" s="106">
        <f>+H13*0.07</f>
        <v>14984.970000000001</v>
      </c>
    </row>
    <row r="15" spans="1:10" ht="18.75" thickBot="1" x14ac:dyDescent="0.3">
      <c r="A15" s="109"/>
      <c r="B15" s="106"/>
      <c r="C15" s="106"/>
      <c r="D15" s="106"/>
      <c r="E15" s="107"/>
      <c r="F15" s="108"/>
      <c r="G15" s="108"/>
      <c r="H15" s="108"/>
    </row>
    <row r="16" spans="1:10" ht="18.75" thickBot="1" x14ac:dyDescent="0.3">
      <c r="A16" s="112" t="s">
        <v>1</v>
      </c>
      <c r="B16" s="113">
        <f t="shared" ref="B16:D16" si="4">+B13+B14</f>
        <v>717414.67</v>
      </c>
      <c r="C16" s="113">
        <f t="shared" si="4"/>
        <v>612575</v>
      </c>
      <c r="D16" s="113">
        <f t="shared" si="4"/>
        <v>446196.42</v>
      </c>
      <c r="E16" s="113"/>
      <c r="F16" s="113">
        <f>+F13+F14</f>
        <v>709771.66</v>
      </c>
      <c r="G16" s="115">
        <f>SUM(G13:G15)</f>
        <v>443622</v>
      </c>
      <c r="H16" s="115">
        <f>SUM(H13:H15)</f>
        <v>229055.97</v>
      </c>
    </row>
    <row r="17" spans="1:8" x14ac:dyDescent="0.25">
      <c r="A17" s="117"/>
      <c r="B17" s="117"/>
      <c r="C17" s="117"/>
      <c r="D17" s="117"/>
      <c r="E17" s="117"/>
      <c r="F17" s="117"/>
      <c r="G17" s="117"/>
      <c r="H17" s="117"/>
    </row>
    <row r="18" spans="1:8" x14ac:dyDescent="0.25">
      <c r="A18" s="117"/>
      <c r="B18" s="117"/>
      <c r="C18" s="117"/>
      <c r="D18" s="117"/>
      <c r="E18" s="117"/>
      <c r="F18" s="117"/>
      <c r="G18" s="117"/>
      <c r="H18" s="117"/>
    </row>
    <row r="19" spans="1:8" x14ac:dyDescent="0.25">
      <c r="A19" s="117"/>
      <c r="B19" s="117"/>
      <c r="C19" s="117"/>
      <c r="D19" s="117"/>
      <c r="E19" s="117"/>
      <c r="F19" s="117"/>
      <c r="G19" s="117"/>
      <c r="H19" s="117"/>
    </row>
  </sheetData>
  <mergeCells count="5">
    <mergeCell ref="F3:H3"/>
    <mergeCell ref="A4:A5"/>
    <mergeCell ref="F4:F5"/>
    <mergeCell ref="G4:G5"/>
    <mergeCell ref="H4:H5"/>
  </mergeCells>
  <pageMargins left="0.70866141732283472" right="0.70866141732283472" top="0.74803149606299213" bottom="0.74803149606299213" header="0.31496062992125984" footer="0.31496062992125984"/>
  <pageSetup scale="8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Budget Global</vt:lpstr>
      <vt:lpstr>Budget et Dépense par type</vt:lpstr>
      <vt:lpstr>BUDGET PAR TYPE</vt:lpstr>
      <vt:lpstr>'Budget Global'!Zone_d_impression</vt:lpstr>
      <vt:lpstr>'BUDGET PAR TYPE'!Zone_d_impression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Zelenovic;7</dc:creator>
  <cp:keywords>6</cp:keywords>
  <cp:lastModifiedBy>Alphonse</cp:lastModifiedBy>
  <cp:lastPrinted>2019-10-29T15:05:25Z</cp:lastPrinted>
  <dcterms:created xsi:type="dcterms:W3CDTF">2017-11-15T21:17:43Z</dcterms:created>
  <dcterms:modified xsi:type="dcterms:W3CDTF">2019-11-30T09:52:07Z</dcterms:modified>
</cp:coreProperties>
</file>