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INFORMES 2018/ANUALES/Borradores/Trinacional/FINAL reporte/"/>
    </mc:Choice>
  </mc:AlternateContent>
  <xr:revisionPtr revIDLastSave="0" documentId="10_ncr:100000_{8AB59F3B-0220-4D87-8454-A00686F3AE1D}" xr6:coauthVersionLast="31" xr6:coauthVersionMax="31" xr10:uidLastSave="{00000000-0000-0000-0000-000000000000}"/>
  <bookViews>
    <workbookView xWindow="0" yWindow="0" windowWidth="21600" windowHeight="10320" firstSheet="1" activeTab="4" xr2:uid="{00000000-000D-0000-FFFF-FFFF00000000}"/>
  </bookViews>
  <sheets>
    <sheet name="1.1 GTM Project Budget" sheetId="3" r:id="rId1"/>
    <sheet name="1.2 GTM Budget Cost Categoy" sheetId="4" r:id="rId2"/>
    <sheet name="2.1 SLV Project Budget" sheetId="1" r:id="rId3"/>
    <sheet name="2.1.A Budget Cost Category" sheetId="2" r:id="rId4"/>
    <sheet name="3.1 HN Project Budget" sheetId="5" r:id="rId5"/>
  </sheets>
  <externalReferences>
    <externalReference r:id="rId6"/>
    <externalReference r:id="rId7"/>
  </externalReference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TEST0">#REF!</definedName>
    <definedName name="TESTHKEY">#REF!</definedName>
    <definedName name="TESTKEYS">#REF!</definedName>
    <definedName name="TESTVKEY">#REF!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F11" i="5"/>
  <c r="F12" i="5"/>
  <c r="D13" i="5"/>
  <c r="F13" i="5"/>
  <c r="D14" i="5"/>
  <c r="D15" i="5"/>
  <c r="F15" i="5"/>
  <c r="D16" i="5"/>
  <c r="F16" i="5"/>
  <c r="D17" i="5"/>
  <c r="F17" i="5"/>
  <c r="D18" i="5"/>
  <c r="D19" i="5"/>
  <c r="D21" i="5"/>
  <c r="D22" i="5"/>
  <c r="D23" i="5"/>
  <c r="D24" i="5"/>
  <c r="F24" i="5"/>
  <c r="D25" i="5"/>
  <c r="F25" i="5"/>
  <c r="D26" i="5"/>
  <c r="F26" i="5"/>
  <c r="D27" i="5"/>
  <c r="F27" i="5"/>
  <c r="D28" i="5"/>
  <c r="F28" i="5"/>
  <c r="D29" i="5"/>
  <c r="F29" i="5"/>
  <c r="D30" i="5"/>
  <c r="F30" i="5"/>
  <c r="D31" i="5"/>
  <c r="F31" i="5"/>
  <c r="D32" i="5"/>
  <c r="F32" i="5"/>
  <c r="D33" i="5"/>
  <c r="F33" i="5"/>
  <c r="D34" i="5"/>
  <c r="F34" i="5"/>
  <c r="D35" i="5"/>
  <c r="F35" i="5"/>
  <c r="D36" i="5"/>
  <c r="F36" i="5"/>
  <c r="D37" i="5"/>
  <c r="F37" i="5"/>
  <c r="D38" i="5"/>
  <c r="F38" i="5"/>
  <c r="D39" i="5"/>
  <c r="F39" i="5"/>
  <c r="D40" i="5"/>
  <c r="F40" i="5"/>
  <c r="D41" i="5"/>
  <c r="F41" i="5"/>
  <c r="D42" i="5"/>
  <c r="F42" i="5"/>
  <c r="D43" i="5"/>
  <c r="F43" i="5"/>
  <c r="D44" i="5"/>
  <c r="F44" i="5"/>
  <c r="D45" i="5"/>
  <c r="F45" i="5"/>
  <c r="D46" i="5"/>
  <c r="F46" i="5"/>
  <c r="D47" i="5"/>
  <c r="F47" i="5"/>
  <c r="F48" i="5"/>
  <c r="D49" i="5"/>
  <c r="F49" i="5"/>
  <c r="D50" i="5"/>
  <c r="F50" i="5"/>
  <c r="D51" i="5"/>
  <c r="D52" i="5"/>
  <c r="D56" i="5"/>
  <c r="F56" i="5"/>
  <c r="D58" i="5"/>
  <c r="F58" i="5"/>
  <c r="D59" i="5"/>
  <c r="F59" i="5"/>
  <c r="D60" i="5"/>
  <c r="F60" i="5"/>
  <c r="D63" i="5"/>
  <c r="F63" i="5"/>
  <c r="D64" i="5"/>
  <c r="F64" i="5"/>
  <c r="D65" i="5"/>
  <c r="D66" i="5"/>
  <c r="D67" i="5"/>
  <c r="D68" i="5"/>
  <c r="F68" i="5"/>
  <c r="D69" i="5"/>
  <c r="D70" i="5"/>
  <c r="D71" i="5"/>
  <c r="D73" i="5"/>
  <c r="F73" i="5"/>
  <c r="D76" i="5"/>
  <c r="F76" i="5"/>
  <c r="D77" i="5"/>
  <c r="D78" i="5"/>
  <c r="F78" i="5"/>
  <c r="D79" i="5"/>
  <c r="D80" i="5"/>
  <c r="F80" i="5"/>
  <c r="D81" i="5"/>
  <c r="F81" i="5"/>
  <c r="D82" i="5"/>
  <c r="D83" i="5"/>
  <c r="F83" i="5"/>
  <c r="D84" i="5"/>
  <c r="D85" i="5"/>
  <c r="F86" i="5"/>
  <c r="D89" i="5"/>
  <c r="F89" i="5"/>
  <c r="D90" i="5"/>
  <c r="D91" i="5"/>
  <c r="D92" i="5"/>
  <c r="F92" i="5"/>
  <c r="D93" i="5"/>
  <c r="F93" i="5"/>
  <c r="D94" i="5"/>
  <c r="F94" i="5"/>
  <c r="D95" i="5"/>
  <c r="F95" i="5"/>
  <c r="D96" i="5"/>
  <c r="F96" i="5"/>
  <c r="D97" i="5"/>
  <c r="F97" i="5"/>
  <c r="D98" i="5"/>
  <c r="F98" i="5"/>
  <c r="D99" i="5"/>
  <c r="F99" i="5"/>
  <c r="F103" i="5" s="1"/>
  <c r="F104" i="5" s="1"/>
  <c r="D100" i="5"/>
  <c r="D103" i="5"/>
  <c r="D86" i="5" l="1"/>
  <c r="D53" i="5"/>
  <c r="D101" i="5"/>
  <c r="F101" i="5"/>
  <c r="D105" i="5"/>
  <c r="D106" i="5" s="1"/>
  <c r="D107" i="5" s="1"/>
  <c r="D128" i="3" l="1"/>
  <c r="D127" i="3"/>
  <c r="D126" i="3"/>
  <c r="D118" i="3"/>
  <c r="J16" i="4" l="1"/>
  <c r="J15" i="4"/>
  <c r="J14" i="4"/>
  <c r="J8" i="4"/>
  <c r="J9" i="4"/>
  <c r="J10" i="4"/>
  <c r="J11" i="4"/>
  <c r="J12" i="4"/>
  <c r="J13" i="4"/>
  <c r="J7" i="4"/>
  <c r="B15" i="4"/>
  <c r="B16" i="4" s="1"/>
  <c r="B14" i="4"/>
  <c r="D7" i="4" l="1"/>
  <c r="E7" i="4"/>
  <c r="D8" i="4"/>
  <c r="E8" i="4"/>
  <c r="D9" i="4"/>
  <c r="E9" i="4"/>
  <c r="D10" i="4"/>
  <c r="E10" i="4"/>
  <c r="D11" i="4"/>
  <c r="E11" i="4"/>
  <c r="D12" i="4"/>
  <c r="E12" i="4"/>
  <c r="D13" i="4"/>
  <c r="E13" i="4"/>
  <c r="D15" i="4"/>
  <c r="E15" i="4"/>
  <c r="F78" i="3"/>
  <c r="D78" i="3"/>
  <c r="D67" i="3"/>
  <c r="F55" i="3"/>
  <c r="F51" i="3"/>
  <c r="F43" i="3" l="1"/>
  <c r="D43" i="3"/>
  <c r="F81" i="3" l="1"/>
  <c r="F82" i="3"/>
  <c r="F83" i="3"/>
  <c r="F84" i="3"/>
  <c r="F86" i="3"/>
  <c r="F87" i="3"/>
  <c r="F88" i="3"/>
  <c r="F89" i="3"/>
  <c r="F91" i="3"/>
  <c r="F116" i="3"/>
  <c r="F117" i="3"/>
  <c r="F118" i="3" l="1"/>
  <c r="F126" i="3" s="1"/>
  <c r="F127" i="3" l="1"/>
  <c r="F128" i="3" s="1"/>
  <c r="G63" i="1" l="1"/>
  <c r="G62" i="1"/>
  <c r="G61" i="1"/>
  <c r="G57" i="1"/>
  <c r="G45" i="1"/>
  <c r="G29" i="1"/>
  <c r="E63" i="1"/>
  <c r="E61" i="1"/>
  <c r="E57" i="1"/>
  <c r="E45" i="1"/>
  <c r="D63" i="1"/>
  <c r="D62" i="1"/>
  <c r="D61" i="1"/>
  <c r="D57" i="1"/>
  <c r="D45" i="1"/>
  <c r="D29" i="1"/>
  <c r="D48" i="1" l="1"/>
  <c r="G48" i="1"/>
  <c r="F40" i="1" l="1"/>
  <c r="D14" i="2" l="1"/>
  <c r="D16" i="2" s="1"/>
  <c r="L8" i="2" l="1"/>
  <c r="L9" i="2"/>
  <c r="L10" i="2"/>
  <c r="L11" i="2"/>
  <c r="L12" i="2"/>
  <c r="L13" i="2"/>
  <c r="L7" i="2"/>
  <c r="H14" i="2"/>
  <c r="H15" i="2" s="1"/>
  <c r="H16" i="2" s="1"/>
  <c r="B14" i="2"/>
  <c r="B15" i="2" s="1"/>
  <c r="B16" i="2" s="1"/>
  <c r="F14" i="2"/>
  <c r="F15" i="2" s="1"/>
  <c r="F16" i="2" s="1"/>
  <c r="L16" i="2" s="1"/>
  <c r="L15" i="2" l="1"/>
  <c r="L14" i="2"/>
  <c r="F10" i="5"/>
  <c r="F53" i="5" s="1"/>
  <c r="F105" i="5" s="1"/>
  <c r="F106" i="5" l="1"/>
  <c r="F107" i="5" s="1"/>
  <c r="F113" i="5" s="1"/>
</calcChain>
</file>

<file path=xl/sharedStrings.xml><?xml version="1.0" encoding="utf-8"?>
<sst xmlns="http://schemas.openxmlformats.org/spreadsheetml/2006/main" count="622" uniqueCount="420">
  <si>
    <t>Outcome/ Output number</t>
  </si>
  <si>
    <t>Outcome/ output/ activity formulation:</t>
  </si>
  <si>
    <t>Output 1.1:</t>
  </si>
  <si>
    <t>Activity 1.1.1:</t>
  </si>
  <si>
    <t>Activity 1.1.2:</t>
  </si>
  <si>
    <t>Activity 1.1.3:</t>
  </si>
  <si>
    <t>Output 1.2:</t>
  </si>
  <si>
    <t>Activity 1.2.1:</t>
  </si>
  <si>
    <t>Output 1.3:</t>
  </si>
  <si>
    <t>Activity 1.3.1:</t>
  </si>
  <si>
    <t>Activity 1.3.2:</t>
  </si>
  <si>
    <t>Activity 1.3.3:</t>
  </si>
  <si>
    <t>Output 2.1:</t>
  </si>
  <si>
    <t>Activity 2.1.1:</t>
  </si>
  <si>
    <t>Activity 2.1.2:</t>
  </si>
  <si>
    <t>Output 2.2:</t>
  </si>
  <si>
    <t>Activity 2.2.1:</t>
  </si>
  <si>
    <t>Activity 2.2.2:</t>
  </si>
  <si>
    <t>Output 2.3:</t>
  </si>
  <si>
    <t>Activity 2.3.1:</t>
  </si>
  <si>
    <t>Activity 2.3.2:</t>
  </si>
  <si>
    <t>Activity 2.3.3:</t>
  </si>
  <si>
    <t>Output 3.1:</t>
  </si>
  <si>
    <t>Activity 3.1.1:</t>
  </si>
  <si>
    <t>Activity 3.1.2:</t>
  </si>
  <si>
    <t>Activity 3.1.3:</t>
  </si>
  <si>
    <t>Output 3.2:</t>
  </si>
  <si>
    <t>Activity 3.2.1:</t>
  </si>
  <si>
    <t>Output 3.3:</t>
  </si>
  <si>
    <t>Activity 3.3.1:</t>
  </si>
  <si>
    <t xml:space="preserve"> </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</si>
  <si>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</si>
  <si>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</si>
  <si>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</si>
  <si>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</si>
  <si>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</si>
  <si>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</si>
  <si>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</si>
  <si>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</si>
  <si>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</si>
  <si>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</si>
  <si>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</si>
  <si>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</si>
  <si>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</si>
  <si>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</si>
  <si>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</si>
  <si>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</si>
  <si>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</si>
  <si>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</si>
  <si>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</si>
  <si>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</si>
  <si>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</si>
  <si>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</si>
  <si>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</si>
  <si>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</si>
  <si>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r>
      <t xml:space="preserve">Budget by recipient organization in USD - </t>
    </r>
    <r>
      <rPr>
        <sz val="12"/>
        <color rgb="FFFF0000"/>
        <rFont val="Times New Roman"/>
        <family val="1"/>
      </rPr>
      <t>Please add a new column for each recipient organization</t>
    </r>
  </si>
  <si>
    <t>Level of expenditure/ commitments in USD (to provide at time of project progress reporting):</t>
  </si>
  <si>
    <t>OUTCOME 2: Strengthened capacities of protection and prevention institutions</t>
  </si>
  <si>
    <t>Care center infrastructure strengthened and maintained to guarantee the physical and psychological protection for women and children survivors of SGBV reordered</t>
  </si>
  <si>
    <t>Budget revision/budget change</t>
  </si>
  <si>
    <t>Adequacy of space in basic conditions to temporarily house women, daughters and sons, which has a rest area and food preparation, as well as a space for body cleaning.</t>
  </si>
  <si>
    <t>Technical support for the identification and attention to deportees with protection needs  in DAMI. (Hiring of 1 Psychologist to support ISDEMU).</t>
  </si>
  <si>
    <t>Savings are identified because the migration system of the DAMI will be taken as a basis, which will include a protection module.</t>
  </si>
  <si>
    <t xml:space="preserve">Strenghted the attention for women SVBG, deportee women with protection needs and women victims of violence. </t>
  </si>
  <si>
    <t>Activity 2.3.4:</t>
  </si>
  <si>
    <t>Activity 2.3.5:</t>
  </si>
  <si>
    <t>Design of attention routes and protocols in the facilities of the Integral Program for a Life free of Violence.</t>
  </si>
  <si>
    <t>Staff training on updated and improved system.</t>
  </si>
  <si>
    <t>Savings were identified since training will be included in the consultant's contract</t>
  </si>
  <si>
    <t>Print of the attention route for deported women with protection needs.</t>
  </si>
  <si>
    <t>Training for ISDEMU personnel on LGBTI protection, self-care techniques for women, attention to children and adolescents, shelter management and attention protocol for women victim of violence, and SOPs for ISDEMU oficials call center.</t>
  </si>
  <si>
    <t>Needs presented by ISDEMU to strengthen the technical capabilities of personnel in the care of women victims of violence</t>
  </si>
  <si>
    <t>9 workshops on the methodology for the creation of self-help groups (2 full days) (7 half-days)</t>
  </si>
  <si>
    <t>Activity 2.3.6:</t>
  </si>
  <si>
    <t>Hiring of Individual Contractor (Extension of contract for 3 months) to implement in a department of intervention of the UNHCR literacy programs in women's rights.</t>
  </si>
  <si>
    <t>Activity 3.1.4:</t>
  </si>
  <si>
    <t>Activity 3.1.5:</t>
  </si>
  <si>
    <t>OUTCOME 3: Strengthened platforms for intra- and inter-governmental coordination and for strategic  communication pertaining to new approaches for citizen security</t>
  </si>
  <si>
    <t>Operationality of the technical assistance and strategic planning unit of the CNSCC</t>
  </si>
  <si>
    <t>Operationality of the CNSCC</t>
  </si>
  <si>
    <t>Exchanges of national and international experiences in subjects of citizen security and coexistence</t>
  </si>
  <si>
    <t>Activities to consolidate the integral approach to citizen security by the PESS (Plan El Salvador Seguro)</t>
  </si>
  <si>
    <t>Office Supplies for the technical assistance and strategic planning unit of the CNSCC</t>
  </si>
  <si>
    <t>Funds committed through grant with implementing partner World Vision</t>
  </si>
  <si>
    <t>Protection Institutions that participate in the return process located in the DAMI have strengthened their capacities in the identification, registration and reference of deportees with needs of protection</t>
  </si>
  <si>
    <t>It was planned to hire a Psychologist for 12 months, but there was a delay in hiring process. The consulting services for a psychologits was launched twice and there were no adequate profiles. The psychologist is hired and it starts on June 1. There were a remanent funds of $ 4,000 that were reoriented to activity 2.3.3</t>
  </si>
  <si>
    <t>Equipment of space in the Shelter ISDEMU to accomodate temporarily women, daughters and children at hight risk which counts on an area of rest and preparation of foods, as well as a space of corporal cleaning.</t>
  </si>
  <si>
    <t>In the original approved budget this activity was not contemplated. However, ISDEMU required printing materials. It is necessary to contract the layout design and then reproduce the material for its socialization.</t>
  </si>
  <si>
    <t>Needs presented by ISDEMU to strengthen the technical capabilities of their personnel in the care of women victims of violence</t>
  </si>
  <si>
    <t>Needs presented by ISDEMU to strengthen the technical capacities of their personnel in the care of women victims of violence.</t>
  </si>
  <si>
    <t>Agreed public policies, discussed and promoted that approach the main challenges in terms of citizen security and coexistence, with special emphasis on prevention, victim assistance and human rights.</t>
  </si>
  <si>
    <t>Consulting services regarding  citizen security and coexistence, with special emphasis on prevention, victim assistance and human rights</t>
  </si>
  <si>
    <t>Comunications activities: media monitoring, newspaper subscription, website hosting, edition of documents, press releases</t>
  </si>
  <si>
    <t>Consultant services regarding subjects of citizen security and coexistence</t>
  </si>
  <si>
    <t xml:space="preserve">Organization of forums and workshops, Security Week activities </t>
  </si>
  <si>
    <t>Amount Recipient  Agency OIM</t>
  </si>
  <si>
    <t>Amount Recipient  Agency UNHCR</t>
  </si>
  <si>
    <t>Amount Recipient  Agency PNUD</t>
  </si>
  <si>
    <t>Amount Recipient  Agency ACNUR (Changes)</t>
  </si>
  <si>
    <t>OUTCOME 1: Strengthened mechanisms for the reintegration of migrants who are returning to their countries and who contribute to local development</t>
  </si>
  <si>
    <t xml:space="preserve">A pilot initiative of accompaniment, reintegration and psychosocial care is designed and implemented  for returned migrants without ties to the country of origin. </t>
  </si>
  <si>
    <t>An analysis of procedures, regulations, and services for the implementation of a national program of voluntary return in El Salvador is undertaken</t>
  </si>
  <si>
    <t>A protocol for the reception, care, and follow-up of returned migrants with criminal records or possible gang members is prepared and implemented.</t>
  </si>
  <si>
    <t>Emergency accomodation in case of emergency for returnees without ties to the country of origin</t>
  </si>
  <si>
    <t>Support for the acquisition of personal documents (Unique Identity Number, Birth Certificate) for 30 people</t>
  </si>
  <si>
    <t xml:space="preserve">Assistance kit with clothes for each person </t>
  </si>
  <si>
    <t>Activity 1.1.4:</t>
  </si>
  <si>
    <t>Economic support for transporting the beneficiaries</t>
  </si>
  <si>
    <t>Activity 1.1.5:</t>
  </si>
  <si>
    <t>Food assistance for three months</t>
  </si>
  <si>
    <t>Activity 1.1.6:</t>
  </si>
  <si>
    <t>Workshops of group or individual psychosocial approach</t>
  </si>
  <si>
    <t>Activity 1.1.7:</t>
  </si>
  <si>
    <t>Technical support by a social worker for activities related to cultural and job orientation for returnees without ties to the country of origin</t>
  </si>
  <si>
    <t xml:space="preserve">Consulting services for the development of a diagnosis for the procedures, instructions, and services for a national program for voluntary return. </t>
  </si>
  <si>
    <t>Consulting services for the development of a protocol for reception and follow up of Returned Migrants with criminal records or possible gang members</t>
  </si>
  <si>
    <t>Workshops for the development of the protocol for reception and follow up of Returned Migrants with criminal records or possible gang members</t>
  </si>
  <si>
    <t>Meetings for the improvements of the protocol for reception and follow up of Returned Migrants with criminal records or possible gang members</t>
  </si>
  <si>
    <t>Activity 1.3.4:</t>
  </si>
  <si>
    <t>DSA &amp; Travel for the workshops for developing protocol for reception and follow up of Returned Migrants with criminal records or possible gang members</t>
  </si>
  <si>
    <t>Activity 1.3.5:</t>
  </si>
  <si>
    <t>Design and publishing of 1,000 copies of the protocol</t>
  </si>
  <si>
    <t>Activity 1.3.6:</t>
  </si>
  <si>
    <t>Launching event</t>
  </si>
  <si>
    <t>Activity 1.3.7:</t>
  </si>
  <si>
    <t>Workshops for sharing the protocol for reception and follow up of Returned Migrants with criminal records or possible gang members</t>
  </si>
  <si>
    <t>Activity 1.3.8:</t>
  </si>
  <si>
    <t xml:space="preserve">DSA &amp; Travel - for sharing the protocol in the zone areas of the implementation. </t>
  </si>
  <si>
    <t>Activity 1.3.9:</t>
  </si>
  <si>
    <t>Mobilization for the development of activities of the project in the communities and implementation sites</t>
  </si>
  <si>
    <t>TOTAL $ FOR OUTCOME 1: $118,767.00</t>
  </si>
  <si>
    <t>TOTAL PROJECT BUDGET:  $ 674,228.71</t>
  </si>
  <si>
    <t>SIMEC System updated</t>
  </si>
  <si>
    <t>TOTAL $ FOR OUTCOME 2: $174,915.29</t>
  </si>
  <si>
    <t>TOTAL $ FOR OUTCOME 3: $330,373.83</t>
  </si>
  <si>
    <t>Indirect support costs (7%): $47,614.31</t>
  </si>
  <si>
    <t>SUB-TOTAL PROJECT BUDGET: $680,204.40</t>
  </si>
  <si>
    <t>Construction of computer protection module used in the DAMI.
- Workshops to strengthen knowledge in the identification of people with protection needs.
- Meetings for the construction of the form that will be incorporated in the protection module.
-Contracting consultancy for the creation of Protection Module.
- Workshops for officials of protection institutions on the use of protection modules</t>
  </si>
  <si>
    <r>
      <t xml:space="preserve">Annex A - PBF project budget  </t>
    </r>
    <r>
      <rPr>
        <b/>
        <sz val="16"/>
        <color rgb="FFFF0000"/>
        <rFont val="Calibri"/>
        <family val="2"/>
        <scheme val="minor"/>
      </rPr>
      <t>EL SALVADOR</t>
    </r>
  </si>
  <si>
    <t>TOTAL PROJECT BUDGET:</t>
  </si>
  <si>
    <t>Indirect support costs (7%):</t>
  </si>
  <si>
    <t>SUB-TOTAL PROJECT BUDGET:</t>
  </si>
  <si>
    <t>TOTAL $ FOR OUTCOME:</t>
  </si>
  <si>
    <t>Activity 3.3.3</t>
  </si>
  <si>
    <t>Activity 3.3.2</t>
  </si>
  <si>
    <t xml:space="preserve">Activity 3.3.1 </t>
  </si>
  <si>
    <t>Output 3.3</t>
  </si>
  <si>
    <t xml:space="preserve">Activity 3.2.1 </t>
  </si>
  <si>
    <t>Output 3.2</t>
  </si>
  <si>
    <t>Activity 3.1.3</t>
  </si>
  <si>
    <t xml:space="preserve">Activity 1.3.2 </t>
  </si>
  <si>
    <t>Activity 3.1.1</t>
  </si>
  <si>
    <t>Output 3.1</t>
  </si>
  <si>
    <t>ACNUR</t>
  </si>
  <si>
    <t>Activity 2.1.2</t>
  </si>
  <si>
    <t xml:space="preserve">Activity 2.1.1 </t>
  </si>
  <si>
    <t>Activity 2.1.1</t>
  </si>
  <si>
    <t>OIM</t>
  </si>
  <si>
    <t xml:space="preserve">Output 1.1: </t>
  </si>
  <si>
    <t>OUTCOME 1:  Fortalecidos los mecanismos de reintegración de migrantes que regresan a sus países y contribuyen con el desarrollo local.</t>
  </si>
  <si>
    <t>Annex D - PBF project budget</t>
  </si>
  <si>
    <t>Identificadas las necesidades de la población retornada, las características de las comunidades receptoras y las fortalezas y debilidades institucionales mediante análisis IAP (Investigación, acción y participación) y mapeo de actores para  el diseño de los programas de atención social, inserción socio-laboral y fortalecimiento del tejido comunitario (desarrollo organizacional, participación socio-comunitaria, resolución pacífica de conflictos y liderazgo)</t>
  </si>
  <si>
    <t xml:space="preserve">Identificación de necesidades en materia de sistemas de información para desarrollar o fortalecer mecanismos de atención y seguimiento de población migrante retornada. </t>
  </si>
  <si>
    <t>N/A</t>
  </si>
  <si>
    <t>Diálogo con el gobierno para definir opciones de armonización, articulación y/o mejora de los sistemas de información existentes para seguimiento integral (Sistema de Retornados DGM; Sistema SIRAC, etc.).</t>
  </si>
  <si>
    <t>Desarrollo o fortalecimiento de un Sistema de Información para ingresar perfiles diferenciados de población migrante retornada con necesidades específicas de reintegración</t>
  </si>
  <si>
    <t xml:space="preserve">Sondeo de percepción de mejora de situación socio-laboral de la población migrante ingresada al Sistema de Información </t>
  </si>
  <si>
    <t>Crear una plataforma interinstitucional en los territorios priorizados y un espacio de coordinación con otros actores para la construcción, implementación, seguimiento y sostenibilidad de los programas.</t>
  </si>
  <si>
    <t>Activity 1.2.2:</t>
  </si>
  <si>
    <t>Diálogo con el gobierno para definir opciones de armonización, articulación y/o mejora de los sistemas de información existentes para seguimiento integral</t>
  </si>
  <si>
    <t>Activity 1.2.3:</t>
  </si>
  <si>
    <t>Identificación de necesidades y compra de equipo IT para desarrollar mecanismos de registro y seguimiento de población migrante retornada.</t>
  </si>
  <si>
    <t>Activity 1.2.4:</t>
  </si>
  <si>
    <t>Desarrollo o fortalecimiento de un Sistema de Información para dar atención y seguimiento de población migrante retornada con perfiles diferenciados y necesidades específicas de reintegración</t>
  </si>
  <si>
    <t>Activity 1.2.5:</t>
  </si>
  <si>
    <t>Implementación del Sistema</t>
  </si>
  <si>
    <t>Activity 1.2.6:</t>
  </si>
  <si>
    <t xml:space="preserve">Presentación del Sistema </t>
  </si>
  <si>
    <t>Complementar programas/proyectos de formación y certificación de capacidades a mediano plazo para poblaciones retornadas o en riesgo de migrar con bonos de movilización/alimentación, materiales, becas, para garantizar la no desertificación de los cursos y asistencia constante.</t>
  </si>
  <si>
    <t>Activity 1.3.1.</t>
  </si>
  <si>
    <t>Reuniones de coordinación interinstitucional para definir cronograma de trabajo y metodología para la elaboración del programa dirigido a poblaciones retornadas o en riesgo de migra</t>
  </si>
  <si>
    <t>Activity 1.3.2.</t>
  </si>
  <si>
    <t>Definición de los programas de formación y certificación que serán apoyados</t>
  </si>
  <si>
    <t>Activity 1.3.3.</t>
  </si>
  <si>
    <t>Definición de beneficiarios de los programas</t>
  </si>
  <si>
    <t>Activity 1.3.4.</t>
  </si>
  <si>
    <t>Desarrollo de programas</t>
  </si>
  <si>
    <t>Activity 1.3.5.</t>
  </si>
  <si>
    <t xml:space="preserve">Definición de ubicaciones  y desarrollo de actividades comunitarias lúdicas </t>
  </si>
  <si>
    <t>Brindar a los familiares de migrantes retornados o en riesgo de migrar, apoyo psicosocial, así como de formación y fortalecimiento de capacidades, group couseling y actividades comunitarias lúdicas que traten el tema migratorio y  sus riesgos a nivel alcaldía y líderes indígenas</t>
  </si>
  <si>
    <t>Output 1.4:</t>
  </si>
  <si>
    <t>Activity 1.4.1.</t>
  </si>
  <si>
    <t>Reuniones de coordinación interinstitucional para definir cronograma de trabajo y metodología para la elaboración del programa dirigido a los familiares de migrantes retornados o en riesgo de migrar</t>
  </si>
  <si>
    <t>Activity 1.4.2.</t>
  </si>
  <si>
    <t>Activity 1.4.3.</t>
  </si>
  <si>
    <t>Activity 1.4.4.</t>
  </si>
  <si>
    <t xml:space="preserve">Desarrollo de programas </t>
  </si>
  <si>
    <t>Activity 1.4.5.</t>
  </si>
  <si>
    <t>Elaborado e implementado un protocolo para la recepción, atención y seguimiento a personas migrantes retornadas con antecedentes penales o miembros de pandillas.</t>
  </si>
  <si>
    <t>Activity 1.5.1.</t>
  </si>
  <si>
    <t xml:space="preserve"> Reuniones de coordinación interinstitucional para definir cronograma de trabajo y metodología para la elaboración del Protocolo</t>
  </si>
  <si>
    <t xml:space="preserve">Activity 1.5.2. </t>
  </si>
  <si>
    <t>Desarrollo de Protocolo de reintegración de personas retornadas</t>
  </si>
  <si>
    <t xml:space="preserve">Activity 1.5.3. </t>
  </si>
  <si>
    <t>Contratación de personal</t>
  </si>
  <si>
    <t>Activity 1.5.4.</t>
  </si>
  <si>
    <t xml:space="preserve"> Implementación del Protocolo </t>
  </si>
  <si>
    <t xml:space="preserve">Activity 1.5.5. </t>
  </si>
  <si>
    <t>Identificación y atención de casos dentro del programa.</t>
  </si>
  <si>
    <t xml:space="preserve">Activity 1.5.6. </t>
  </si>
  <si>
    <t>Acompañamiento para documentación de personas retornadas beneficiarias</t>
  </si>
  <si>
    <t xml:space="preserve">Activity 1.5.7. </t>
  </si>
  <si>
    <t xml:space="preserve">Certificación de capacidades de personas. </t>
  </si>
  <si>
    <t xml:space="preserve">Activity 1.5.8. </t>
  </si>
  <si>
    <t>Presentación del Sistema</t>
  </si>
  <si>
    <t>Activity 1.5.9.</t>
  </si>
  <si>
    <t xml:space="preserve"> Evaluación de Proyectos con acompañamiento de ONUMujeres</t>
  </si>
  <si>
    <t>recipient organization</t>
  </si>
  <si>
    <t>PNUD</t>
  </si>
  <si>
    <t>TOTAL $ FOR OUTCOME 1:</t>
  </si>
  <si>
    <t xml:space="preserve"> OIM</t>
  </si>
  <si>
    <t>OUTCOME 2: Fortalecidas las capacidades de las instituciones de protección y prevención</t>
  </si>
  <si>
    <t>Se han desarrollado propuestas de ajuste/diseño de políticas públicas que permitan fortalecer el sistema de protección estatal en territorios priorizados: Petén, San Marcos, Huehuetenango, Izabal y Ciudad Capital.</t>
  </si>
  <si>
    <t>Activity 2.1.3</t>
  </si>
  <si>
    <t>Activity 2.1.4</t>
  </si>
  <si>
    <t>Activity 2.1.5</t>
  </si>
  <si>
    <t>Actividad 3 Capacitación a funcionarios  para brindar atención y orientación  a personas migrantes, en tránsito, desplazadas, retornadas y con necesidades de protección internacional en las zonas priorizadas</t>
  </si>
  <si>
    <t>3.1 Identificación de entidades y funcionarios claves a capacitar</t>
  </si>
  <si>
    <t>3.2 Realización de encuentros de capacitación</t>
  </si>
  <si>
    <t>3.3 Finalización de jornadas de capacitación</t>
  </si>
  <si>
    <t>Actividad 4 Realización de propuestas ajuste o diseños de políticas/programas dentro del marco jurídico e institucional del Código de Migración y su reglamento realizadas</t>
  </si>
  <si>
    <t>1.1 identificación y selección de contrapartes</t>
  </si>
  <si>
    <t>1.2 Establecimiento de acuerdos con contrapartes</t>
  </si>
  <si>
    <t>1.3 Inicio de caracterización (despliegue a territorios)</t>
  </si>
  <si>
    <t>1.4 Finalización de ejercicio de caracterización</t>
  </si>
  <si>
    <t xml:space="preserve">Priorización de comunidades a caracterizar en función de su riesgo y vulnerabilidad para brindar protección integral a personas migrantes, en tránsito, desplazadas, retornadas y con necesidades de protección internacional </t>
  </si>
  <si>
    <t>Actividad 2  Realización de mapeos institucionales realizados, y de oferta de servicios de protección de entidades de gobierno en las zonas priorizadas</t>
  </si>
  <si>
    <t>2.1 Visitas a instituciones/entrevistas con funcionarios de dependencias oficiales y no oficiales</t>
  </si>
  <si>
    <t>2.2 Sistematización de hallazgos</t>
  </si>
  <si>
    <t>2.3 Finalización de ejercicio de mapeos</t>
  </si>
  <si>
    <t>4.1 Identificación de entidades públicas y sociedad civil interesada</t>
  </si>
  <si>
    <t>4.2 Reuniones de inicio de discusión sobre código de migración y su reglamento</t>
  </si>
  <si>
    <t>4.3 Finalización de encuentros y redacción de ajustes/propuestas</t>
  </si>
  <si>
    <t xml:space="preserve">Activity 2.1.4 </t>
  </si>
  <si>
    <t>Actores diversos de la sociedad civil, defensores de los DDHH, organizaciones religiosas, organizaciones de base y demás esfuerzos comunitarios complementan la oferta estatal de protección y prevención en territorios priorizados: Petén, San Marcos,  Huehuetenango, Izabal y Ciudad Capital.</t>
  </si>
  <si>
    <t>1.1 Despliegue de las contrapartes y asistentes de protección de ACNUR a los territorios priorizados</t>
  </si>
  <si>
    <t>1.2 Revisión y validación de oferta complementaria de protección y asistencia complementaria en los territorios priorizados</t>
  </si>
  <si>
    <t>2.1 Realización de visitas a instituciones que ofrecen servicios de protección y asistencia en territorios priorizados</t>
  </si>
  <si>
    <t>2.2 Revisión conjunta y actualización de protocolos</t>
  </si>
  <si>
    <t xml:space="preserve">2..2.1 Incorporados lineamientos para la atención de mujeres migrantes víctimas de violencia sexual en la elaboración y/o revisión de los protocolos. En el marco de las recomendaciones generales del Comité CEDAW: No. 26 sobre las trabajadoras migratorias y No. 32 </t>
  </si>
  <si>
    <t xml:space="preserve">Activity 2.1.2 </t>
  </si>
  <si>
    <t>Protocolos en marcha de las instituciones que ofrecen servicios de protección y prevención en territorios priorizados</t>
  </si>
  <si>
    <t xml:space="preserve"> Mapeos de servicios complementarios de protección y asistencia en los territorios priorizados</t>
  </si>
  <si>
    <t>3.1 Visita y revisión conjunta y actualización de los sistemas de asistencia y referencias de las instituciones de servicios de protección y asistencia en los territorios priorizados</t>
  </si>
  <si>
    <t xml:space="preserve">Activity 2.1.3 </t>
  </si>
  <si>
    <t>4.1 Visitas y revisión conjunta con las instituciones que ofrecen servicios de protección y asistencia en los territorios priorizados</t>
  </si>
  <si>
    <t>5.1 Visitas para levantamiento de necesidades a centros de acogida</t>
  </si>
  <si>
    <t>5.2 Entrega de equipamientos, asesoría y acompañamiento a centros de acogida</t>
  </si>
  <si>
    <t xml:space="preserve"> Establecimiento de sistemas de asistencia y referencia de los instituciones que ofrecen servicios de protección y asistencia en los territorios priorizados</t>
  </si>
  <si>
    <t>Establecimiento de sistemas de manejo de información y registros de las instituciones que ofrecen servicios de protección y prevención en los territorios priorizados</t>
  </si>
  <si>
    <t xml:space="preserve"> Centros de acogida en funcionamiento</t>
  </si>
  <si>
    <t>TOTAL $ FOR OUTCOME 2 :</t>
  </si>
  <si>
    <t>Amount Recipient  Agency XX</t>
  </si>
  <si>
    <t>Table 2 - Project budget by UN cost category</t>
  </si>
  <si>
    <t>Desarrollar capacidades de investigación del tráfico ilícito de migrantes por tierra, mar y aire de la División Especializada de Investigación Criminal de la Policía Nacional Civil.</t>
  </si>
  <si>
    <t xml:space="preserve"> Identificacón, revisión y actualización de la curricula, de los programas de formación y materiales de la Subdirección General de Estudios Policiales para la especialización de investigadores en tráfico ilícito de migrantes.</t>
  </si>
  <si>
    <t xml:space="preserve"> Desarrollo de capacitaciones a investigadores en materia de tráfico ilícito de migrantes.</t>
  </si>
  <si>
    <t>Brindar a los familiares de migrantes retornados o en riesgo de migrar, apoyo psicosocial, así como de formación y fortalecimiento de capacidades, group couseling y actividades comunitarias lúdicas que traten el tema migratorio y  sus riesgos a nivel alcaldía y líderes indígenas.</t>
  </si>
  <si>
    <t>Elaboración de protocolos operativos para la investigación regional del tráfico ilícito de migrantes.</t>
  </si>
  <si>
    <t xml:space="preserve"> Número de Equipos Conjuntos Transnacionales de Investigación (Joint Transnational Investigation Teams) apoyados</t>
  </si>
  <si>
    <t xml:space="preserve">Activity 3.2.2 </t>
  </si>
  <si>
    <t xml:space="preserve"> Desarrollar las condiciones necesarias para la concertación a nivel territorial en 2 municipios priorizados, y dirigidas a la creación o revisión de la Política Pública local en materia de Prevención de la Violencia y el Delito, desde una perspectiva de igualdad de género, etnia y edad  (diálogo bilateral, plataforma interinstitucional, carta de entendimiento, espacio de coordinación técnica, elaboración de caracterizaciones de la violencia y el delito en territorios priorizados, investigaciones territoriales) </t>
  </si>
  <si>
    <t xml:space="preserve">Establecer e implementar los mecanismos de coordinación para la implementación, seguimiento y monitoreo del Proyecto. </t>
  </si>
  <si>
    <t>Generar productos de conocimiento y herramientas de información sobre la violencia, inseguridad y demás factores vinculados a la violencia crónica (Caracterización de los municipios priorizados, herramientas de focalización, investigación territorial) para fortalecer la caracterización territorial de UPCV-MINGOB</t>
  </si>
  <si>
    <t>Activity 3.3.4</t>
  </si>
  <si>
    <t>Activity 3.3.5</t>
  </si>
  <si>
    <t>Activity 3.3.6</t>
  </si>
  <si>
    <t>Apoyar los procesos de conformación y/o fortalecimiento de las COMUPREs y Mesas Multisectoriales en los municipios priorizados (incluyendo organizaciones de mujeres, jóvenes,  migrantes y defensores de ddhh).</t>
  </si>
  <si>
    <t>Acompañar a UPCV-MINGOB en la elaboración de los Mapas de Actores de los municipios priorizados, con el objetivo de identificar a los integrantes de las COMUPREs y  Mesas Multisectoriales (incluyendo organizaciones de mujeres, jóvenes, migrantes y defensores-as de ddhh)</t>
  </si>
  <si>
    <t xml:space="preserve">Apoyar en la elaboración y/o actualización del diagnóstico participativo de seguridad ciudadana según metodología de UPCV-MINGOB, en los municipios priorizados. </t>
  </si>
  <si>
    <t>Acompañar el proceso de socialización del Proyecto y el establecimiento de acuerdos con las municipalidades priorizadas (San Marcos y San Pedro Sacatepéquez, San Marcos), en conjunto con MINGOB.</t>
  </si>
  <si>
    <t>Output 3.4</t>
  </si>
  <si>
    <t xml:space="preserve"> Diseñar/revisar las políticas públicas a nivel local, así como sus planes y programas, desde un enfoque integral y multidimensional de la violencia e inseguridad y teniendo en cuenta las especificidades en las violencias que afectan a los colectivos más vulnerabilizados (mujeres, NNA, jóvenes, población migrante) e incluyendo la atención a víctimas.</t>
  </si>
  <si>
    <t xml:space="preserve">Activity 3.4.1 </t>
  </si>
  <si>
    <t>Activity 3.4.2</t>
  </si>
  <si>
    <t>Activity 3.4.3</t>
  </si>
  <si>
    <t>Activity 3.4.4</t>
  </si>
  <si>
    <t>Realizar un análisis exploratorio de los sistemas y programas locales activos en los municipios priorizados en Atención y Protección de población en riesgo y que ha sido víctima, especialmente enfocado en las necesidades del colectivo meta: mujeres, NAJ, población migrante y retornada.</t>
  </si>
  <si>
    <t xml:space="preserve"> Diseñar e implementar una hoja de ruta para mejorar dichos sistemas centrada en fortalecer los mecanismos de coordinación y optimizar esfuerzos y recursos entre las oficinas y sistemas de atención a víctimas y población en riesgo, de PNC y MP, Municipalidades, Organizaciones de Sociedad Civil y otras instituciones a incorporar en las rutas de derivación</t>
  </si>
  <si>
    <r>
      <t xml:space="preserve"> </t>
    </r>
    <r>
      <rPr>
        <sz val="12"/>
        <color theme="1"/>
        <rFont val="Times New Roman"/>
        <family val="1"/>
      </rPr>
      <t>Fortalecer las capacidades técnicas del personal de la Comisaria 42 de la PNC en San Marcos y especialmente a la Oficina de Atención a la Víctima (OAV)</t>
    </r>
  </si>
  <si>
    <t>Acompañar en la elaboración y/o revisión de las Políticas Municipales de Prevención de la Violencia y el Delito en los municipios priorizados, promoviendo la inclusión de las mejoras en los sistemas de atención y protección a la población retornada y migrante.</t>
  </si>
  <si>
    <r>
      <t xml:space="preserve"> </t>
    </r>
    <r>
      <rPr>
        <sz val="12"/>
        <color theme="1"/>
        <rFont val="Times New Roman"/>
        <family val="1"/>
      </rPr>
      <t>Realizar los procesos de validación y presentación de las Políticas Municipales de Prevención de la Violencia y el Delito, ante las autoridades locales, organizaciones de la sociedad civil y ciudadanía</t>
    </r>
  </si>
  <si>
    <t>Output 3.5</t>
  </si>
  <si>
    <t>Definir e implementar los modelos y las propuestas piloto de intervención emanadas de la Política Pública que serán fortalecidas en cada uno de los 2 territorios de intervención (atención a víctimas, inserción socio-laboral, participación y organización comunitaria-local, transformación/resolución pacífica de conflictos, recuperación espacios públicos, generación de evidencia y de conocimiento en materia de seguridad y desarrollo, entre otros).</t>
  </si>
  <si>
    <t>Activity 3.5.1</t>
  </si>
  <si>
    <t>Activity 3.5.2</t>
  </si>
  <si>
    <t>Activity 3.5.3</t>
  </si>
  <si>
    <t>Activity 3.5.4</t>
  </si>
  <si>
    <t xml:space="preserve">Diseñar un Modelo de Inserción Laboral dirigido especialmente a la población en riesgo (jóvenes, mujeres y retornados) y sustentado en mecanismos de coordinación interinstitucional (MINGOB, Municipalidades, MINTRAB)  
</t>
  </si>
  <si>
    <t>Apoyar la puesta en marcha del Modelo de Inserción Laboral a través de  la instalación de la Ventanilla Única Municipal de Empleo para los territorios de prioridad</t>
  </si>
  <si>
    <t>Generar y fortalecer las alianzas público privadas para la promoción de empleo, emprendimiento y formación técnica y mediante el acercamiento con el sector empresarial,  cooperativas y organizaciones de los municipios priorizados (encuentro de empresarios, ferias de empleo y/o quioscos de empleo, entre otros).</t>
  </si>
  <si>
    <t xml:space="preserve"> Implementar los Programas de Fortalecimiento y Desarrollo Comunitario en 4 comunidades priorizadas a través de: </t>
  </si>
  <si>
    <t>Activity 3.5.5</t>
  </si>
  <si>
    <t>Activity 3.5.6</t>
  </si>
  <si>
    <t>Fortalecer a organizaciones de la sociedad civil que cuenten con programas que generen la adaptación, inserción social, comunitaria y laboral de población retornada, a través de la adecuación de sus capacidades y perfil laboral.</t>
  </si>
  <si>
    <t>Apoyar al MINGOB en la implementación e instalación del Observatorio Departamental de Seguridad Ciudadana y Prevención de la Violencia en el departamento de San Marcos, en el marco del Modelo de Observatorios Departamentales</t>
  </si>
  <si>
    <t>Existencia de hoja de ruta entre instituciones para intercambio de buenas prácticas y la generación de conocimiento</t>
  </si>
  <si>
    <t>Output 3.6</t>
  </si>
  <si>
    <t>Activity 3.6.1</t>
  </si>
  <si>
    <t>Activity 3.6.2</t>
  </si>
  <si>
    <t>Apoyar el diseño e implementación de un Grupo de Trabajo permanente, de índole regional y validado políticamente por los gobiernos, para reducir los costos de las remesas en la región, facilitar la recepción y manejo de estos recursos, y crear opciones e incentivos para que estos sean canalizados en mecanismos de ahorro e inversión</t>
  </si>
  <si>
    <t>Apoyo el diseño e implementación de un Grupo de Trabajo permantente, de índole regional y validado políticamente por los gobiernos, para incentivar la participación de jóvenes de las diásporas de los tres países en asuntos públicos de sus países de origen</t>
  </si>
  <si>
    <t>Output 3.7</t>
  </si>
  <si>
    <t xml:space="preserve">Activity 3.7.1 </t>
  </si>
  <si>
    <t>Activity 3.7.2</t>
  </si>
  <si>
    <t>Generar productos de análisis intra-gubernamentales en materia de seguridad ciudadana, migración, derechos humanos, género y criminalidad transnacional mediante la concreción de indicadores, el uso de diversas herramientas, un alto nivel desagregación y el análisis de tendencias, comportamientos, georreferenciados.</t>
  </si>
  <si>
    <t>Apoyar la recopilación de buenas prácticas para integrar asuntos de migración y de reintegración de migrantes en planes de desarrollo en los niveles nacional y local, incluyendo ministerios y secretarías de finanzas, planeación, empleo, y educación, además de las instancias migratorias tradicionales</t>
  </si>
  <si>
    <t>Apoyar la sistematización de experiencias sobre investigación criminal y juzgamiento de dinámicas criminales nacionales y subregionales relevantes en materia de migración (trata de personas, desaparición de migrantes, tráfico de armas, trata de personas, entre otras), incluyendo aquellas llevadas a cabo en otras latitudes que sean relevantes para el contexto centroamericano</t>
  </si>
  <si>
    <t>TOTAL $ FOR OUTCOME 3:</t>
  </si>
  <si>
    <t>Costos indirectos (7%)</t>
  </si>
  <si>
    <t>Activity 3.1.4</t>
  </si>
  <si>
    <t>General operating and other Direct cost</t>
  </si>
  <si>
    <t xml:space="preserve">Junto con el Ministerio Público, desarrollar un sistema de indicadores sobre delitos de trata de personas, desaparecidos, trafico illicito de migrantes y de arma, etc. para orientar políticas basadas en evidencia (procesos de formación, intercambio de experiencias). </t>
  </si>
  <si>
    <t>Activity 3.1.2</t>
  </si>
  <si>
    <t>Elaboración de piloto sobre situación ODS 16</t>
  </si>
  <si>
    <t>Fortalecida la colaboración y la coordinación entre las fiscalías de los tres países</t>
  </si>
  <si>
    <t>OUTCOME 3:  MECANISMOS DE INTERCAMBIO DE INFORMACIÓN Y COORDINACIÓN ENTRE CUERPOS DE INVESTIGACIÓN EN LOS PAÍSES DEL NORTE DE AMÉRICA CENTRAL FORTALECIDOS Y FUNCIONANDO</t>
  </si>
  <si>
    <t>Activity 2.2.13</t>
  </si>
  <si>
    <t>Costos operativos del proyecto.</t>
  </si>
  <si>
    <t>Activity 2.2.12</t>
  </si>
  <si>
    <t>Compra de equipo y gasto de depreciación de vehículos.</t>
  </si>
  <si>
    <t>Activity 2.2.11</t>
  </si>
  <si>
    <t>Asistencia técnica (personal Staff y Affiliate Work Force dedicado a la implementación del proyecto) Monitoreo y evaluación de resultados.</t>
  </si>
  <si>
    <t>Activity 2.2.10</t>
  </si>
  <si>
    <t>Fortalecimiento y asistencia técnica a funcionarios/as de OSC que trabajan con población desplazada o con necesidades de protección internacional.</t>
  </si>
  <si>
    <t>Activity 2.2.9</t>
  </si>
  <si>
    <t xml:space="preserve">Fortalecimiento de las capacidades técnicas de la cancillería para la aplicación de lineamientos de identificación y referencia sobre deportados con necesidades de protección en los CAMRs de Omoa y La Lima; así como el desarrollo de lineamientos para la identificación de personas con necesidades de protección en las redes consulares. </t>
  </si>
  <si>
    <t>Activity 2.2.8</t>
  </si>
  <si>
    <t>Desarrollo, pilotaje e implementación de lineamientos para la identificación de personas en tránsito con necesidades de protección en el marco del acuerdo con el Instituto Nacional de Migración.</t>
  </si>
  <si>
    <t>Activity 2.2.7</t>
  </si>
  <si>
    <t>Fortalecimiento de las capacidades técnicas de la Dirección de Niñez, Adolescencia y Familia (DINAF) para contribuir en la identificación y referencia de niños, niñas y jóvenes con necesidades de protección, así como para la inclusión de personas desplazadas, refugiados y solicitantes en el Sistema Nacional de Protecciòn a la Niñez.</t>
  </si>
  <si>
    <t>Activity 2.2.6</t>
  </si>
  <si>
    <t>Fortalecimiento de la capacidad técnica de las delegaciones regionales del CONADEH sobre identificación y referencia del desplazamiento forzado por violencia a nivel nacional y para la identificación de bienes abandonados por desplazamiento forzado.</t>
  </si>
  <si>
    <t>Activity 2.2.5</t>
  </si>
  <si>
    <t>Desarrollo, pilotaje e implementación de un protocolo de identificación y referencia sobre desplazamiento por violencia entre el Grupo de Protección y la CIPPDV.</t>
  </si>
  <si>
    <t>Activity 2.2.4</t>
  </si>
  <si>
    <t>Actualización de la oferta de servicios de protección y prevención del Grupo de Protección en las zonas priorizadas (Tegucigalpa y San Pedro Sula).</t>
  </si>
  <si>
    <t>Activity 2.2.3</t>
  </si>
  <si>
    <t>Construcción del Plan de respuesta municipal al desplazamiento interno en el Distrito Central.</t>
  </si>
  <si>
    <t>Activity 2.2.2</t>
  </si>
  <si>
    <t>Construcción de la política municipal de respuesta sobre rutas de asistencia al desplazamiento interno en El Progreso y San Pedro Sula.</t>
  </si>
  <si>
    <t>Activity 2.2.1</t>
  </si>
  <si>
    <t>Oferta estatal de protección y prevención en territorios priorizados mejorada gracias a la intervención de otros actores (sociedad civil, defensores de los DDHH, organizaciones religiosas, organizaciones de base y otras organizaciones comunitarias</t>
  </si>
  <si>
    <t>Activity 2.1.16</t>
  </si>
  <si>
    <t>Activity 2.1.15</t>
  </si>
  <si>
    <t>Gastos de viajes, viáticos y combustible para misiones en terreno, consultas, talleres u otros.</t>
  </si>
  <si>
    <t>Activity 2.1.14</t>
  </si>
  <si>
    <t>Activity 2.1.13</t>
  </si>
  <si>
    <t>Activity 2.1.12</t>
  </si>
  <si>
    <t xml:space="preserve"> Fortalecimiento de los mecanismos de protección del CONADEH a través de la Unidad Especial de Desplazamiento forzado a través del acuerdo de implementación con el CONADEH.</t>
  </si>
  <si>
    <t>Activity 2.1.11</t>
  </si>
  <si>
    <t>Actualización de la caracterización nacional de personas desplazadas por violencia como insumo base para la asignación de recursos en el Plan Nacional de Desarrollo, el ajuste de políticas públicas y de la oferta social para la población desplazada.</t>
  </si>
  <si>
    <t>Activity 2.1.10</t>
  </si>
  <si>
    <t>Coordinación del Componente Cuantitativo y Análisis de la Caracterización de la Población Desplazada en Honduras bajo el liderazgo de la CIPPDV.</t>
  </si>
  <si>
    <t>Activity 2.1.9</t>
  </si>
  <si>
    <t>Apoyo a la conformación de la Dirección para la Protección de personas Desplazadas.</t>
  </si>
  <si>
    <t>Activity 2.1.8</t>
  </si>
  <si>
    <t>Mejorar la calidad de la información, registro y referencia de entidades de Gobierno para identificar necesidades de protección en zonas de intervención prioritarias con mayor incidencia de violencia.</t>
  </si>
  <si>
    <t>Activity 2.1.7</t>
  </si>
  <si>
    <t>Estudios de línea base sobre la situación y el impacto del desplazamiento en los municipios de San Pedro Sula y El Progreso realizados e incorporados en los Planes de Desarrollo Municipal para la respuesta al desplazamiento forzado.</t>
  </si>
  <si>
    <t>Activity 2.1.6</t>
  </si>
  <si>
    <t>Mapeo institucional y de oferta de servicios de protección de entidades de Gobierno en las zonas priorizadas, determinando los vacíos de protección existentes, y que incluya una propuesta de respuesta diferenciada.</t>
  </si>
  <si>
    <t xml:space="preserve">Fortalecimiento de la capacidad técnica de la Asociación de Municipios de Honduras (AMHON) para la implementación de un protocolo de registro de bienes abandonados por el desplazamiento forzado por violencia. </t>
  </si>
  <si>
    <t>Apoyo técnico en la construcción e implementación de un Plan Municipal de Respuesta al Desplazamiento Interno de la alcaldía de San Pedro Sula para establecer líneas de acción claras que contribuyan a una respuesta más articulada.</t>
  </si>
  <si>
    <t>Socialización del proyecto de ley con instituciones clave del nivel central, alcaldías municipales y organizaciones de sociedad civil.</t>
  </si>
  <si>
    <t>Promover el marco legal de respuesta a la población desplazada por violencia en el marco del acuerdo con la Secretaría de Derechos Humanos.</t>
  </si>
  <si>
    <t>Sistema de protección estatal en territorios priorizados fortalecido a través del desarrollo de propuestas de ajuste/diseño de políticas públicas.</t>
  </si>
  <si>
    <t>OUTCOME 2:  FORTALECIDAS LAS CAPACIDADES DE LAS INSTITUCIONES DE PROTECCIÓN</t>
  </si>
  <si>
    <t>Activity 1.2.10</t>
  </si>
  <si>
    <t xml:space="preserve">General operating and other direct cost </t>
  </si>
  <si>
    <t xml:space="preserve">Activity 1.2.9 </t>
  </si>
  <si>
    <t>Realización de 6 talleres de sensibilización con enfoque de reintegración migratoria con empresa privada para vinculación laboral de población retornada en 6 municipios según el perfil de la persona que retorna.</t>
  </si>
  <si>
    <t xml:space="preserve">Activity 1.2.8 </t>
  </si>
  <si>
    <t>Inclusión del componente de reintegración en 6 planes locales de desarrollo municipal con enfoque de género para 6 municipios según el perfil de la persona que retorna en el municipio. Municipios priorizados: San Pedro Sula, Choloma, El Progreso, La Ceiba, Juticalpa y Catacamas.</t>
  </si>
  <si>
    <t xml:space="preserve">Activity 1.2.7 </t>
  </si>
  <si>
    <t xml:space="preserve">Diseño, elaboración y consulta y socilización de una estrategia nacional para la reintegración de los migrantes retornados, que incluya la respuesta humanitaria,  reintegración temprana,  protección y soluciones duraderas enmarcadas en el desarrollo del país. </t>
  </si>
  <si>
    <t xml:space="preserve">Activity 1.2.6 </t>
  </si>
  <si>
    <t>Analizar medios de implementación, es decir, costos y financiamiento de los paquetes de servicios propuestos para garantizar sostenibilidad</t>
  </si>
  <si>
    <t xml:space="preserve">Activity 1.2.5 </t>
  </si>
  <si>
    <t>Proponer soluciones catalizadoras basadas en una oferta institucional integradora para soluciones duraderas diferenciadas (paquetes de servicios integrales para sostener la reintegración y fortalecer la resiliencia de los migrantes y sus comunidades receptoras)</t>
  </si>
  <si>
    <t xml:space="preserve">Activity 1.2.4 </t>
  </si>
  <si>
    <t xml:space="preserve">Facilitar diálogos sociales con diferentes actores sobre la reintegración en 6 municipios priorizados para definir y validar criterios, retos y brechas en servicos y soluciones disponibles a nivel nacional y local. </t>
  </si>
  <si>
    <t xml:space="preserve">Activity 1.2.3 </t>
  </si>
  <si>
    <t>Conducir una evaluación rápida de programas, planes y servicios disponibles a nivel nacional y local en 6 municipios priorizados</t>
  </si>
  <si>
    <t>Activity 1.2.2</t>
  </si>
  <si>
    <t xml:space="preserve">Conducir un análisis multidimensional para dimensionar la problemática utilizando como base la información cuantitativa nacional disponible </t>
  </si>
  <si>
    <t xml:space="preserve">Activity 1.2.1 </t>
  </si>
  <si>
    <t>Capacidades gubernamentales a nivel central y local reforzadas en materia de planificación y ejecución para la reintegración de migrantes retornados.</t>
  </si>
  <si>
    <t>Activity 1.1.10</t>
  </si>
  <si>
    <t>Activity 1.1.9</t>
  </si>
  <si>
    <t>Reporte sobre la verificación del apoyo a personas migrantes retornadas, así como la focalización geográfica de los/as beneficiarios/as.</t>
  </si>
  <si>
    <t>Activity 1.1.8</t>
  </si>
  <si>
    <t>Diseño e implementación de 6 Talleres con personal clave de instituciones proveedoras de servicios en 6 municipios en materia de sistemas de información, recopilación y uso de datos y mecanismos de seguimiento de población migrante retornada. Municipios priorizados: San Pedro Sula, Choloma, El Progreso, La Ceiba, Catacamas y Juticalpa.</t>
  </si>
  <si>
    <t>Activity 1.1.7</t>
  </si>
  <si>
    <t>A través de la plataforma de las UMAR u otras ofertas institucionales y de sociedad civil proveer servicios de reinserción y reintegración a población migrante retornada (atención psicosocial, económica, de protección u otro).</t>
  </si>
  <si>
    <t>Activity 1.1.6</t>
  </si>
  <si>
    <t>Trabajo de campo, visitas y seguimiento comunitario de personas migrantes retornadas referenciadas a través del sistema de las UMAR.  DSA / Travel.</t>
  </si>
  <si>
    <t>Activity 1.1.5</t>
  </si>
  <si>
    <t>Fortalecimiento del Sistema de Información vinculados a las UMAR para para dar atención y seguimiento de población migrante retornada con perfiles diferenciados y necesidades específicas, incluidas las de protección, en comunidades de origen o acogida.</t>
  </si>
  <si>
    <t>Activity 1.1.4</t>
  </si>
  <si>
    <t>Identificación de necesidades y compra de equipo IT para el fortalecimiento de los mecanismos y plataformas priorizadas para brindar atención, referenciación y seguimiento de población migrante retornada en comunidades de origen.</t>
  </si>
  <si>
    <t>Activity 1.1.3</t>
  </si>
  <si>
    <t>Generar un espacio de diálogo interinstitucional para definir opciones de armonización, estandarización, automatización, articulación y/o mejora de los mecanismos y plataformas existentes para brindar atención y referenciación de población migrante retornada según perfiles diferenciados y proporcionar servicios de reintegración y seguimiento comunitario.</t>
  </si>
  <si>
    <t>Activity 1.1.2</t>
  </si>
  <si>
    <t xml:space="preserve"> Identificación de fortalezas, necesidades y brechas en materia de sistemas de información para fortalecer y estandarizar mecanismos/plataformas existentes de atención y seguimiento de población migrante retornada en comunidades de origen para fines de reintegración. Ejem: Las UMAR.</t>
  </si>
  <si>
    <t>Activity 1.1.1</t>
  </si>
  <si>
    <t>Sistema de información desarrollado para dar atención y seguimiento a población migrante retornada (con perfiles diferenciados y necesidades específicas incluidas las de
protección-), en comunidades de origen o acogida</t>
  </si>
  <si>
    <t>OUTCOME 1:  FORTALECIDOS LOS MECANISMOS DE REINTEGRACIÓN PARA MIGRANTES QUE RETORNAN</t>
  </si>
  <si>
    <r>
      <t xml:space="preserve">Budget by recipient organization in USD - </t>
    </r>
    <r>
      <rPr>
        <b/>
        <sz val="12"/>
        <color rgb="FFFF0000"/>
        <rFont val="Times New Roman"/>
        <family val="1"/>
      </rPr>
      <t>Please add a new column for each recipient organization</t>
    </r>
  </si>
  <si>
    <t xml:space="preserve">OUTCOME 3:  : Fortalecidas plataformas para la coordinación intra e inter gubernamental y para la comunicación estratégica en torno a nuevos abordajes para la seguridad ciudadana.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</si>
</sst>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00_);[Red]\(&quot;$&quot;#,##0.00\)"/>
    <numFmt numFmtId="165" formatCode="_(&quot;$&quot;* #,##0.00_);_(&quot;$&quot;* \(#,##0.00\);_(&quot;$&quot;* &quot;-&quot;??_);_(@_)"/>
    <numFmt numFmtId="166" formatCode="_(* #,##0.00_);_(* \(#,##0.00\);_(* &quot;-&quot;??_);_(@_)"/>
    <numFmt numFmtId="167" formatCode="_-[$$-409]* #,##0.00_ ;_-[$$-409]* \-#,##0.00\ ;_-[$$-409]* &quot;-&quot;??_ ;_-@_ "/>
  </numFmts>
  <fonts count="20"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6"/>
      <color rgb="FFFF0000"/>
      <name val="Calibri"/>
      <family val="2"/>
      <scheme val="minor"/>
    </font>
    <font>
      <sz val="12"/>
      <name val="Times New Roman"/>
      <family val="1"/>
    </font>
    <font>
      <sz val="11"/>
      <color rgb="FF0070C0"/>
      <name val="Calibri"/>
      <family val="2"/>
      <scheme val="minor"/>
    </font>
    <font>
      <sz val="10"/>
      <color rgb="FF0070C0"/>
      <name val="Calibri"/>
      <family val="2"/>
    </font>
    <font>
      <sz val="11"/>
      <color theme="1"/>
      <name val="Times New Roman"/>
      <family val="1"/>
    </font>
    <font>
      <b/>
      <sz val="16"/>
      <color theme="1"/>
      <name val="Times New Roman"/>
      <family val="1"/>
    </font>
    <font>
      <b/>
      <sz val="14"/>
      <color theme="1"/>
      <name val="Times New Roman"/>
      <family val="1"/>
    </font>
    <font>
      <b/>
      <sz val="12"/>
      <color theme="0"/>
      <name val="Times New Roman"/>
      <family val="1"/>
    </font>
    <font>
      <b/>
      <sz val="12"/>
      <color rgb="FFFF0000"/>
      <name val="Times New Roman"/>
      <family val="1"/>
    </font>
  </fonts>
  <fills count="12">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249977111117893"/>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bottom style="thin">
        <color indexed="64"/>
      </bottom>
      <diagonal/>
    </border>
  </borders>
  <cellStyleXfs count="4">
    <xf numFmtId="0" fontId="0" fillId="0" borderId="0"/>
    <xf numFmtId="165"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cellStyleXfs>
  <cellXfs count="464">
    <xf numFmtId="0" fontId="0" fillId="0" borderId="0" xfId="0"/>
    <xf numFmtId="0" fontId="1" fillId="0" borderId="1" xfId="0" applyFont="1" applyBorder="1" applyAlignment="1">
      <alignment vertical="center" wrapText="1"/>
    </xf>
    <xf numFmtId="0" fontId="4" fillId="0" borderId="0" xfId="0" applyFont="1"/>
    <xf numFmtId="0" fontId="5" fillId="3" borderId="9" xfId="0" applyFont="1" applyFill="1" applyBorder="1" applyAlignment="1">
      <alignment horizontal="center" vertical="center" wrapText="1"/>
    </xf>
    <xf numFmtId="0" fontId="6" fillId="0" borderId="7" xfId="0" applyFont="1" applyBorder="1" applyAlignment="1">
      <alignment vertical="center" wrapText="1"/>
    </xf>
    <xf numFmtId="0" fontId="6" fillId="0" borderId="9" xfId="0" applyFont="1" applyBorder="1" applyAlignment="1">
      <alignment horizontal="right" vertical="center" wrapText="1"/>
    </xf>
    <xf numFmtId="0" fontId="5" fillId="4" borderId="7" xfId="0" applyFont="1" applyFill="1" applyBorder="1" applyAlignment="1">
      <alignment vertical="center" wrapText="1"/>
    </xf>
    <xf numFmtId="0" fontId="6" fillId="4" borderId="9" xfId="0" applyFont="1" applyFill="1" applyBorder="1" applyAlignment="1">
      <alignment horizontal="right" vertical="center" wrapText="1"/>
    </xf>
    <xf numFmtId="0" fontId="5" fillId="2" borderId="11" xfId="0" applyFont="1" applyFill="1" applyBorder="1" applyAlignment="1">
      <alignment horizontal="center" vertical="center" wrapText="1"/>
    </xf>
    <xf numFmtId="0" fontId="7" fillId="0" borderId="0" xfId="0" applyFont="1"/>
    <xf numFmtId="165" fontId="0" fillId="0" borderId="0" xfId="1" applyFont="1"/>
    <xf numFmtId="0" fontId="0" fillId="0" borderId="0" xfId="0" applyAlignment="1">
      <alignment horizontal="center"/>
    </xf>
    <xf numFmtId="165" fontId="6" fillId="0" borderId="9" xfId="1" applyFont="1" applyBorder="1" applyAlignment="1">
      <alignment horizontal="right" vertical="center" wrapText="1"/>
    </xf>
    <xf numFmtId="165" fontId="6" fillId="4" borderId="9" xfId="1" applyFont="1" applyFill="1" applyBorder="1" applyAlignment="1">
      <alignment horizontal="right" vertical="center" wrapText="1"/>
    </xf>
    <xf numFmtId="165" fontId="6" fillId="0" borderId="9" xfId="1" applyFont="1" applyBorder="1" applyAlignment="1">
      <alignment horizontal="center" vertical="center" wrapText="1"/>
    </xf>
    <xf numFmtId="165" fontId="6" fillId="0" borderId="9" xfId="0" applyNumberFormat="1" applyFont="1" applyBorder="1" applyAlignment="1">
      <alignment horizontal="right" vertical="center" wrapText="1"/>
    </xf>
    <xf numFmtId="165" fontId="6" fillId="0" borderId="9" xfId="1" applyFont="1" applyBorder="1" applyAlignment="1">
      <alignment horizontal="right" vertical="center" wrapText="1"/>
    </xf>
    <xf numFmtId="0" fontId="5"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xf numFmtId="4" fontId="0" fillId="0" borderId="0" xfId="0" applyNumberFormat="1" applyBorder="1"/>
    <xf numFmtId="165" fontId="0" fillId="0" borderId="0" xfId="0" applyNumberFormat="1" applyBorder="1"/>
    <xf numFmtId="165" fontId="7" fillId="0" borderId="0" xfId="1" applyFont="1"/>
    <xf numFmtId="0" fontId="2" fillId="0" borderId="5" xfId="0" applyFont="1" applyBorder="1" applyAlignment="1">
      <alignment vertical="center" wrapText="1"/>
    </xf>
    <xf numFmtId="0" fontId="2" fillId="0" borderId="2" xfId="0" applyFont="1" applyBorder="1" applyAlignment="1">
      <alignment vertical="center" wrapText="1"/>
    </xf>
    <xf numFmtId="0" fontId="1" fillId="0" borderId="5" xfId="0" applyFont="1" applyBorder="1" applyAlignment="1">
      <alignment vertical="center" wrapText="1"/>
    </xf>
    <xf numFmtId="0" fontId="1" fillId="0" borderId="2" xfId="0" applyFont="1" applyBorder="1" applyAlignment="1">
      <alignment vertical="center" wrapText="1"/>
    </xf>
    <xf numFmtId="0" fontId="2" fillId="5" borderId="5" xfId="0" applyFont="1" applyFill="1" applyBorder="1" applyAlignment="1">
      <alignment vertical="center" wrapText="1"/>
    </xf>
    <xf numFmtId="0" fontId="2" fillId="5" borderId="2" xfId="0" applyFont="1" applyFill="1" applyBorder="1" applyAlignment="1">
      <alignment vertical="center" wrapText="1"/>
    </xf>
    <xf numFmtId="165" fontId="0" fillId="0" borderId="0" xfId="0" applyNumberFormat="1"/>
    <xf numFmtId="0" fontId="2" fillId="0" borderId="13" xfId="0" applyFont="1" applyBorder="1" applyAlignment="1">
      <alignment vertical="center" wrapText="1"/>
    </xf>
    <xf numFmtId="0" fontId="1" fillId="0" borderId="12" xfId="0" applyFont="1" applyBorder="1" applyAlignment="1">
      <alignment vertical="center" wrapText="1"/>
    </xf>
    <xf numFmtId="165" fontId="1" fillId="0" borderId="12" xfId="1" applyFont="1" applyBorder="1" applyAlignment="1">
      <alignment vertical="center" wrapText="1"/>
    </xf>
    <xf numFmtId="165" fontId="1" fillId="6" borderId="12" xfId="1" applyFont="1" applyFill="1" applyBorder="1" applyAlignment="1">
      <alignment vertical="center" wrapText="1"/>
    </xf>
    <xf numFmtId="9" fontId="1" fillId="0" borderId="12" xfId="1" applyNumberFormat="1" applyFont="1" applyBorder="1" applyAlignment="1">
      <alignment horizontal="center" vertical="center" wrapText="1"/>
    </xf>
    <xf numFmtId="10" fontId="1" fillId="0" borderId="12" xfId="1" applyNumberFormat="1" applyFont="1" applyBorder="1" applyAlignment="1">
      <alignment horizontal="center"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165" fontId="1" fillId="0" borderId="18" xfId="1" applyFont="1" applyBorder="1" applyAlignment="1">
      <alignment vertical="center" wrapText="1"/>
    </xf>
    <xf numFmtId="165" fontId="1" fillId="6" borderId="18" xfId="1" applyFont="1" applyFill="1" applyBorder="1" applyAlignment="1">
      <alignment vertical="center" wrapText="1"/>
    </xf>
    <xf numFmtId="9" fontId="1" fillId="0" borderId="18" xfId="1" applyNumberFormat="1" applyFont="1" applyBorder="1" applyAlignment="1">
      <alignment horizontal="center"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165" fontId="1" fillId="0" borderId="23" xfId="1" applyFont="1" applyBorder="1" applyAlignment="1">
      <alignment vertical="center" wrapText="1"/>
    </xf>
    <xf numFmtId="9" fontId="1" fillId="0" borderId="23" xfId="1" applyNumberFormat="1" applyFont="1" applyBorder="1" applyAlignment="1">
      <alignment horizontal="center" vertical="center" wrapText="1"/>
    </xf>
    <xf numFmtId="0" fontId="1" fillId="0" borderId="24" xfId="0" applyFont="1" applyBorder="1" applyAlignment="1">
      <alignment vertical="center" wrapText="1"/>
    </xf>
    <xf numFmtId="0" fontId="2" fillId="0" borderId="25" xfId="0" applyFont="1" applyBorder="1" applyAlignment="1">
      <alignment vertical="center" wrapText="1"/>
    </xf>
    <xf numFmtId="9" fontId="1" fillId="0" borderId="12" xfId="0" applyNumberFormat="1" applyFont="1" applyBorder="1" applyAlignment="1">
      <alignment horizontal="center" vertical="center" wrapText="1"/>
    </xf>
    <xf numFmtId="0" fontId="1" fillId="6" borderId="12" xfId="0" applyFont="1" applyFill="1" applyBorder="1" applyAlignment="1">
      <alignment vertical="center" wrapText="1"/>
    </xf>
    <xf numFmtId="9" fontId="1" fillId="0" borderId="18" xfId="0" applyNumberFormat="1" applyFont="1" applyBorder="1" applyAlignment="1">
      <alignment horizontal="center" vertical="center" wrapText="1"/>
    </xf>
    <xf numFmtId="0" fontId="1" fillId="6" borderId="19" xfId="0" applyFont="1" applyFill="1" applyBorder="1" applyAlignment="1">
      <alignment vertical="center" wrapText="1"/>
    </xf>
    <xf numFmtId="9" fontId="1" fillId="0" borderId="23" xfId="0" applyNumberFormat="1" applyFont="1" applyBorder="1" applyAlignment="1">
      <alignment horizontal="center" vertical="center" wrapText="1"/>
    </xf>
    <xf numFmtId="0" fontId="0" fillId="0" borderId="12" xfId="0" applyBorder="1"/>
    <xf numFmtId="166" fontId="1" fillId="0" borderId="12" xfId="3" applyFont="1" applyBorder="1" applyAlignment="1">
      <alignment vertical="center" wrapText="1"/>
    </xf>
    <xf numFmtId="0" fontId="0" fillId="0" borderId="18" xfId="0" applyBorder="1"/>
    <xf numFmtId="166" fontId="1" fillId="0" borderId="18" xfId="3" applyFont="1" applyBorder="1" applyAlignment="1">
      <alignment vertical="center" wrapText="1"/>
    </xf>
    <xf numFmtId="166" fontId="1" fillId="0" borderId="19" xfId="3" applyFont="1" applyBorder="1" applyAlignment="1">
      <alignment vertical="center" wrapText="1"/>
    </xf>
    <xf numFmtId="166" fontId="1" fillId="0" borderId="21" xfId="3" applyFont="1" applyBorder="1" applyAlignment="1">
      <alignment vertical="center" wrapText="1"/>
    </xf>
    <xf numFmtId="0" fontId="0" fillId="0" borderId="23" xfId="0" applyBorder="1"/>
    <xf numFmtId="166" fontId="1" fillId="0" borderId="23" xfId="3" applyFont="1" applyBorder="1" applyAlignment="1">
      <alignment vertical="center" wrapText="1"/>
    </xf>
    <xf numFmtId="166" fontId="1" fillId="0" borderId="24" xfId="3" applyFont="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166" fontId="1" fillId="0" borderId="29" xfId="3" applyFont="1" applyBorder="1" applyAlignment="1">
      <alignment vertical="center" wrapText="1"/>
    </xf>
    <xf numFmtId="0" fontId="0" fillId="0" borderId="29" xfId="0" applyBorder="1"/>
    <xf numFmtId="166" fontId="1" fillId="0" borderId="30" xfId="3" applyFont="1" applyBorder="1" applyAlignment="1">
      <alignment vertical="center" wrapText="1"/>
    </xf>
    <xf numFmtId="166" fontId="1" fillId="0" borderId="18" xfId="3" applyFont="1" applyFill="1" applyBorder="1" applyAlignment="1">
      <alignment vertical="center" wrapText="1"/>
    </xf>
    <xf numFmtId="165" fontId="1" fillId="0" borderId="24" xfId="1" applyFont="1" applyBorder="1" applyAlignment="1">
      <alignment vertical="center" wrapText="1"/>
    </xf>
    <xf numFmtId="0" fontId="0" fillId="0" borderId="0" xfId="0" applyAlignment="1">
      <alignment vertical="center"/>
    </xf>
    <xf numFmtId="0" fontId="2" fillId="6" borderId="13" xfId="0" applyFont="1" applyFill="1" applyBorder="1" applyAlignment="1">
      <alignment vertical="center" wrapText="1"/>
    </xf>
    <xf numFmtId="164" fontId="1" fillId="6" borderId="12" xfId="0" applyNumberFormat="1" applyFont="1" applyFill="1" applyBorder="1" applyAlignment="1">
      <alignment vertical="center" wrapText="1"/>
    </xf>
    <xf numFmtId="165" fontId="1" fillId="6" borderId="12" xfId="1" applyFont="1" applyFill="1" applyBorder="1" applyAlignment="1">
      <alignment horizontal="center" vertical="center" wrapText="1"/>
    </xf>
    <xf numFmtId="0" fontId="2" fillId="0" borderId="12" xfId="0" applyFont="1" applyBorder="1" applyAlignment="1">
      <alignment vertical="center" wrapText="1"/>
    </xf>
    <xf numFmtId="9" fontId="1" fillId="0" borderId="12" xfId="2" applyFont="1" applyBorder="1" applyAlignment="1">
      <alignment horizontal="center" vertical="center" wrapText="1"/>
    </xf>
    <xf numFmtId="164" fontId="1" fillId="0" borderId="12" xfId="0" applyNumberFormat="1" applyFont="1" applyBorder="1" applyAlignment="1">
      <alignment vertical="center" wrapText="1"/>
    </xf>
    <xf numFmtId="165" fontId="1" fillId="0" borderId="12" xfId="1" applyFont="1" applyBorder="1" applyAlignment="1">
      <alignment horizontal="center" vertical="center" wrapText="1"/>
    </xf>
    <xf numFmtId="0" fontId="1" fillId="6" borderId="17" xfId="0" applyFont="1" applyFill="1" applyBorder="1" applyAlignment="1">
      <alignment vertical="center" wrapText="1"/>
    </xf>
    <xf numFmtId="0" fontId="1" fillId="6" borderId="18" xfId="0" applyFont="1" applyFill="1" applyBorder="1" applyAlignment="1">
      <alignment vertical="center" wrapText="1"/>
    </xf>
    <xf numFmtId="164" fontId="1" fillId="6" borderId="18" xfId="0" applyNumberFormat="1" applyFont="1" applyFill="1" applyBorder="1" applyAlignment="1">
      <alignment vertical="center" wrapText="1"/>
    </xf>
    <xf numFmtId="9" fontId="1" fillId="6" borderId="18" xfId="1" applyNumberFormat="1"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0" xfId="0" applyFont="1" applyFill="1" applyBorder="1" applyAlignment="1">
      <alignment vertical="center" wrapText="1"/>
    </xf>
    <xf numFmtId="0" fontId="1" fillId="6" borderId="21" xfId="0" applyFont="1" applyFill="1" applyBorder="1" applyAlignment="1">
      <alignment vertical="center" wrapText="1"/>
    </xf>
    <xf numFmtId="0" fontId="2" fillId="0" borderId="20" xfId="0" applyFont="1" applyBorder="1" applyAlignment="1">
      <alignment vertical="center" wrapText="1"/>
    </xf>
    <xf numFmtId="164" fontId="1" fillId="0" borderId="23" xfId="0" applyNumberFormat="1" applyFont="1" applyBorder="1" applyAlignment="1">
      <alignment vertical="center" wrapText="1"/>
    </xf>
    <xf numFmtId="9" fontId="1" fillId="0" borderId="23" xfId="2"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1" fillId="0" borderId="23" xfId="0" applyFont="1" applyBorder="1" applyAlignment="1">
      <alignment horizontal="center" vertical="center" wrapText="1"/>
    </xf>
    <xf numFmtId="0" fontId="2" fillId="0" borderId="16" xfId="0" applyFont="1" applyBorder="1" applyAlignment="1">
      <alignmen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166" fontId="2" fillId="0" borderId="16" xfId="0" applyNumberFormat="1" applyFont="1" applyBorder="1" applyAlignment="1">
      <alignment vertical="center" wrapText="1"/>
    </xf>
    <xf numFmtId="165" fontId="2" fillId="0" borderId="16" xfId="0" applyNumberFormat="1" applyFont="1" applyBorder="1" applyAlignment="1">
      <alignment vertical="center" wrapText="1"/>
    </xf>
    <xf numFmtId="164" fontId="2" fillId="0" borderId="25" xfId="0" applyNumberFormat="1" applyFont="1" applyBorder="1" applyAlignment="1">
      <alignment vertical="center" wrapText="1"/>
    </xf>
    <xf numFmtId="166" fontId="2" fillId="0" borderId="1" xfId="0" applyNumberFormat="1" applyFont="1" applyBorder="1" applyAlignment="1">
      <alignment vertical="center" wrapText="1"/>
    </xf>
    <xf numFmtId="0" fontId="1" fillId="0" borderId="5" xfId="0" applyFont="1" applyBorder="1" applyAlignment="1">
      <alignment horizontal="center" vertical="center" wrapText="1"/>
    </xf>
    <xf numFmtId="43" fontId="1" fillId="0" borderId="1" xfId="0" applyNumberFormat="1" applyFont="1" applyBorder="1" applyAlignment="1">
      <alignment vertical="center" wrapText="1"/>
    </xf>
    <xf numFmtId="0" fontId="2" fillId="5" borderId="5" xfId="0" applyFont="1" applyFill="1" applyBorder="1" applyAlignment="1">
      <alignment horizontal="center" vertical="center" wrapText="1"/>
    </xf>
    <xf numFmtId="166" fontId="2" fillId="5" borderId="5" xfId="0" applyNumberFormat="1" applyFont="1" applyFill="1" applyBorder="1" applyAlignment="1">
      <alignment vertical="center" wrapText="1"/>
    </xf>
    <xf numFmtId="165" fontId="2" fillId="0" borderId="5" xfId="0" applyNumberFormat="1" applyFont="1" applyBorder="1" applyAlignment="1">
      <alignment vertical="center" wrapText="1"/>
    </xf>
    <xf numFmtId="43" fontId="1" fillId="0" borderId="5" xfId="0" applyNumberFormat="1" applyFont="1" applyBorder="1" applyAlignment="1">
      <alignment vertical="center" wrapText="1"/>
    </xf>
    <xf numFmtId="165" fontId="2" fillId="5" borderId="5" xfId="0" applyNumberFormat="1" applyFont="1" applyFill="1" applyBorder="1" applyAlignment="1">
      <alignment vertical="center" wrapText="1"/>
    </xf>
    <xf numFmtId="165" fontId="2" fillId="0" borderId="25" xfId="0" applyNumberFormat="1" applyFont="1" applyBorder="1" applyAlignment="1">
      <alignment vertical="center" wrapText="1"/>
    </xf>
    <xf numFmtId="166" fontId="2" fillId="0" borderId="5" xfId="0" applyNumberFormat="1" applyFont="1" applyBorder="1" applyAlignment="1">
      <alignment vertical="center" wrapText="1"/>
    </xf>
    <xf numFmtId="0" fontId="0" fillId="0" borderId="0" xfId="0" applyProtection="1">
      <protection hidden="1"/>
    </xf>
    <xf numFmtId="0" fontId="2" fillId="0" borderId="31" xfId="0" applyFont="1" applyBorder="1" applyAlignment="1" applyProtection="1">
      <alignment vertical="center" wrapText="1"/>
      <protection locked="0"/>
    </xf>
    <xf numFmtId="167" fontId="2" fillId="7" borderId="32" xfId="0" applyNumberFormat="1" applyFont="1" applyFill="1" applyBorder="1" applyAlignment="1" applyProtection="1">
      <alignment vertical="center" wrapText="1"/>
      <protection hidden="1"/>
    </xf>
    <xf numFmtId="0" fontId="2" fillId="0" borderId="33" xfId="0" applyFont="1" applyBorder="1" applyAlignment="1" applyProtection="1">
      <alignment vertical="center" wrapText="1"/>
      <protection locked="0"/>
    </xf>
    <xf numFmtId="0" fontId="1" fillId="0" borderId="35" xfId="0" applyFont="1" applyBorder="1" applyAlignment="1" applyProtection="1">
      <alignment vertical="center" wrapText="1"/>
      <protection locked="0"/>
    </xf>
    <xf numFmtId="167" fontId="2" fillId="8" borderId="36" xfId="0" applyNumberFormat="1" applyFont="1" applyFill="1" applyBorder="1" applyAlignment="1" applyProtection="1">
      <alignment vertical="center" wrapText="1"/>
      <protection hidden="1"/>
    </xf>
    <xf numFmtId="0" fontId="1" fillId="0" borderId="37"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167" fontId="2" fillId="9" borderId="40" xfId="0" applyNumberFormat="1" applyFont="1" applyFill="1" applyBorder="1" applyAlignment="1" applyProtection="1">
      <alignment vertical="center" wrapText="1"/>
      <protection hidden="1"/>
    </xf>
    <xf numFmtId="0" fontId="2" fillId="0" borderId="41" xfId="0" applyFont="1" applyBorder="1" applyAlignment="1" applyProtection="1">
      <alignment vertical="center" wrapText="1"/>
      <protection locked="0"/>
    </xf>
    <xf numFmtId="0" fontId="1" fillId="0" borderId="29" xfId="0" applyFont="1" applyBorder="1" applyAlignment="1" applyProtection="1">
      <alignment vertical="center" wrapText="1"/>
      <protection hidden="1"/>
    </xf>
    <xf numFmtId="0" fontId="1" fillId="0" borderId="28" xfId="0" applyFont="1" applyBorder="1" applyAlignment="1" applyProtection="1">
      <alignment vertical="center" wrapText="1"/>
      <protection hidden="1"/>
    </xf>
    <xf numFmtId="0" fontId="2" fillId="0" borderId="24"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167" fontId="2" fillId="0" borderId="23" xfId="0" applyNumberFormat="1" applyFont="1" applyBorder="1" applyAlignment="1" applyProtection="1">
      <alignment vertical="center" wrapText="1"/>
      <protection locked="0"/>
    </xf>
    <xf numFmtId="0" fontId="2" fillId="0" borderId="23" xfId="0" applyFont="1" applyBorder="1" applyAlignment="1" applyProtection="1">
      <alignment vertical="center" wrapText="1"/>
      <protection hidden="1"/>
    </xf>
    <xf numFmtId="0" fontId="2" fillId="0" borderId="19"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18" xfId="0" applyFont="1" applyBorder="1" applyAlignment="1" applyProtection="1">
      <alignment vertical="center" wrapText="1"/>
      <protection hidden="1"/>
    </xf>
    <xf numFmtId="0" fontId="1" fillId="0" borderId="17" xfId="0" applyFont="1" applyBorder="1" applyAlignment="1" applyProtection="1">
      <alignment vertical="center" wrapText="1"/>
      <protection hidden="1"/>
    </xf>
    <xf numFmtId="0" fontId="2" fillId="0" borderId="44" xfId="0" applyFont="1" applyBorder="1" applyAlignment="1" applyProtection="1">
      <alignment vertical="center" wrapText="1"/>
      <protection locked="0"/>
    </xf>
    <xf numFmtId="167" fontId="2" fillId="9" borderId="45" xfId="0" applyNumberFormat="1" applyFont="1" applyFill="1" applyBorder="1" applyAlignment="1" applyProtection="1">
      <alignment vertical="center" wrapText="1"/>
      <protection hidden="1"/>
    </xf>
    <xf numFmtId="0" fontId="2" fillId="0" borderId="45"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167" fontId="1" fillId="0" borderId="12" xfId="0" applyNumberFormat="1" applyFont="1" applyBorder="1" applyAlignment="1" applyProtection="1">
      <alignment vertical="center" wrapText="1"/>
      <protection hidden="1"/>
    </xf>
    <xf numFmtId="9" fontId="1" fillId="0" borderId="12" xfId="2" applyFont="1" applyBorder="1" applyAlignment="1" applyProtection="1">
      <alignment vertical="center" wrapText="1"/>
      <protection locked="0"/>
    </xf>
    <xf numFmtId="0" fontId="1" fillId="0" borderId="12" xfId="0" applyFont="1" applyBorder="1" applyAlignment="1" applyProtection="1">
      <alignment vertical="center" wrapText="1"/>
      <protection hidden="1"/>
    </xf>
    <xf numFmtId="0" fontId="1" fillId="0" borderId="20"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1" fillId="0" borderId="24" xfId="0" applyFont="1" applyBorder="1" applyAlignment="1" applyProtection="1">
      <alignment vertical="center" wrapText="1"/>
      <protection locked="0"/>
    </xf>
    <xf numFmtId="167" fontId="1" fillId="0" borderId="23" xfId="0" applyNumberFormat="1" applyFont="1" applyBorder="1" applyAlignment="1" applyProtection="1">
      <alignment vertical="center" wrapText="1"/>
      <protection hidden="1"/>
    </xf>
    <xf numFmtId="9" fontId="1" fillId="0" borderId="23" xfId="2" applyFont="1" applyBorder="1" applyAlignment="1" applyProtection="1">
      <alignment vertical="center" wrapText="1"/>
      <protection locked="0"/>
    </xf>
    <xf numFmtId="0" fontId="1" fillId="0" borderId="23" xfId="0" applyFont="1" applyBorder="1" applyAlignment="1" applyProtection="1">
      <alignment horizontal="center" vertical="center" wrapText="1"/>
      <protection locked="0"/>
    </xf>
    <xf numFmtId="0" fontId="1" fillId="0" borderId="19" xfId="0" applyFont="1" applyBorder="1" applyAlignment="1" applyProtection="1">
      <alignment vertical="center" wrapText="1"/>
      <protection locked="0"/>
    </xf>
    <xf numFmtId="167" fontId="1" fillId="0" borderId="18" xfId="0" applyNumberFormat="1" applyFont="1" applyBorder="1" applyAlignment="1" applyProtection="1">
      <alignment vertical="center" wrapText="1"/>
      <protection hidden="1"/>
    </xf>
    <xf numFmtId="0" fontId="1" fillId="0" borderId="18" xfId="0" applyFont="1" applyBorder="1" applyAlignment="1" applyProtection="1">
      <alignment vertical="center" wrapText="1"/>
      <protection hidden="1"/>
    </xf>
    <xf numFmtId="0" fontId="1" fillId="0" borderId="18" xfId="0" applyFont="1" applyBorder="1" applyAlignment="1" applyProtection="1">
      <alignment horizontal="left" vertical="center" wrapText="1"/>
      <protection hidden="1"/>
    </xf>
    <xf numFmtId="0" fontId="1" fillId="0" borderId="23" xfId="0" applyFont="1" applyBorder="1" applyAlignment="1" applyProtection="1">
      <alignment vertical="center" wrapText="1"/>
      <protection locked="0"/>
    </xf>
    <xf numFmtId="0" fontId="1" fillId="0" borderId="17" xfId="0" applyFont="1" applyBorder="1" applyAlignment="1" applyProtection="1">
      <alignment horizontal="left" vertical="center" wrapText="1"/>
      <protection hidden="1"/>
    </xf>
    <xf numFmtId="0" fontId="2" fillId="0" borderId="25" xfId="0" applyFont="1" applyBorder="1" applyAlignment="1" applyProtection="1">
      <alignment vertical="center" wrapText="1"/>
      <protection hidden="1"/>
    </xf>
    <xf numFmtId="0" fontId="1" fillId="0" borderId="21" xfId="0" applyNumberFormat="1" applyFont="1" applyBorder="1" applyAlignment="1" applyProtection="1">
      <alignment vertical="center" wrapText="1"/>
      <protection locked="0"/>
    </xf>
    <xf numFmtId="0" fontId="1" fillId="0" borderId="19" xfId="0" applyNumberFormat="1" applyFont="1" applyBorder="1" applyAlignment="1" applyProtection="1">
      <alignment vertical="center" wrapText="1"/>
      <protection locked="0"/>
    </xf>
    <xf numFmtId="0" fontId="2" fillId="0" borderId="53" xfId="0" applyFont="1" applyBorder="1" applyAlignment="1" applyProtection="1">
      <alignment vertical="center" wrapText="1"/>
      <protection hidden="1"/>
    </xf>
    <xf numFmtId="0" fontId="1" fillId="0" borderId="30" xfId="0" applyFont="1" applyBorder="1" applyAlignment="1" applyProtection="1">
      <alignment vertical="center" wrapText="1"/>
      <protection hidden="1"/>
    </xf>
    <xf numFmtId="0" fontId="4" fillId="0" borderId="0" xfId="0" applyFont="1" applyProtection="1">
      <protection hidden="1"/>
    </xf>
    <xf numFmtId="0" fontId="8" fillId="0" borderId="0" xfId="0" applyFont="1" applyProtection="1">
      <protection hidden="1"/>
    </xf>
    <xf numFmtId="0" fontId="9" fillId="0" borderId="0" xfId="0" applyFont="1" applyProtection="1">
      <protection hidden="1"/>
    </xf>
    <xf numFmtId="9" fontId="1" fillId="6" borderId="12" xfId="0" applyNumberFormat="1" applyFont="1" applyFill="1" applyBorder="1" applyAlignment="1">
      <alignment horizontal="center" vertical="center" wrapText="1"/>
    </xf>
    <xf numFmtId="9" fontId="1" fillId="6" borderId="18" xfId="0" applyNumberFormat="1" applyFont="1" applyFill="1" applyBorder="1" applyAlignment="1">
      <alignment horizontal="center" vertical="center" wrapText="1"/>
    </xf>
    <xf numFmtId="9" fontId="1" fillId="6" borderId="23" xfId="0" applyNumberFormat="1" applyFont="1" applyFill="1" applyBorder="1" applyAlignment="1">
      <alignment horizontal="center" vertical="center" wrapText="1"/>
    </xf>
    <xf numFmtId="0" fontId="1" fillId="0" borderId="24" xfId="0" applyNumberFormat="1" applyFont="1" applyBorder="1" applyAlignment="1" applyProtection="1">
      <alignment vertical="center" wrapText="1"/>
      <protection locked="0"/>
    </xf>
    <xf numFmtId="0" fontId="2" fillId="0" borderId="54" xfId="0" applyFont="1" applyBorder="1" applyAlignment="1" applyProtection="1">
      <alignment vertical="center" wrapText="1"/>
      <protection hidden="1"/>
    </xf>
    <xf numFmtId="0" fontId="1" fillId="0" borderId="12" xfId="0" applyFont="1" applyBorder="1" applyAlignment="1" applyProtection="1">
      <alignment vertical="center" wrapText="1"/>
      <protection locked="0"/>
    </xf>
    <xf numFmtId="0" fontId="1" fillId="0" borderId="57" xfId="0" applyFont="1" applyBorder="1" applyAlignment="1" applyProtection="1">
      <alignment vertical="center" wrapText="1"/>
      <protection locked="0"/>
    </xf>
    <xf numFmtId="0" fontId="1" fillId="6" borderId="23" xfId="0" applyFont="1" applyFill="1" applyBorder="1" applyAlignment="1">
      <alignment horizontal="center" vertical="center" wrapText="1"/>
    </xf>
    <xf numFmtId="167" fontId="1" fillId="0" borderId="23" xfId="3" applyNumberFormat="1" applyFont="1" applyBorder="1" applyAlignment="1">
      <alignment vertical="center" wrapText="1"/>
    </xf>
    <xf numFmtId="0" fontId="2"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pplyProtection="1">
      <alignment horizontal="center" vertical="center" wrapText="1"/>
      <protection hidden="1"/>
    </xf>
    <xf numFmtId="166" fontId="2" fillId="9" borderId="1" xfId="0" applyNumberFormat="1" applyFont="1" applyFill="1" applyBorder="1" applyAlignment="1" applyProtection="1">
      <alignment vertical="center" wrapText="1"/>
      <protection hidden="1"/>
    </xf>
    <xf numFmtId="167" fontId="2" fillId="9" borderId="45" xfId="2" applyNumberFormat="1" applyFont="1" applyFill="1" applyBorder="1" applyAlignment="1" applyProtection="1">
      <alignment vertical="center" wrapText="1"/>
      <protection locked="0"/>
    </xf>
    <xf numFmtId="0" fontId="2" fillId="0" borderId="52" xfId="0" applyFont="1" applyBorder="1" applyAlignment="1" applyProtection="1">
      <alignment vertical="center" wrapText="1"/>
      <protection locked="0"/>
    </xf>
    <xf numFmtId="0" fontId="1" fillId="0" borderId="55" xfId="0" applyFont="1" applyBorder="1" applyAlignment="1" applyProtection="1">
      <alignment vertical="center" wrapText="1"/>
      <protection hidden="1"/>
    </xf>
    <xf numFmtId="167" fontId="2" fillId="9" borderId="53" xfId="0" applyNumberFormat="1" applyFont="1" applyFill="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2" xfId="0" applyFont="1" applyBorder="1" applyAlignment="1" applyProtection="1">
      <alignment horizontal="center" vertical="center" wrapText="1"/>
      <protection hidden="1"/>
    </xf>
    <xf numFmtId="167" fontId="2" fillId="0" borderId="12" xfId="0" applyNumberFormat="1" applyFont="1" applyBorder="1" applyAlignment="1" applyProtection="1">
      <alignment vertical="center" wrapText="1"/>
      <protection locked="0"/>
    </xf>
    <xf numFmtId="0" fontId="2" fillId="0" borderId="23" xfId="0" applyFont="1" applyBorder="1" applyAlignment="1" applyProtection="1">
      <alignment horizontal="center" vertical="center" wrapText="1"/>
      <protection hidden="1"/>
    </xf>
    <xf numFmtId="0" fontId="2" fillId="0" borderId="41" xfId="0" applyFont="1" applyBorder="1" applyAlignment="1" applyProtection="1">
      <alignment vertical="center" wrapText="1"/>
      <protection hidden="1"/>
    </xf>
    <xf numFmtId="0" fontId="2" fillId="0" borderId="18" xfId="0" applyFont="1" applyBorder="1" applyAlignment="1" applyProtection="1">
      <alignment horizontal="center" vertical="center" wrapText="1"/>
      <protection hidden="1"/>
    </xf>
    <xf numFmtId="0" fontId="2" fillId="0" borderId="21" xfId="0" applyFont="1" applyBorder="1" applyAlignment="1" applyProtection="1">
      <alignment vertical="center" wrapText="1"/>
      <protection locked="0"/>
    </xf>
    <xf numFmtId="0" fontId="2" fillId="0" borderId="50" xfId="0" applyFont="1" applyBorder="1" applyAlignment="1" applyProtection="1">
      <alignment vertical="center" wrapText="1"/>
      <protection hidden="1"/>
    </xf>
    <xf numFmtId="0" fontId="2" fillId="0" borderId="50" xfId="0" applyFont="1" applyBorder="1" applyAlignment="1" applyProtection="1">
      <alignment horizontal="center" vertical="center" wrapText="1"/>
      <protection hidden="1"/>
    </xf>
    <xf numFmtId="167" fontId="2" fillId="0" borderId="50" xfId="0" applyNumberFormat="1"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1" fillId="0" borderId="45" xfId="0" applyFont="1" applyBorder="1" applyAlignment="1" applyProtection="1">
      <alignment vertical="center" wrapText="1"/>
      <protection hidden="1"/>
    </xf>
    <xf numFmtId="0" fontId="1" fillId="6" borderId="18"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0" borderId="17"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wrapText="1"/>
      <protection hidden="1"/>
    </xf>
    <xf numFmtId="0" fontId="1" fillId="0" borderId="22" xfId="0" applyFont="1" applyBorder="1" applyAlignment="1" applyProtection="1">
      <alignment horizontal="center" vertical="center" wrapText="1"/>
      <protection hidden="1"/>
    </xf>
    <xf numFmtId="167" fontId="1" fillId="0" borderId="12" xfId="3" applyNumberFormat="1" applyFont="1" applyBorder="1" applyAlignment="1">
      <alignment vertical="center" wrapText="1"/>
    </xf>
    <xf numFmtId="0" fontId="1" fillId="0" borderId="2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0" borderId="12"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2" fillId="0" borderId="15"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locked="0"/>
    </xf>
    <xf numFmtId="167" fontId="1" fillId="0" borderId="18" xfId="3" applyNumberFormat="1" applyFont="1" applyBorder="1" applyAlignment="1">
      <alignment vertical="center" wrapText="1"/>
    </xf>
    <xf numFmtId="0" fontId="1" fillId="0" borderId="12" xfId="0" applyFont="1" applyBorder="1" applyAlignment="1" applyProtection="1">
      <alignment horizontal="center" vertical="center" wrapText="1"/>
      <protection hidden="1"/>
    </xf>
    <xf numFmtId="167" fontId="1" fillId="0" borderId="56" xfId="0" applyNumberFormat="1" applyFont="1" applyBorder="1" applyAlignment="1" applyProtection="1">
      <alignment vertical="center" wrapText="1"/>
      <protection hidden="1"/>
    </xf>
    <xf numFmtId="0" fontId="1" fillId="0" borderId="56" xfId="0" applyFont="1" applyBorder="1" applyAlignment="1" applyProtection="1">
      <alignment vertical="center" wrapText="1"/>
      <protection locked="0"/>
    </xf>
    <xf numFmtId="0" fontId="1" fillId="0" borderId="56" xfId="0" applyFont="1" applyBorder="1" applyAlignment="1" applyProtection="1">
      <alignment horizontal="center" vertical="center" wrapText="1"/>
      <protection hidden="1"/>
    </xf>
    <xf numFmtId="167" fontId="1" fillId="0" borderId="12" xfId="0" applyNumberFormat="1" applyFont="1" applyBorder="1" applyAlignment="1">
      <alignment vertical="center" wrapText="1"/>
    </xf>
    <xf numFmtId="167" fontId="1" fillId="0" borderId="18" xfId="0" applyNumberFormat="1" applyFont="1" applyBorder="1" applyAlignment="1">
      <alignment vertical="center" wrapText="1"/>
    </xf>
    <xf numFmtId="167" fontId="1" fillId="0" borderId="23" xfId="0" applyNumberFormat="1" applyFont="1" applyBorder="1" applyAlignment="1">
      <alignment vertical="center" wrapText="1"/>
    </xf>
    <xf numFmtId="0" fontId="1" fillId="0" borderId="22" xfId="0" applyFont="1" applyBorder="1" applyAlignment="1" applyProtection="1">
      <alignment vertical="center" wrapText="1"/>
      <protection hidden="1"/>
    </xf>
    <xf numFmtId="0" fontId="1" fillId="0" borderId="23" xfId="0" applyFont="1" applyBorder="1" applyAlignment="1" applyProtection="1">
      <alignment vertical="center" wrapText="1"/>
      <protection hidden="1"/>
    </xf>
    <xf numFmtId="0" fontId="2" fillId="0" borderId="59" xfId="0" applyFont="1" applyFill="1" applyBorder="1" applyAlignment="1" applyProtection="1">
      <alignment horizontal="center" vertical="center" wrapText="1"/>
      <protection locked="0"/>
    </xf>
    <xf numFmtId="9" fontId="1" fillId="0" borderId="18" xfId="2" applyFont="1" applyBorder="1" applyAlignment="1">
      <alignment horizontal="center" vertical="center" wrapText="1"/>
    </xf>
    <xf numFmtId="0" fontId="1" fillId="0" borderId="12" xfId="0" applyFont="1" applyBorder="1" applyAlignment="1">
      <alignment horizontal="center" vertical="center" wrapText="1"/>
    </xf>
    <xf numFmtId="0" fontId="2" fillId="0" borderId="45" xfId="0" applyFont="1" applyBorder="1" applyAlignment="1" applyProtection="1">
      <alignment horizontal="center" vertical="center" wrapText="1"/>
      <protection locked="0"/>
    </xf>
    <xf numFmtId="9" fontId="1" fillId="0" borderId="18" xfId="2" applyFont="1" applyBorder="1" applyAlignment="1" applyProtection="1">
      <alignment horizontal="center" vertical="center" wrapText="1"/>
      <protection locked="0"/>
    </xf>
    <xf numFmtId="9" fontId="1" fillId="0" borderId="12" xfId="2" applyFont="1" applyBorder="1" applyAlignment="1" applyProtection="1">
      <alignment horizontal="center" vertical="center" wrapText="1"/>
      <protection locked="0"/>
    </xf>
    <xf numFmtId="9" fontId="1" fillId="0" borderId="23" xfId="2"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166" fontId="0" fillId="0" borderId="0" xfId="0" applyNumberFormat="1"/>
    <xf numFmtId="166" fontId="0" fillId="0" borderId="0" xfId="3" applyFont="1"/>
    <xf numFmtId="166" fontId="13" fillId="0" borderId="0" xfId="3" applyFont="1"/>
    <xf numFmtId="166" fontId="14" fillId="0" borderId="9" xfId="0" applyNumberFormat="1" applyFont="1" applyFill="1" applyBorder="1" applyAlignment="1">
      <alignment horizontal="right" vertical="center" wrapText="1"/>
    </xf>
    <xf numFmtId="166" fontId="6" fillId="0" borderId="9" xfId="3" applyFont="1" applyBorder="1" applyAlignment="1">
      <alignment horizontal="right" vertical="center" wrapText="1"/>
    </xf>
    <xf numFmtId="166" fontId="6" fillId="4" borderId="9" xfId="3" applyFont="1" applyFill="1" applyBorder="1" applyAlignment="1">
      <alignment horizontal="right" vertical="center" wrapText="1"/>
    </xf>
    <xf numFmtId="166" fontId="6" fillId="0" borderId="9" xfId="3" applyFont="1" applyBorder="1" applyAlignment="1">
      <alignment horizontal="center" vertical="center" wrapText="1"/>
    </xf>
    <xf numFmtId="166" fontId="6" fillId="4" borderId="9" xfId="0" applyNumberFormat="1" applyFont="1" applyFill="1" applyBorder="1" applyAlignment="1">
      <alignment horizontal="right" vertical="center" wrapText="1"/>
    </xf>
    <xf numFmtId="0" fontId="2" fillId="0" borderId="1" xfId="0" applyFont="1" applyBorder="1" applyAlignment="1" applyProtection="1">
      <alignment vertical="center" wrapText="1"/>
      <protection hidden="1"/>
    </xf>
    <xf numFmtId="0" fontId="15" fillId="0" borderId="0" xfId="0" applyFont="1" applyProtection="1">
      <protection hidden="1"/>
    </xf>
    <xf numFmtId="0" fontId="15" fillId="0" borderId="12" xfId="0" applyFont="1" applyBorder="1" applyProtection="1">
      <protection hidden="1"/>
    </xf>
    <xf numFmtId="0" fontId="16" fillId="0" borderId="0" xfId="0" applyFont="1" applyProtection="1">
      <protection hidden="1"/>
    </xf>
    <xf numFmtId="0" fontId="17" fillId="0" borderId="0" xfId="0" applyFont="1" applyProtection="1">
      <protection hidden="1"/>
    </xf>
    <xf numFmtId="0" fontId="15" fillId="0" borderId="0" xfId="0" applyFont="1" applyAlignment="1" applyProtection="1">
      <alignment horizontal="center"/>
      <protection hidden="1"/>
    </xf>
    <xf numFmtId="0" fontId="2" fillId="0" borderId="0" xfId="0" applyFont="1" applyProtection="1">
      <protection hidden="1"/>
    </xf>
    <xf numFmtId="0" fontId="1" fillId="0" borderId="70" xfId="0" applyFont="1" applyBorder="1" applyAlignment="1">
      <alignment vertical="center" wrapText="1"/>
    </xf>
    <xf numFmtId="0" fontId="2" fillId="0" borderId="26" xfId="0" applyFont="1" applyBorder="1" applyAlignment="1">
      <alignment vertical="center" wrapText="1"/>
    </xf>
    <xf numFmtId="0" fontId="2" fillId="0" borderId="71" xfId="0" applyFont="1" applyBorder="1" applyAlignment="1">
      <alignment vertical="center" wrapText="1"/>
    </xf>
    <xf numFmtId="9" fontId="1" fillId="0" borderId="56" xfId="2" applyFont="1" applyBorder="1" applyAlignment="1" applyProtection="1">
      <alignment horizontal="center" vertical="center" wrapText="1"/>
      <protection locked="0"/>
    </xf>
    <xf numFmtId="0" fontId="1" fillId="0" borderId="72" xfId="0" applyFont="1" applyBorder="1" applyAlignment="1" applyProtection="1">
      <alignment vertical="center" wrapText="1"/>
      <protection hidden="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73" xfId="0" applyFont="1" applyBorder="1" applyAlignment="1" applyProtection="1">
      <alignment vertical="center" wrapText="1"/>
      <protection hidden="1"/>
    </xf>
    <xf numFmtId="0" fontId="1" fillId="0" borderId="74" xfId="0" applyFont="1" applyBorder="1" applyAlignment="1" applyProtection="1">
      <alignment vertical="center" wrapText="1"/>
      <protection hidden="1"/>
    </xf>
    <xf numFmtId="0" fontId="2" fillId="0" borderId="73" xfId="0" applyFont="1" applyBorder="1" applyAlignment="1">
      <alignment vertical="center" wrapText="1"/>
    </xf>
    <xf numFmtId="0" fontId="1" fillId="0" borderId="72" xfId="0" applyFont="1" applyBorder="1" applyAlignment="1">
      <alignment vertical="center" wrapText="1"/>
    </xf>
    <xf numFmtId="167" fontId="1" fillId="0" borderId="35" xfId="0" applyNumberFormat="1" applyFont="1" applyFill="1" applyBorder="1" applyAlignment="1">
      <alignment vertical="center"/>
    </xf>
    <xf numFmtId="167" fontId="1" fillId="0" borderId="31" xfId="0" applyNumberFormat="1" applyFont="1" applyFill="1" applyBorder="1" applyAlignment="1">
      <alignment vertical="center"/>
    </xf>
    <xf numFmtId="167" fontId="1" fillId="0" borderId="65" xfId="3" applyNumberFormat="1" applyFont="1" applyBorder="1" applyAlignment="1">
      <alignment vertical="center" wrapText="1"/>
    </xf>
    <xf numFmtId="167" fontId="1" fillId="0" borderId="57" xfId="3" applyNumberFormat="1" applyFont="1" applyBorder="1" applyAlignment="1">
      <alignment vertical="center" wrapText="1"/>
    </xf>
    <xf numFmtId="167" fontId="12" fillId="0" borderId="57" xfId="3" applyNumberFormat="1" applyFont="1" applyBorder="1" applyAlignment="1">
      <alignment vertical="center" wrapText="1"/>
    </xf>
    <xf numFmtId="167" fontId="1" fillId="0" borderId="66" xfId="3" applyNumberFormat="1" applyFont="1" applyBorder="1" applyAlignment="1">
      <alignment vertical="center" wrapText="1"/>
    </xf>
    <xf numFmtId="167" fontId="1" fillId="0" borderId="39" xfId="0" applyNumberFormat="1" applyFont="1" applyFill="1" applyBorder="1" applyAlignment="1">
      <alignment vertical="center"/>
    </xf>
    <xf numFmtId="167" fontId="1" fillId="0" borderId="31" xfId="0" applyNumberFormat="1" applyFont="1" applyFill="1" applyBorder="1" applyAlignment="1">
      <alignment horizontal="center" vertical="center"/>
    </xf>
    <xf numFmtId="167" fontId="1" fillId="0" borderId="65" xfId="0" applyNumberFormat="1" applyFont="1" applyFill="1" applyBorder="1" applyAlignment="1">
      <alignment vertical="center"/>
    </xf>
    <xf numFmtId="167" fontId="1" fillId="0" borderId="76" xfId="0" applyNumberFormat="1" applyFont="1" applyFill="1" applyBorder="1" applyAlignment="1">
      <alignment vertical="center"/>
    </xf>
    <xf numFmtId="167" fontId="1" fillId="0" borderId="35" xfId="0" applyNumberFormat="1" applyFont="1" applyFill="1" applyBorder="1" applyAlignment="1">
      <alignment horizontal="center" vertical="center"/>
    </xf>
    <xf numFmtId="167" fontId="1" fillId="0" borderId="66" xfId="0" applyNumberFormat="1" applyFont="1" applyFill="1" applyBorder="1" applyAlignment="1">
      <alignment vertical="center"/>
    </xf>
    <xf numFmtId="167" fontId="1" fillId="0" borderId="57" xfId="0" applyNumberFormat="1" applyFont="1" applyFill="1" applyBorder="1" applyAlignment="1">
      <alignment vertical="center"/>
    </xf>
    <xf numFmtId="167" fontId="1" fillId="0" borderId="57" xfId="0" applyNumberFormat="1" applyFont="1" applyBorder="1" applyAlignment="1" applyProtection="1">
      <alignment vertical="center" wrapText="1"/>
      <protection hidden="1"/>
    </xf>
    <xf numFmtId="167" fontId="1" fillId="0" borderId="57" xfId="0" applyNumberFormat="1" applyFont="1" applyFill="1" applyBorder="1" applyAlignment="1">
      <alignment vertical="center" wrapText="1"/>
    </xf>
    <xf numFmtId="167" fontId="1" fillId="0" borderId="66" xfId="0" applyNumberFormat="1" applyFont="1" applyFill="1" applyBorder="1" applyAlignment="1">
      <alignment vertical="center" wrapText="1"/>
    </xf>
    <xf numFmtId="167" fontId="1" fillId="0" borderId="65" xfId="3" applyNumberFormat="1" applyFont="1" applyFill="1" applyBorder="1" applyAlignment="1">
      <alignment vertical="center" wrapText="1"/>
    </xf>
    <xf numFmtId="167" fontId="1" fillId="0" borderId="57" xfId="3" applyNumberFormat="1" applyFont="1" applyFill="1" applyBorder="1" applyAlignment="1">
      <alignment vertical="center" wrapText="1"/>
    </xf>
    <xf numFmtId="167" fontId="1" fillId="0" borderId="66" xfId="3" applyNumberFormat="1" applyFont="1" applyFill="1" applyBorder="1" applyAlignment="1">
      <alignment vertical="center" wrapText="1"/>
    </xf>
    <xf numFmtId="0" fontId="2" fillId="0" borderId="77" xfId="0" applyFont="1" applyBorder="1" applyAlignment="1" applyProtection="1">
      <alignment horizontal="center" vertical="center" wrapText="1"/>
      <protection hidden="1"/>
    </xf>
    <xf numFmtId="167" fontId="2" fillId="9" borderId="1" xfId="0" applyNumberFormat="1" applyFont="1" applyFill="1" applyBorder="1" applyAlignment="1" applyProtection="1">
      <alignment vertical="center" wrapText="1"/>
      <protection hidden="1"/>
    </xf>
    <xf numFmtId="0" fontId="2" fillId="0" borderId="77" xfId="0"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167" fontId="1" fillId="0" borderId="57" xfId="0" applyNumberFormat="1" applyFont="1" applyBorder="1" applyAlignment="1" applyProtection="1">
      <alignment horizontal="center" vertical="center" wrapText="1"/>
      <protection locked="0"/>
    </xf>
    <xf numFmtId="167" fontId="1" fillId="0" borderId="66" xfId="0" applyNumberFormat="1" applyFont="1" applyBorder="1" applyAlignment="1" applyProtection="1">
      <alignment horizontal="center" vertical="center" wrapText="1"/>
      <protection locked="0"/>
    </xf>
    <xf numFmtId="0" fontId="1" fillId="0" borderId="78" xfId="0" applyFont="1" applyBorder="1" applyAlignment="1">
      <alignment vertical="center" wrapText="1"/>
    </xf>
    <xf numFmtId="0" fontId="2" fillId="0" borderId="60"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hidden="1"/>
    </xf>
    <xf numFmtId="0" fontId="1" fillId="0" borderId="77" xfId="0"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167" fontId="2" fillId="8" borderId="68" xfId="0" applyNumberFormat="1" applyFont="1" applyFill="1" applyBorder="1" applyAlignment="1" applyProtection="1">
      <alignment vertical="center" wrapText="1"/>
      <protection hidden="1"/>
    </xf>
    <xf numFmtId="0" fontId="1" fillId="0" borderId="37" xfId="0" applyFont="1" applyBorder="1" applyAlignment="1" applyProtection="1">
      <alignment vertical="center" wrapText="1"/>
      <protection hidden="1"/>
    </xf>
    <xf numFmtId="167" fontId="1" fillId="0" borderId="17" xfId="0" applyNumberFormat="1" applyFont="1" applyBorder="1" applyAlignment="1" applyProtection="1">
      <alignment horizontal="center" vertical="center" wrapText="1"/>
      <protection locked="0"/>
    </xf>
    <xf numFmtId="167" fontId="1" fillId="0" borderId="20" xfId="0" applyNumberFormat="1" applyFont="1" applyFill="1" applyBorder="1" applyAlignment="1">
      <alignment vertical="center"/>
    </xf>
    <xf numFmtId="167" fontId="1" fillId="0" borderId="22" xfId="0" applyNumberFormat="1" applyFont="1" applyFill="1" applyBorder="1" applyAlignment="1">
      <alignment vertical="center"/>
    </xf>
    <xf numFmtId="167" fontId="2" fillId="0" borderId="18" xfId="0" applyNumberFormat="1" applyFont="1" applyBorder="1" applyAlignment="1" applyProtection="1">
      <alignment vertical="center" wrapText="1"/>
      <protection locked="0"/>
    </xf>
    <xf numFmtId="0" fontId="2" fillId="0" borderId="33" xfId="0" applyFont="1" applyBorder="1" applyAlignment="1" applyProtection="1">
      <alignment vertical="center" wrapText="1"/>
      <protection hidden="1"/>
    </xf>
    <xf numFmtId="166" fontId="2" fillId="0" borderId="77" xfId="0" applyNumberFormat="1" applyFont="1" applyBorder="1" applyAlignment="1" applyProtection="1">
      <alignment vertical="center" wrapText="1"/>
      <protection hidden="1"/>
    </xf>
    <xf numFmtId="167" fontId="1" fillId="9" borderId="16" xfId="0" applyNumberFormat="1" applyFont="1" applyFill="1" applyBorder="1" applyAlignment="1" applyProtection="1">
      <alignment vertical="center" wrapText="1"/>
      <protection hidden="1"/>
    </xf>
    <xf numFmtId="167" fontId="1" fillId="0" borderId="1" xfId="0" applyNumberFormat="1" applyFont="1" applyFill="1" applyBorder="1" applyAlignment="1" applyProtection="1">
      <alignment vertical="center" wrapText="1"/>
      <protection hidden="1"/>
    </xf>
    <xf numFmtId="167" fontId="2" fillId="0" borderId="13" xfId="0" applyNumberFormat="1" applyFont="1" applyFill="1" applyBorder="1" applyAlignment="1" applyProtection="1">
      <alignment vertical="center" wrapText="1"/>
      <protection hidden="1"/>
    </xf>
    <xf numFmtId="167" fontId="0" fillId="0" borderId="0" xfId="0" applyNumberFormat="1" applyProtection="1">
      <protection hidden="1"/>
    </xf>
    <xf numFmtId="0" fontId="1" fillId="0" borderId="30" xfId="0" applyFont="1" applyBorder="1" applyAlignment="1" applyProtection="1">
      <alignment vertical="center" wrapText="1"/>
      <protection locked="0"/>
    </xf>
    <xf numFmtId="167" fontId="2" fillId="0" borderId="43" xfId="0" applyNumberFormat="1" applyFont="1" applyBorder="1" applyAlignment="1" applyProtection="1">
      <alignment vertical="center" wrapText="1"/>
      <protection hidden="1"/>
    </xf>
    <xf numFmtId="0" fontId="1" fillId="0" borderId="29" xfId="0" applyFont="1" applyBorder="1" applyAlignment="1" applyProtection="1">
      <alignment vertical="center" wrapText="1"/>
      <protection locked="0"/>
    </xf>
    <xf numFmtId="167" fontId="1" fillId="0" borderId="43" xfId="0" applyNumberFormat="1" applyFont="1" applyBorder="1" applyAlignment="1" applyProtection="1">
      <alignment vertical="center" wrapText="1"/>
      <protection hidden="1"/>
    </xf>
    <xf numFmtId="167" fontId="1" fillId="0" borderId="23" xfId="0" applyNumberFormat="1" applyFont="1" applyBorder="1" applyAlignment="1" applyProtection="1">
      <alignment vertical="center" wrapText="1"/>
      <protection locked="0"/>
    </xf>
    <xf numFmtId="167" fontId="1" fillId="0" borderId="12" xfId="0" applyNumberFormat="1" applyFont="1" applyBorder="1" applyAlignment="1" applyProtection="1">
      <alignment vertical="center" wrapText="1"/>
      <protection locked="0"/>
    </xf>
    <xf numFmtId="167" fontId="1" fillId="0" borderId="18" xfId="0" applyNumberFormat="1" applyFont="1" applyBorder="1" applyAlignment="1" applyProtection="1">
      <alignment vertical="center" wrapText="1"/>
      <protection locked="0"/>
    </xf>
    <xf numFmtId="0" fontId="2" fillId="10" borderId="13" xfId="0" applyFont="1" applyFill="1" applyBorder="1" applyAlignment="1" applyProtection="1">
      <alignment vertical="center" wrapText="1"/>
      <protection hidden="1"/>
    </xf>
    <xf numFmtId="0" fontId="7" fillId="0" borderId="0" xfId="0" applyFont="1" applyProtection="1">
      <protection hidden="1"/>
    </xf>
    <xf numFmtId="0" fontId="2" fillId="10" borderId="25" xfId="0" applyFont="1" applyFill="1" applyBorder="1" applyAlignment="1" applyProtection="1">
      <alignment vertical="center" wrapText="1"/>
      <protection hidden="1"/>
    </xf>
    <xf numFmtId="0" fontId="1" fillId="0" borderId="12" xfId="0" applyFont="1" applyBorder="1" applyAlignment="1" applyProtection="1">
      <alignment horizontal="left" vertical="top" wrapText="1"/>
      <protection hidden="1"/>
    </xf>
    <xf numFmtId="0" fontId="2" fillId="10" borderId="54" xfId="0" applyFont="1" applyFill="1" applyBorder="1" applyAlignment="1" applyProtection="1">
      <alignment vertical="center" wrapText="1"/>
      <protection hidden="1"/>
    </xf>
    <xf numFmtId="167" fontId="1" fillId="0" borderId="23" xfId="0" applyNumberFormat="1" applyFont="1" applyFill="1" applyBorder="1" applyAlignment="1" applyProtection="1">
      <alignment vertical="center" wrapText="1"/>
      <protection locked="0"/>
    </xf>
    <xf numFmtId="0" fontId="1" fillId="0" borderId="23" xfId="0" applyFont="1" applyBorder="1" applyAlignment="1" applyProtection="1">
      <alignment horizontal="center" vertical="center"/>
      <protection locked="0"/>
    </xf>
    <xf numFmtId="167" fontId="1" fillId="0" borderId="12" xfId="0" applyNumberFormat="1" applyFont="1" applyBorder="1" applyAlignment="1" applyProtection="1">
      <alignment vertical="center"/>
      <protection hidden="1"/>
    </xf>
    <xf numFmtId="167" fontId="1" fillId="0" borderId="12" xfId="0" applyNumberFormat="1" applyFont="1" applyFill="1" applyBorder="1" applyAlignment="1" applyProtection="1">
      <alignment vertical="center" wrapText="1"/>
      <protection locked="0"/>
    </xf>
    <xf numFmtId="0" fontId="1" fillId="0" borderId="12"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2" fillId="10" borderId="53" xfId="0" applyFont="1" applyFill="1" applyBorder="1" applyAlignment="1" applyProtection="1">
      <alignment vertical="center" wrapText="1"/>
      <protection hidden="1"/>
    </xf>
    <xf numFmtId="0" fontId="2" fillId="0" borderId="30" xfId="0" applyFont="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18" fillId="11" borderId="28" xfId="0" applyFont="1" applyFill="1" applyBorder="1" applyAlignment="1" applyProtection="1">
      <alignment horizontal="left" vertical="center" wrapText="1"/>
      <protection hidden="1"/>
    </xf>
    <xf numFmtId="0" fontId="2" fillId="10" borderId="53" xfId="0" applyFont="1" applyFill="1" applyBorder="1" applyAlignment="1" applyProtection="1">
      <alignment horizontal="left" vertical="center" wrapText="1"/>
      <protection hidden="1"/>
    </xf>
    <xf numFmtId="0" fontId="18" fillId="11" borderId="28" xfId="0" applyFont="1" applyFill="1" applyBorder="1" applyAlignment="1" applyProtection="1">
      <alignment horizontal="left" vertical="center" wrapText="1"/>
      <protection hidden="1"/>
    </xf>
    <xf numFmtId="0" fontId="18" fillId="11" borderId="29" xfId="0" applyFont="1" applyFill="1" applyBorder="1" applyAlignment="1" applyProtection="1">
      <alignment horizontal="left" vertical="center" wrapText="1"/>
      <protection hidden="1"/>
    </xf>
    <xf numFmtId="0" fontId="18" fillId="11" borderId="30" xfId="0" applyFont="1" applyFill="1" applyBorder="1" applyAlignment="1" applyProtection="1">
      <alignment horizontal="left" vertical="center" wrapText="1"/>
      <protection hidden="1"/>
    </xf>
    <xf numFmtId="0" fontId="2" fillId="0" borderId="53" xfId="0" applyFont="1" applyBorder="1" applyAlignment="1" applyProtection="1">
      <alignment horizontal="left" vertical="center" wrapText="1"/>
      <protection hidden="1"/>
    </xf>
    <xf numFmtId="0" fontId="2" fillId="0" borderId="52" xfId="0" applyFont="1" applyBorder="1" applyAlignment="1" applyProtection="1">
      <alignment horizontal="left" vertical="center" wrapText="1"/>
      <protection hidden="1"/>
    </xf>
    <xf numFmtId="0" fontId="2" fillId="0" borderId="47" xfId="0" applyFont="1" applyBorder="1" applyAlignment="1" applyProtection="1">
      <alignment horizontal="left" vertical="center" wrapText="1"/>
      <protection hidden="1"/>
    </xf>
    <xf numFmtId="167" fontId="1" fillId="0" borderId="65" xfId="3" applyNumberFormat="1" applyFont="1" applyBorder="1" applyAlignment="1">
      <alignment vertical="center" wrapText="1"/>
    </xf>
    <xf numFmtId="167" fontId="1" fillId="0" borderId="57" xfId="3" applyNumberFormat="1" applyFont="1" applyBorder="1" applyAlignment="1">
      <alignment vertical="center" wrapText="1"/>
    </xf>
    <xf numFmtId="0" fontId="1" fillId="6" borderId="18"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48" xfId="0" applyFont="1" applyBorder="1" applyAlignment="1" applyProtection="1">
      <alignment horizontal="left" vertical="center" wrapText="1"/>
      <protection hidden="1"/>
    </xf>
    <xf numFmtId="0" fontId="2" fillId="0" borderId="58" xfId="0" applyFont="1" applyBorder="1" applyAlignment="1" applyProtection="1">
      <alignment horizontal="left" vertical="center" wrapText="1"/>
      <protection hidden="1"/>
    </xf>
    <xf numFmtId="0" fontId="2" fillId="0" borderId="43" xfId="0" applyFont="1" applyBorder="1" applyAlignment="1" applyProtection="1">
      <alignment horizontal="left" vertical="center" wrapText="1"/>
      <protection hidden="1"/>
    </xf>
    <xf numFmtId="0" fontId="2" fillId="0" borderId="4" xfId="0" applyFont="1" applyBorder="1" applyAlignment="1" applyProtection="1">
      <alignment horizontal="right" vertical="center" wrapText="1"/>
      <protection hidden="1"/>
    </xf>
    <xf numFmtId="0" fontId="2" fillId="0" borderId="5" xfId="0" applyFont="1" applyBorder="1" applyAlignment="1" applyProtection="1">
      <alignment horizontal="right" vertical="center" wrapText="1"/>
      <protection hidden="1"/>
    </xf>
    <xf numFmtId="0" fontId="2" fillId="0" borderId="14" xfId="0" applyFont="1" applyBorder="1" applyAlignment="1" applyProtection="1">
      <alignment horizontal="left" vertical="center" wrapText="1"/>
      <protection hidden="1"/>
    </xf>
    <xf numFmtId="0" fontId="2" fillId="0" borderId="15" xfId="0" applyFont="1" applyBorder="1" applyAlignment="1" applyProtection="1">
      <alignment horizontal="left" vertical="center" wrapText="1"/>
      <protection hidden="1"/>
    </xf>
    <xf numFmtId="0" fontId="2" fillId="0" borderId="61" xfId="0" applyFont="1" applyBorder="1" applyAlignment="1" applyProtection="1">
      <alignment horizontal="left" vertical="center" wrapText="1"/>
      <protection hidden="1"/>
    </xf>
    <xf numFmtId="0" fontId="2" fillId="0" borderId="54" xfId="0" applyFont="1" applyBorder="1" applyAlignment="1" applyProtection="1">
      <alignment horizontal="left" vertical="center" wrapText="1"/>
      <protection hidden="1"/>
    </xf>
    <xf numFmtId="0" fontId="2" fillId="0" borderId="60" xfId="0" applyFont="1" applyBorder="1" applyAlignment="1" applyProtection="1">
      <alignment horizontal="left" vertical="center" wrapText="1"/>
      <protection hidden="1"/>
    </xf>
    <xf numFmtId="0" fontId="1" fillId="0" borderId="40"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hidden="1"/>
    </xf>
    <xf numFmtId="0" fontId="2" fillId="0" borderId="46" xfId="0" applyFont="1" applyBorder="1" applyAlignment="1" applyProtection="1">
      <alignment horizontal="left" vertical="center" wrapText="1"/>
      <protection hidden="1"/>
    </xf>
    <xf numFmtId="0" fontId="2" fillId="0" borderId="29" xfId="0" applyFont="1" applyBorder="1" applyAlignment="1" applyProtection="1">
      <alignment horizontal="left" vertical="center" wrapText="1"/>
      <protection hidden="1"/>
    </xf>
    <xf numFmtId="0" fontId="2" fillId="0" borderId="30" xfId="0" applyFont="1" applyBorder="1" applyAlignment="1" applyProtection="1">
      <alignment horizontal="left" vertical="center" wrapText="1"/>
      <protection hidden="1"/>
    </xf>
    <xf numFmtId="0" fontId="1" fillId="0" borderId="51" xfId="0" applyFont="1" applyBorder="1" applyAlignment="1" applyProtection="1">
      <alignment horizontal="center" vertical="center" wrapText="1"/>
      <protection hidden="1"/>
    </xf>
    <xf numFmtId="0" fontId="1" fillId="0" borderId="54" xfId="0" applyFont="1" applyBorder="1" applyAlignment="1" applyProtection="1">
      <alignment horizontal="center" vertical="center" wrapText="1"/>
      <protection hidden="1"/>
    </xf>
    <xf numFmtId="0" fontId="1" fillId="0" borderId="55" xfId="0" applyFont="1" applyBorder="1" applyAlignment="1" applyProtection="1">
      <alignment horizontal="center" vertical="center" wrapText="1"/>
      <protection hidden="1"/>
    </xf>
    <xf numFmtId="0" fontId="1" fillId="0" borderId="75" xfId="0" applyFont="1" applyBorder="1" applyAlignment="1" applyProtection="1">
      <alignment horizontal="left" vertical="center" wrapText="1"/>
      <protection hidden="1"/>
    </xf>
    <xf numFmtId="0" fontId="1" fillId="0" borderId="63" xfId="0" applyFont="1" applyBorder="1" applyAlignment="1" applyProtection="1">
      <alignment horizontal="left" vertical="center" wrapText="1"/>
      <protection hidden="1"/>
    </xf>
    <xf numFmtId="0" fontId="1" fillId="0" borderId="64" xfId="0" applyFont="1" applyBorder="1" applyAlignment="1" applyProtection="1">
      <alignment horizontal="left" vertical="center" wrapText="1"/>
      <protection hidden="1"/>
    </xf>
    <xf numFmtId="167" fontId="1" fillId="0" borderId="12" xfId="3" applyNumberFormat="1" applyFont="1" applyBorder="1" applyAlignment="1">
      <alignment horizontal="center" vertical="center" wrapText="1"/>
    </xf>
    <xf numFmtId="0" fontId="1" fillId="0" borderId="40" xfId="0" applyFont="1" applyBorder="1" applyAlignment="1" applyProtection="1">
      <alignment horizontal="center" vertical="center" wrapText="1"/>
      <protection hidden="1"/>
    </xf>
    <xf numFmtId="0" fontId="1" fillId="0" borderId="36" xfId="0" applyFont="1" applyBorder="1" applyAlignment="1" applyProtection="1">
      <alignment horizontal="center" vertical="center" wrapText="1"/>
      <protection hidden="1"/>
    </xf>
    <xf numFmtId="0" fontId="1" fillId="0" borderId="32" xfId="0" applyFont="1" applyBorder="1" applyAlignment="1" applyProtection="1">
      <alignment horizontal="center" vertical="center" wrapText="1"/>
      <protection hidden="1"/>
    </xf>
    <xf numFmtId="0" fontId="1" fillId="0" borderId="69" xfId="0" applyFont="1" applyBorder="1" applyAlignment="1" applyProtection="1">
      <alignment horizontal="center" vertical="center" wrapText="1"/>
      <protection hidden="1"/>
    </xf>
    <xf numFmtId="0" fontId="1" fillId="0" borderId="25" xfId="0" applyFont="1" applyBorder="1" applyAlignment="1" applyProtection="1">
      <alignment horizontal="center" vertical="center" wrapText="1"/>
      <protection hidden="1"/>
    </xf>
    <xf numFmtId="0" fontId="1" fillId="0" borderId="68" xfId="0" applyFont="1" applyBorder="1" applyAlignment="1" applyProtection="1">
      <alignment horizontal="center" vertical="center" wrapText="1"/>
      <protection hidden="1"/>
    </xf>
    <xf numFmtId="0" fontId="1" fillId="0" borderId="17"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wrapText="1"/>
      <protection hidden="1"/>
    </xf>
    <xf numFmtId="0" fontId="1" fillId="0" borderId="22"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hidden="1"/>
    </xf>
    <xf numFmtId="0" fontId="1" fillId="0" borderId="26" xfId="0" applyFont="1" applyBorder="1" applyAlignment="1" applyProtection="1">
      <alignment horizontal="center" vertical="center" wrapText="1"/>
      <protection hidden="1"/>
    </xf>
    <xf numFmtId="0" fontId="1" fillId="0" borderId="71" xfId="0" applyFont="1" applyBorder="1" applyAlignment="1" applyProtection="1">
      <alignment horizontal="center" vertical="center" wrapText="1"/>
      <protection hidden="1"/>
    </xf>
    <xf numFmtId="0" fontId="1" fillId="0" borderId="38"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48" xfId="0" applyFont="1" applyBorder="1" applyAlignment="1" applyProtection="1">
      <alignment horizontal="center" vertical="center" wrapText="1"/>
      <protection hidden="1"/>
    </xf>
    <xf numFmtId="0" fontId="2" fillId="0" borderId="42" xfId="0" applyFont="1" applyBorder="1" applyAlignment="1" applyProtection="1">
      <alignment horizontal="center" vertical="center" wrapText="1"/>
      <protection hidden="1"/>
    </xf>
    <xf numFmtId="0" fontId="2" fillId="0" borderId="41" xfId="0" applyFont="1" applyBorder="1" applyAlignment="1" applyProtection="1">
      <alignment horizontal="center" vertical="center" wrapText="1"/>
      <protection hidden="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0" xfId="0" applyFont="1" applyAlignment="1">
      <alignment horizontal="left"/>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1" fillId="0" borderId="25" xfId="0" applyFont="1" applyBorder="1" applyAlignment="1">
      <alignment horizontal="left" vertical="center"/>
    </xf>
    <xf numFmtId="0" fontId="2" fillId="0" borderId="26"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10" borderId="53" xfId="0" applyFont="1" applyFill="1" applyBorder="1" applyAlignment="1" applyProtection="1">
      <alignment horizontal="left" vertical="center" wrapText="1"/>
      <protection hidden="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2" xfId="0" applyFont="1" applyFill="1" applyBorder="1" applyAlignment="1">
      <alignment horizontal="left" vertical="center" wrapText="1"/>
    </xf>
    <xf numFmtId="0" fontId="1" fillId="0" borderId="4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5" xfId="0" applyFont="1" applyBorder="1" applyAlignment="1">
      <alignment horizontal="center" vertical="center" wrapText="1"/>
    </xf>
    <xf numFmtId="0" fontId="1" fillId="6" borderId="43"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6" borderId="45"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1" xfId="0" applyFont="1" applyBorder="1" applyAlignment="1" applyProtection="1">
      <alignment horizontal="left" vertical="center" wrapText="1"/>
      <protection hidden="1"/>
    </xf>
    <xf numFmtId="0" fontId="1" fillId="0" borderId="54" xfId="0" applyFont="1" applyBorder="1" applyAlignment="1" applyProtection="1">
      <alignment horizontal="left" vertical="center" wrapText="1"/>
      <protection hidden="1"/>
    </xf>
    <xf numFmtId="0" fontId="1" fillId="0" borderId="67"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0" fontId="1" fillId="0" borderId="53" xfId="0" applyFont="1" applyBorder="1" applyAlignment="1" applyProtection="1">
      <alignment horizontal="left" vertical="center" wrapText="1"/>
      <protection hidden="1"/>
    </xf>
    <xf numFmtId="0" fontId="1" fillId="0" borderId="56"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locked="0"/>
    </xf>
    <xf numFmtId="0" fontId="1" fillId="0" borderId="53"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2" fillId="0" borderId="46" xfId="0" applyFont="1" applyBorder="1" applyAlignment="1" applyProtection="1">
      <alignment horizontal="center" vertical="center" wrapText="1"/>
      <protection hidden="1"/>
    </xf>
    <xf numFmtId="9" fontId="1" fillId="0" borderId="50" xfId="2" applyFont="1" applyBorder="1" applyAlignment="1" applyProtection="1">
      <alignment horizontal="left" vertical="center" wrapText="1"/>
      <protection locked="0"/>
    </xf>
    <xf numFmtId="9" fontId="1" fillId="0" borderId="53" xfId="2" applyFont="1" applyBorder="1" applyAlignment="1" applyProtection="1">
      <alignment horizontal="left" vertical="center" wrapText="1"/>
      <protection locked="0"/>
    </xf>
    <xf numFmtId="9" fontId="1" fillId="0" borderId="56" xfId="2"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1" fillId="0" borderId="62" xfId="0" applyFont="1" applyBorder="1" applyAlignment="1" applyProtection="1">
      <alignment horizontal="left" vertical="center" wrapText="1"/>
      <protection locked="0"/>
    </xf>
    <xf numFmtId="0" fontId="2" fillId="10" borderId="48" xfId="0" applyFont="1" applyFill="1" applyBorder="1" applyAlignment="1" applyProtection="1">
      <alignment horizontal="left" vertical="center" wrapText="1"/>
      <protection hidden="1"/>
    </xf>
    <xf numFmtId="0" fontId="2" fillId="10" borderId="43" xfId="0" applyFont="1" applyFill="1" applyBorder="1" applyAlignment="1" applyProtection="1">
      <alignment horizontal="left" vertical="center" wrapText="1"/>
      <protection hidden="1"/>
    </xf>
    <xf numFmtId="0" fontId="2" fillId="10" borderId="47" xfId="0" applyFont="1" applyFill="1" applyBorder="1" applyAlignment="1" applyProtection="1">
      <alignment horizontal="left" vertical="center" wrapText="1"/>
      <protection hidden="1"/>
    </xf>
    <xf numFmtId="0" fontId="1" fillId="0" borderId="48" xfId="0" applyFont="1" applyBorder="1" applyAlignment="1" applyProtection="1">
      <alignment horizontal="left" vertical="center" wrapText="1"/>
      <protection hidden="1"/>
    </xf>
    <xf numFmtId="0" fontId="1" fillId="0" borderId="43" xfId="0" applyFont="1" applyBorder="1" applyAlignment="1" applyProtection="1">
      <alignment horizontal="left" vertical="center" wrapText="1"/>
      <protection hidden="1"/>
    </xf>
    <xf numFmtId="0" fontId="1" fillId="0" borderId="43" xfId="0" applyFont="1" applyBorder="1" applyAlignment="1" applyProtection="1">
      <alignment horizontal="left" vertical="center" wrapText="1"/>
      <protection locked="0"/>
    </xf>
    <xf numFmtId="9" fontId="1" fillId="0" borderId="43" xfId="2"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0" borderId="43" xfId="0" applyFont="1" applyBorder="1" applyAlignment="1" applyProtection="1">
      <alignment horizontal="center" vertical="center" wrapText="1"/>
      <protection locked="0"/>
    </xf>
    <xf numFmtId="0" fontId="1" fillId="0" borderId="53"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167" fontId="1" fillId="0" borderId="43" xfId="0" applyNumberFormat="1" applyFont="1" applyBorder="1" applyAlignment="1" applyProtection="1">
      <alignment horizontal="center" vertical="center" wrapText="1"/>
      <protection locked="0"/>
    </xf>
    <xf numFmtId="167" fontId="1" fillId="0" borderId="53" xfId="0" applyNumberFormat="1" applyFont="1" applyBorder="1" applyAlignment="1" applyProtection="1">
      <alignment horizontal="center" vertical="center" wrapText="1"/>
      <protection locked="0"/>
    </xf>
    <xf numFmtId="167" fontId="1" fillId="0" borderId="56" xfId="0" applyNumberFormat="1" applyFont="1" applyBorder="1" applyAlignment="1" applyProtection="1">
      <alignment horizontal="center" vertical="center" wrapText="1"/>
      <protection locked="0"/>
    </xf>
    <xf numFmtId="9" fontId="1" fillId="0" borderId="43" xfId="2" applyFont="1" applyBorder="1" applyAlignment="1" applyProtection="1">
      <alignment horizontal="center" vertical="center" wrapText="1"/>
      <protection locked="0"/>
    </xf>
    <xf numFmtId="9" fontId="1" fillId="0" borderId="53" xfId="2" applyFont="1" applyBorder="1" applyAlignment="1" applyProtection="1">
      <alignment horizontal="center" vertical="center" wrapText="1"/>
      <protection locked="0"/>
    </xf>
    <xf numFmtId="9" fontId="1" fillId="0" borderId="56" xfId="2" applyFont="1" applyBorder="1" applyAlignment="1" applyProtection="1">
      <alignment horizontal="center" vertical="center" wrapText="1"/>
      <protection locked="0"/>
    </xf>
    <xf numFmtId="167" fontId="1" fillId="0" borderId="43" xfId="0" applyNumberFormat="1" applyFont="1" applyBorder="1" applyAlignment="1" applyProtection="1">
      <alignment horizontal="center" vertical="center" wrapText="1"/>
      <protection hidden="1"/>
    </xf>
    <xf numFmtId="167" fontId="1" fillId="0" borderId="53" xfId="0" applyNumberFormat="1" applyFont="1" applyBorder="1" applyAlignment="1" applyProtection="1">
      <alignment horizontal="center" vertical="center" wrapText="1"/>
      <protection hidden="1"/>
    </xf>
    <xf numFmtId="167" fontId="1" fillId="0" borderId="56" xfId="0" applyNumberFormat="1" applyFont="1" applyBorder="1" applyAlignment="1" applyProtection="1">
      <alignment horizontal="center" vertical="center" wrapText="1"/>
      <protection hidden="1"/>
    </xf>
    <xf numFmtId="0" fontId="1" fillId="0" borderId="47"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50" xfId="0" applyFont="1" applyBorder="1" applyAlignment="1" applyProtection="1">
      <alignment horizontal="center" vertical="center" wrapText="1"/>
      <protection locked="0"/>
    </xf>
    <xf numFmtId="167" fontId="1" fillId="0" borderId="50" xfId="0" applyNumberFormat="1" applyFont="1" applyBorder="1" applyAlignment="1" applyProtection="1">
      <alignment horizontal="center" vertical="center" wrapText="1"/>
      <protection locked="0"/>
    </xf>
    <xf numFmtId="167" fontId="1" fillId="0" borderId="50" xfId="0" applyNumberFormat="1" applyFont="1" applyBorder="1" applyAlignment="1" applyProtection="1">
      <alignment horizontal="center" vertical="center" wrapText="1"/>
      <protection hidden="1"/>
    </xf>
    <xf numFmtId="0" fontId="2" fillId="0" borderId="49"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2" fillId="0" borderId="62" xfId="0" applyFont="1" applyBorder="1" applyAlignment="1" applyProtection="1">
      <alignment horizontal="left" vertical="center" wrapText="1"/>
      <protection locked="0"/>
    </xf>
    <xf numFmtId="0" fontId="2" fillId="10" borderId="54" xfId="0" applyFont="1" applyFill="1" applyBorder="1" applyAlignment="1" applyProtection="1">
      <alignment horizontal="left" vertical="center" wrapText="1"/>
      <protection hidden="1"/>
    </xf>
    <xf numFmtId="0" fontId="2" fillId="10" borderId="52" xfId="0" applyFont="1" applyFill="1" applyBorder="1" applyAlignment="1" applyProtection="1">
      <alignment horizontal="left" vertical="center" wrapText="1"/>
      <protection hidden="1"/>
    </xf>
    <xf numFmtId="0" fontId="1" fillId="0" borderId="18"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167" fontId="1" fillId="0" borderId="18" xfId="0" applyNumberFormat="1" applyFont="1" applyBorder="1" applyAlignment="1" applyProtection="1">
      <alignment horizontal="center" vertical="center" wrapText="1"/>
      <protection locked="0"/>
    </xf>
    <xf numFmtId="167" fontId="1" fillId="0" borderId="12" xfId="0" applyNumberFormat="1" applyFont="1" applyBorder="1" applyAlignment="1" applyProtection="1">
      <alignment horizontal="center" vertical="center" wrapText="1"/>
      <protection locked="0"/>
    </xf>
    <xf numFmtId="9" fontId="1" fillId="0" borderId="18" xfId="2" applyFont="1" applyBorder="1" applyAlignment="1" applyProtection="1">
      <alignment horizontal="center" vertical="center" wrapText="1"/>
      <protection locked="0"/>
    </xf>
    <xf numFmtId="9" fontId="1" fillId="0" borderId="12" xfId="2" applyFont="1" applyBorder="1" applyAlignment="1" applyProtection="1">
      <alignment horizontal="center" vertical="center" wrapText="1"/>
      <protection locked="0"/>
    </xf>
    <xf numFmtId="167" fontId="1" fillId="0" borderId="18" xfId="0" applyNumberFormat="1" applyFont="1" applyBorder="1" applyAlignment="1" applyProtection="1">
      <alignment horizontal="center" vertical="center" wrapText="1"/>
      <protection hidden="1"/>
    </xf>
    <xf numFmtId="167" fontId="1" fillId="0" borderId="12" xfId="0" applyNumberFormat="1" applyFont="1" applyBorder="1" applyAlignment="1" applyProtection="1">
      <alignment horizontal="center" vertical="center" wrapText="1"/>
      <protection hidden="1"/>
    </xf>
    <xf numFmtId="0" fontId="1" fillId="0" borderId="19"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hidden="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paredes\OneDrive%20-%20United%20Nations%20Development%20Programme\M&amp;E\MATRICES\PROYECTO%20TRINACIONAL\Guatemala\Matriz%20ProyTrinacional%20G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rlos.paredes\OneDrive%20-%20United%20Nations%20Development%20Programme\INFORMES%202018\ANUALES\Borradores\Trinacional\Honduras\Matriz%20ProyTrinacional%20HN-PBF%20Noviembre%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SULTADOS "/>
      <sheetName val="2. PRODUCTOS"/>
      <sheetName val="TablasFormulas "/>
      <sheetName val="3. FICHAS DE INDICADORES"/>
      <sheetName val="4. REPORTE EJECUCIÓN FINANCIERA"/>
      <sheetName val="5. R1 INFORME AVANCES"/>
      <sheetName val="5. R2 INFORME AVANCES"/>
      <sheetName val="5. R3 INFORME AVANCES"/>
    </sheetNames>
    <sheetDataSet>
      <sheetData sheetId="0"/>
      <sheetData sheetId="1">
        <row r="176">
          <cell r="AX176">
            <v>0</v>
          </cell>
        </row>
        <row r="177">
          <cell r="AX177"/>
        </row>
        <row r="178">
          <cell r="AX178"/>
        </row>
        <row r="179">
          <cell r="AX179"/>
        </row>
        <row r="181">
          <cell r="AX181"/>
        </row>
        <row r="182">
          <cell r="AX182"/>
        </row>
        <row r="183">
          <cell r="AX183"/>
        </row>
        <row r="184">
          <cell r="AX184"/>
        </row>
        <row r="200">
          <cell r="AX200">
            <v>0</v>
          </cell>
        </row>
        <row r="209">
          <cell r="AX209">
            <v>0</v>
          </cell>
        </row>
        <row r="211">
          <cell r="AX211"/>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SULTADOS "/>
      <sheetName val="2. PRODUCTOS"/>
      <sheetName val="TablasFormulas "/>
      <sheetName val="3. FICHAS DE INDICADORES"/>
      <sheetName val="4. REPORTE EJECUCIÓN FINANC"/>
      <sheetName val="5. R1 INFORME AVANCES"/>
      <sheetName val="5. R2 INFORME AVANCES"/>
      <sheetName val="5. R3 INFORME AVANCES"/>
    </sheetNames>
    <sheetDataSet>
      <sheetData sheetId="0"/>
      <sheetData sheetId="1">
        <row r="9">
          <cell r="AX9">
            <v>0</v>
          </cell>
        </row>
        <row r="10">
          <cell r="L10">
            <v>1875</v>
          </cell>
          <cell r="AX10"/>
        </row>
        <row r="11">
          <cell r="AX11"/>
        </row>
        <row r="12">
          <cell r="L12">
            <v>57500</v>
          </cell>
          <cell r="AX12"/>
        </row>
        <row r="14">
          <cell r="L14">
            <v>19000</v>
          </cell>
        </row>
        <row r="15">
          <cell r="L15">
            <v>89800</v>
          </cell>
          <cell r="AX15"/>
        </row>
        <row r="16">
          <cell r="L16">
            <v>3750</v>
          </cell>
          <cell r="AX16"/>
        </row>
        <row r="17">
          <cell r="L17">
            <v>654</v>
          </cell>
          <cell r="AX17"/>
        </row>
        <row r="18">
          <cell r="L18">
            <v>107000</v>
          </cell>
        </row>
        <row r="19">
          <cell r="L19">
            <v>24471</v>
          </cell>
        </row>
        <row r="24">
          <cell r="L24">
            <v>12000</v>
          </cell>
        </row>
        <row r="25">
          <cell r="L25">
            <v>3000</v>
          </cell>
        </row>
        <row r="26">
          <cell r="L26">
            <v>1500</v>
          </cell>
        </row>
        <row r="27">
          <cell r="L27">
            <v>1000</v>
          </cell>
          <cell r="AX27"/>
        </row>
        <row r="28">
          <cell r="L28">
            <v>9000</v>
          </cell>
          <cell r="AX28"/>
        </row>
        <row r="29">
          <cell r="L29">
            <v>18000</v>
          </cell>
          <cell r="AX29"/>
        </row>
        <row r="30">
          <cell r="L30">
            <v>3000</v>
          </cell>
          <cell r="AX30"/>
        </row>
        <row r="31">
          <cell r="L31">
            <v>1000</v>
          </cell>
          <cell r="AX31"/>
        </row>
        <row r="32">
          <cell r="L32">
            <v>1200</v>
          </cell>
          <cell r="AX32"/>
        </row>
        <row r="33">
          <cell r="L33">
            <v>30000</v>
          </cell>
          <cell r="AX33"/>
        </row>
        <row r="34">
          <cell r="L34">
            <v>10944</v>
          </cell>
          <cell r="AX34"/>
        </row>
        <row r="35">
          <cell r="L35">
            <v>3000</v>
          </cell>
          <cell r="AX35"/>
        </row>
        <row r="36">
          <cell r="L36">
            <v>2500</v>
          </cell>
          <cell r="AX36"/>
        </row>
        <row r="37">
          <cell r="L37">
            <v>1300</v>
          </cell>
          <cell r="AX37"/>
        </row>
        <row r="38">
          <cell r="L38">
            <v>10000</v>
          </cell>
          <cell r="AX38"/>
        </row>
        <row r="39">
          <cell r="AX39"/>
        </row>
        <row r="40">
          <cell r="L40">
            <v>10000</v>
          </cell>
          <cell r="AX40"/>
        </row>
        <row r="41">
          <cell r="L41">
            <v>3000</v>
          </cell>
          <cell r="AX41"/>
        </row>
        <row r="42">
          <cell r="L42">
            <v>1000</v>
          </cell>
          <cell r="AX42"/>
        </row>
        <row r="43">
          <cell r="L43">
            <v>500</v>
          </cell>
          <cell r="AX43"/>
        </row>
        <row r="44">
          <cell r="L44">
            <v>8000</v>
          </cell>
          <cell r="AX44"/>
        </row>
        <row r="45">
          <cell r="L45">
            <v>3000</v>
          </cell>
          <cell r="AX45"/>
        </row>
        <row r="46">
          <cell r="L46">
            <v>2000</v>
          </cell>
          <cell r="AX46"/>
        </row>
        <row r="47">
          <cell r="L47">
            <v>2000</v>
          </cell>
          <cell r="AX47"/>
        </row>
        <row r="48">
          <cell r="L48">
            <v>15000</v>
          </cell>
          <cell r="AX48"/>
        </row>
        <row r="49">
          <cell r="L49">
            <v>7500</v>
          </cell>
          <cell r="AX49"/>
        </row>
        <row r="50">
          <cell r="L50">
            <v>8000</v>
          </cell>
          <cell r="AX50"/>
        </row>
        <row r="51">
          <cell r="L51">
            <v>9000</v>
          </cell>
          <cell r="AX51"/>
        </row>
        <row r="52">
          <cell r="L52">
            <v>5000</v>
          </cell>
          <cell r="AX52"/>
        </row>
        <row r="53">
          <cell r="L53">
            <v>3000</v>
          </cell>
          <cell r="AX53"/>
        </row>
        <row r="54">
          <cell r="L54">
            <v>9000</v>
          </cell>
        </row>
        <row r="56">
          <cell r="L56">
            <v>11196</v>
          </cell>
        </row>
        <row r="66">
          <cell r="L66">
            <v>10000</v>
          </cell>
          <cell r="AX66">
            <v>0</v>
          </cell>
        </row>
        <row r="68">
          <cell r="L68">
            <v>10000</v>
          </cell>
          <cell r="AX68"/>
        </row>
        <row r="69">
          <cell r="L69">
            <v>9000</v>
          </cell>
          <cell r="AX69"/>
        </row>
        <row r="71">
          <cell r="L71">
            <v>17958.07</v>
          </cell>
          <cell r="AX71"/>
        </row>
        <row r="74">
          <cell r="L74">
            <v>20000</v>
          </cell>
          <cell r="AX74"/>
        </row>
        <row r="75">
          <cell r="L75">
            <v>20000</v>
          </cell>
          <cell r="AX75"/>
        </row>
        <row r="76">
          <cell r="L76">
            <v>27950</v>
          </cell>
        </row>
        <row r="77">
          <cell r="L77">
            <v>24421.25</v>
          </cell>
        </row>
        <row r="78">
          <cell r="L78">
            <v>46800</v>
          </cell>
        </row>
        <row r="79">
          <cell r="L79">
            <v>3825</v>
          </cell>
          <cell r="AX79"/>
        </row>
        <row r="80">
          <cell r="L80">
            <v>20000</v>
          </cell>
        </row>
        <row r="81">
          <cell r="L81">
            <v>6300</v>
          </cell>
        </row>
        <row r="82">
          <cell r="L82">
            <v>11375</v>
          </cell>
        </row>
        <row r="87">
          <cell r="L87">
            <v>10000</v>
          </cell>
          <cell r="AX87">
            <v>0</v>
          </cell>
        </row>
        <row r="90">
          <cell r="L90">
            <v>5000</v>
          </cell>
          <cell r="AX90"/>
        </row>
        <row r="91">
          <cell r="L91">
            <v>6005.77</v>
          </cell>
        </row>
        <row r="92">
          <cell r="L92">
            <v>10000</v>
          </cell>
          <cell r="AX92"/>
        </row>
        <row r="93">
          <cell r="L93">
            <v>7600</v>
          </cell>
        </row>
        <row r="94">
          <cell r="L94">
            <v>6000</v>
          </cell>
          <cell r="AX94"/>
        </row>
        <row r="95">
          <cell r="L95">
            <v>7214.91</v>
          </cell>
          <cell r="AX95"/>
        </row>
        <row r="96">
          <cell r="L96">
            <v>46800</v>
          </cell>
        </row>
        <row r="97">
          <cell r="L97">
            <v>3825</v>
          </cell>
          <cell r="AX97"/>
        </row>
        <row r="98">
          <cell r="L98">
            <v>6300</v>
          </cell>
        </row>
        <row r="99">
          <cell r="L99">
            <v>11375</v>
          </cell>
        </row>
        <row r="108">
          <cell r="L108">
            <v>12000</v>
          </cell>
          <cell r="AX108">
            <v>0</v>
          </cell>
        </row>
        <row r="109">
          <cell r="L109">
            <v>6000</v>
          </cell>
        </row>
        <row r="110">
          <cell r="L110">
            <v>1000</v>
          </cell>
        </row>
        <row r="111">
          <cell r="L111">
            <v>2000</v>
          </cell>
          <cell r="AX111"/>
        </row>
        <row r="112">
          <cell r="L112">
            <v>15000</v>
          </cell>
          <cell r="AX112"/>
        </row>
        <row r="113">
          <cell r="L113">
            <v>24000</v>
          </cell>
          <cell r="AX113"/>
        </row>
        <row r="114">
          <cell r="L114">
            <v>6000</v>
          </cell>
          <cell r="AX114"/>
        </row>
        <row r="115">
          <cell r="L115">
            <v>3000</v>
          </cell>
          <cell r="AX115"/>
        </row>
        <row r="116">
          <cell r="L116">
            <v>2000</v>
          </cell>
          <cell r="AX116"/>
        </row>
        <row r="117">
          <cell r="L117">
            <v>25000</v>
          </cell>
          <cell r="AX117"/>
        </row>
        <row r="118">
          <cell r="L118">
            <v>4000</v>
          </cell>
          <cell r="AX118"/>
        </row>
        <row r="119">
          <cell r="L119">
            <v>7000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9DD19-E203-4839-B440-7C4B9D361153}">
  <sheetPr>
    <pageSetUpPr fitToPage="1"/>
  </sheetPr>
  <dimension ref="A1:G128"/>
  <sheetViews>
    <sheetView topLeftCell="A76" zoomScale="85" zoomScaleNormal="85" workbookViewId="0">
      <selection activeCell="A79" sqref="A79:G79"/>
    </sheetView>
  </sheetViews>
  <sheetFormatPr defaultColWidth="9.140625" defaultRowHeight="15" x14ac:dyDescent="0.25"/>
  <cols>
    <col min="1" max="1" width="23" style="232" customWidth="1"/>
    <col min="2" max="2" width="68.7109375" style="232" customWidth="1"/>
    <col min="3" max="3" width="17.7109375" style="232" customWidth="1"/>
    <col min="4" max="4" width="32.5703125" style="232" customWidth="1"/>
    <col min="5" max="5" width="36.7109375" style="236" customWidth="1"/>
    <col min="6" max="6" width="39.85546875" style="232" customWidth="1"/>
    <col min="7" max="7" width="39.28515625" style="232" customWidth="1"/>
    <col min="8" max="16384" width="9.140625" style="232"/>
  </cols>
  <sheetData>
    <row r="1" spans="1:7" ht="20.25" x14ac:dyDescent="0.3">
      <c r="A1" s="234" t="s">
        <v>160</v>
      </c>
      <c r="B1" s="235"/>
      <c r="C1" s="235"/>
      <c r="D1" s="235"/>
    </row>
    <row r="2" spans="1:7" ht="15.75" x14ac:dyDescent="0.25">
      <c r="A2" s="237"/>
      <c r="B2" s="237"/>
      <c r="C2" s="237"/>
      <c r="D2" s="237"/>
    </row>
    <row r="3" spans="1:7" ht="15.75" x14ac:dyDescent="0.25">
      <c r="A3" s="237" t="s">
        <v>49</v>
      </c>
      <c r="B3" s="237"/>
      <c r="C3" s="237"/>
      <c r="D3" s="237"/>
    </row>
    <row r="5" spans="1:7" ht="15.75" x14ac:dyDescent="0.25">
      <c r="A5" s="237" t="s">
        <v>54</v>
      </c>
    </row>
    <row r="6" spans="1:7" ht="15.75" thickBot="1" x14ac:dyDescent="0.3"/>
    <row r="7" spans="1:7" ht="69.75" customHeight="1" thickBot="1" x14ac:dyDescent="0.3">
      <c r="A7" s="122" t="s">
        <v>0</v>
      </c>
      <c r="B7" s="121" t="s">
        <v>1</v>
      </c>
      <c r="C7" s="169" t="s">
        <v>217</v>
      </c>
      <c r="D7" s="169" t="s">
        <v>55</v>
      </c>
      <c r="E7" s="169" t="s">
        <v>31</v>
      </c>
      <c r="F7" s="121" t="s">
        <v>56</v>
      </c>
      <c r="G7" s="154" t="s">
        <v>32</v>
      </c>
    </row>
    <row r="8" spans="1:7" ht="46.5" customHeight="1" thickBot="1" x14ac:dyDescent="0.3">
      <c r="A8" s="317" t="s">
        <v>159</v>
      </c>
      <c r="B8" s="318"/>
      <c r="C8" s="318"/>
      <c r="D8" s="318"/>
      <c r="E8" s="318"/>
      <c r="F8" s="318"/>
      <c r="G8" s="319"/>
    </row>
    <row r="9" spans="1:7" ht="60.75" customHeight="1" thickBot="1" x14ac:dyDescent="0.3">
      <c r="A9" s="153" t="s">
        <v>158</v>
      </c>
      <c r="B9" s="320" t="s">
        <v>161</v>
      </c>
      <c r="C9" s="320"/>
      <c r="D9" s="320"/>
      <c r="E9" s="320"/>
      <c r="F9" s="320"/>
      <c r="G9" s="320"/>
    </row>
    <row r="10" spans="1:7" ht="62.25" customHeight="1" x14ac:dyDescent="0.25">
      <c r="A10" s="36" t="s">
        <v>3</v>
      </c>
      <c r="B10" s="250" t="s">
        <v>162</v>
      </c>
      <c r="C10" s="327" t="s">
        <v>157</v>
      </c>
      <c r="D10" s="267">
        <v>0</v>
      </c>
      <c r="E10" s="159" t="s">
        <v>163</v>
      </c>
      <c r="F10" s="199">
        <v>0</v>
      </c>
      <c r="G10" s="152"/>
    </row>
    <row r="11" spans="1:7" ht="67.5" customHeight="1" x14ac:dyDescent="0.25">
      <c r="A11" s="42" t="s">
        <v>4</v>
      </c>
      <c r="B11" s="245" t="s">
        <v>164</v>
      </c>
      <c r="C11" s="328"/>
      <c r="D11" s="268">
        <v>0</v>
      </c>
      <c r="E11" s="188" t="s">
        <v>163</v>
      </c>
      <c r="F11" s="192">
        <v>0</v>
      </c>
      <c r="G11" s="151"/>
    </row>
    <row r="12" spans="1:7" ht="62.25" customHeight="1" x14ac:dyDescent="0.25">
      <c r="A12" s="42" t="s">
        <v>5</v>
      </c>
      <c r="B12" s="245" t="s">
        <v>165</v>
      </c>
      <c r="C12" s="328"/>
      <c r="D12" s="268">
        <v>0</v>
      </c>
      <c r="E12" s="158" t="s">
        <v>163</v>
      </c>
      <c r="F12" s="192">
        <v>0</v>
      </c>
      <c r="G12" s="151"/>
    </row>
    <row r="13" spans="1:7" ht="62.25" customHeight="1" thickBot="1" x14ac:dyDescent="0.3">
      <c r="A13" s="44" t="s">
        <v>106</v>
      </c>
      <c r="B13" s="246" t="s">
        <v>166</v>
      </c>
      <c r="C13" s="329"/>
      <c r="D13" s="269">
        <v>0</v>
      </c>
      <c r="E13" s="160" t="s">
        <v>163</v>
      </c>
      <c r="F13" s="166">
        <v>0</v>
      </c>
      <c r="G13" s="161"/>
    </row>
    <row r="14" spans="1:7" ht="45.75" customHeight="1" thickBot="1" x14ac:dyDescent="0.3">
      <c r="A14" s="162" t="s">
        <v>6</v>
      </c>
      <c r="B14" s="320" t="s">
        <v>167</v>
      </c>
      <c r="C14" s="320"/>
      <c r="D14" s="320"/>
      <c r="E14" s="320"/>
      <c r="F14" s="320"/>
      <c r="G14" s="321"/>
    </row>
    <row r="15" spans="1:7" ht="54.75" customHeight="1" x14ac:dyDescent="0.25">
      <c r="A15" s="36" t="s">
        <v>7</v>
      </c>
      <c r="B15" s="250" t="s">
        <v>162</v>
      </c>
      <c r="C15" s="327" t="s">
        <v>157</v>
      </c>
      <c r="D15" s="323">
        <v>4000</v>
      </c>
      <c r="E15" s="325" t="s">
        <v>163</v>
      </c>
      <c r="F15" s="199">
        <v>0</v>
      </c>
      <c r="G15" s="164"/>
    </row>
    <row r="16" spans="1:7" ht="54.75" customHeight="1" x14ac:dyDescent="0.25">
      <c r="A16" s="42" t="s">
        <v>168</v>
      </c>
      <c r="B16" s="245" t="s">
        <v>169</v>
      </c>
      <c r="C16" s="328"/>
      <c r="D16" s="324"/>
      <c r="E16" s="326"/>
      <c r="F16" s="192">
        <v>0</v>
      </c>
      <c r="G16" s="164"/>
    </row>
    <row r="17" spans="1:7" ht="54.75" customHeight="1" x14ac:dyDescent="0.25">
      <c r="A17" s="42" t="s">
        <v>170</v>
      </c>
      <c r="B17" s="245" t="s">
        <v>171</v>
      </c>
      <c r="C17" s="328"/>
      <c r="D17" s="254">
        <v>6000</v>
      </c>
      <c r="E17" s="188" t="s">
        <v>163</v>
      </c>
      <c r="F17" s="192">
        <v>0</v>
      </c>
      <c r="G17" s="164"/>
    </row>
    <row r="18" spans="1:7" ht="54.75" customHeight="1" x14ac:dyDescent="0.25">
      <c r="A18" s="42" t="s">
        <v>172</v>
      </c>
      <c r="B18" s="245" t="s">
        <v>173</v>
      </c>
      <c r="C18" s="328"/>
      <c r="D18" s="254">
        <v>48000</v>
      </c>
      <c r="E18" s="188" t="s">
        <v>163</v>
      </c>
      <c r="F18" s="192">
        <v>0</v>
      </c>
      <c r="G18" s="164"/>
    </row>
    <row r="19" spans="1:7" ht="54.75" customHeight="1" x14ac:dyDescent="0.25">
      <c r="A19" s="42" t="s">
        <v>174</v>
      </c>
      <c r="B19" s="245" t="s">
        <v>175</v>
      </c>
      <c r="C19" s="328"/>
      <c r="D19" s="254">
        <v>6150</v>
      </c>
      <c r="E19" s="188" t="s">
        <v>163</v>
      </c>
      <c r="F19" s="192">
        <v>0</v>
      </c>
      <c r="G19" s="164"/>
    </row>
    <row r="20" spans="1:7" ht="16.5" thickBot="1" x14ac:dyDescent="0.3">
      <c r="A20" s="44" t="s">
        <v>176</v>
      </c>
      <c r="B20" s="246" t="s">
        <v>177</v>
      </c>
      <c r="C20" s="329"/>
      <c r="D20" s="256">
        <v>1500</v>
      </c>
      <c r="E20" s="165" t="s">
        <v>163</v>
      </c>
      <c r="F20" s="166">
        <v>0</v>
      </c>
      <c r="G20" s="115"/>
    </row>
    <row r="21" spans="1:7" ht="48.75" customHeight="1" thickBot="1" x14ac:dyDescent="0.3">
      <c r="A21" s="162" t="s">
        <v>8</v>
      </c>
      <c r="B21" s="320" t="s">
        <v>178</v>
      </c>
      <c r="C21" s="320"/>
      <c r="D21" s="320"/>
      <c r="E21" s="320"/>
      <c r="F21" s="320"/>
      <c r="G21" s="322"/>
    </row>
    <row r="22" spans="1:7" ht="55.5" customHeight="1" x14ac:dyDescent="0.25">
      <c r="A22" s="36" t="s">
        <v>179</v>
      </c>
      <c r="B22" s="250" t="s">
        <v>180</v>
      </c>
      <c r="C22" s="327" t="s">
        <v>157</v>
      </c>
      <c r="D22" s="253">
        <v>0</v>
      </c>
      <c r="E22" s="187" t="s">
        <v>163</v>
      </c>
      <c r="F22" s="199">
        <v>0</v>
      </c>
      <c r="G22" s="144"/>
    </row>
    <row r="23" spans="1:7" ht="40.5" customHeight="1" x14ac:dyDescent="0.25">
      <c r="A23" s="42" t="s">
        <v>181</v>
      </c>
      <c r="B23" s="245" t="s">
        <v>182</v>
      </c>
      <c r="C23" s="328"/>
      <c r="D23" s="254">
        <v>0</v>
      </c>
      <c r="E23" s="188" t="s">
        <v>163</v>
      </c>
      <c r="F23" s="192">
        <v>0</v>
      </c>
      <c r="G23" s="134"/>
    </row>
    <row r="24" spans="1:7" ht="40.5" customHeight="1" x14ac:dyDescent="0.25">
      <c r="A24" s="42" t="s">
        <v>183</v>
      </c>
      <c r="B24" s="245" t="s">
        <v>184</v>
      </c>
      <c r="C24" s="328"/>
      <c r="D24" s="254">
        <v>0</v>
      </c>
      <c r="E24" s="158">
        <v>0.5</v>
      </c>
      <c r="F24" s="192">
        <v>0</v>
      </c>
      <c r="G24" s="134"/>
    </row>
    <row r="25" spans="1:7" ht="40.5" customHeight="1" x14ac:dyDescent="0.25">
      <c r="A25" s="42" t="s">
        <v>185</v>
      </c>
      <c r="B25" s="245" t="s">
        <v>186</v>
      </c>
      <c r="C25" s="328"/>
      <c r="D25" s="254">
        <v>0</v>
      </c>
      <c r="E25" s="188" t="s">
        <v>163</v>
      </c>
      <c r="F25" s="192">
        <v>0</v>
      </c>
      <c r="G25" s="134"/>
    </row>
    <row r="26" spans="1:7" ht="40.5" customHeight="1" thickBot="1" x14ac:dyDescent="0.3">
      <c r="A26" s="44" t="s">
        <v>187</v>
      </c>
      <c r="B26" s="246" t="s">
        <v>188</v>
      </c>
      <c r="C26" s="329"/>
      <c r="D26" s="256">
        <v>0</v>
      </c>
      <c r="E26" s="165" t="s">
        <v>163</v>
      </c>
      <c r="F26" s="166">
        <v>0</v>
      </c>
      <c r="G26" s="140"/>
    </row>
    <row r="27" spans="1:7" ht="40.5" customHeight="1" thickBot="1" x14ac:dyDescent="0.3">
      <c r="A27" s="162" t="s">
        <v>190</v>
      </c>
      <c r="B27" s="320" t="s">
        <v>189</v>
      </c>
      <c r="C27" s="320"/>
      <c r="D27" s="320"/>
      <c r="E27" s="320"/>
      <c r="F27" s="320"/>
      <c r="G27" s="322"/>
    </row>
    <row r="28" spans="1:7" ht="54" customHeight="1" x14ac:dyDescent="0.25">
      <c r="A28" s="36" t="s">
        <v>191</v>
      </c>
      <c r="B28" s="250" t="s">
        <v>192</v>
      </c>
      <c r="C28" s="327" t="s">
        <v>157</v>
      </c>
      <c r="D28" s="253">
        <v>0</v>
      </c>
      <c r="E28" s="187" t="s">
        <v>163</v>
      </c>
      <c r="F28" s="199">
        <v>0</v>
      </c>
      <c r="G28" s="144"/>
    </row>
    <row r="29" spans="1:7" ht="36" customHeight="1" x14ac:dyDescent="0.25">
      <c r="A29" s="42" t="s">
        <v>193</v>
      </c>
      <c r="B29" s="245" t="s">
        <v>182</v>
      </c>
      <c r="C29" s="328"/>
      <c r="D29" s="254">
        <v>0</v>
      </c>
      <c r="E29" s="188" t="s">
        <v>163</v>
      </c>
      <c r="F29" s="192">
        <v>0</v>
      </c>
      <c r="G29" s="134"/>
    </row>
    <row r="30" spans="1:7" ht="34.5" customHeight="1" x14ac:dyDescent="0.25">
      <c r="A30" s="42" t="s">
        <v>194</v>
      </c>
      <c r="B30" s="245" t="s">
        <v>184</v>
      </c>
      <c r="C30" s="328"/>
      <c r="D30" s="254">
        <v>0</v>
      </c>
      <c r="E30" s="158">
        <v>0.5</v>
      </c>
      <c r="F30" s="192">
        <v>0</v>
      </c>
      <c r="G30" s="134"/>
    </row>
    <row r="31" spans="1:7" ht="38.25" customHeight="1" x14ac:dyDescent="0.25">
      <c r="A31" s="42" t="s">
        <v>195</v>
      </c>
      <c r="B31" s="245" t="s">
        <v>196</v>
      </c>
      <c r="C31" s="328"/>
      <c r="D31" s="254">
        <v>0</v>
      </c>
      <c r="E31" s="188" t="s">
        <v>163</v>
      </c>
      <c r="F31" s="192">
        <v>0</v>
      </c>
      <c r="G31" s="134"/>
    </row>
    <row r="32" spans="1:7" ht="53.25" customHeight="1" thickBot="1" x14ac:dyDescent="0.3">
      <c r="A32" s="44" t="s">
        <v>197</v>
      </c>
      <c r="B32" s="246" t="s">
        <v>188</v>
      </c>
      <c r="C32" s="329"/>
      <c r="D32" s="256">
        <v>0</v>
      </c>
      <c r="E32" s="165" t="s">
        <v>163</v>
      </c>
      <c r="F32" s="166">
        <v>0</v>
      </c>
      <c r="G32" s="140"/>
    </row>
    <row r="33" spans="1:7" ht="38.25" customHeight="1" thickBot="1" x14ac:dyDescent="0.3">
      <c r="A33" s="162" t="s">
        <v>8</v>
      </c>
      <c r="B33" s="320" t="s">
        <v>198</v>
      </c>
      <c r="C33" s="320"/>
      <c r="D33" s="320"/>
      <c r="E33" s="320"/>
      <c r="F33" s="320"/>
      <c r="G33" s="321"/>
    </row>
    <row r="34" spans="1:7" ht="46.5" customHeight="1" x14ac:dyDescent="0.25">
      <c r="A34" s="31" t="s">
        <v>199</v>
      </c>
      <c r="B34" s="245" t="s">
        <v>200</v>
      </c>
      <c r="C34" s="327" t="s">
        <v>157</v>
      </c>
      <c r="D34" s="324">
        <v>9000</v>
      </c>
      <c r="E34" s="326" t="s">
        <v>163</v>
      </c>
      <c r="F34" s="355">
        <v>0</v>
      </c>
      <c r="G34" s="163"/>
    </row>
    <row r="35" spans="1:7" ht="36.75" customHeight="1" x14ac:dyDescent="0.25">
      <c r="A35" s="31" t="s">
        <v>201</v>
      </c>
      <c r="B35" s="245" t="s">
        <v>202</v>
      </c>
      <c r="C35" s="328"/>
      <c r="D35" s="324"/>
      <c r="E35" s="326"/>
      <c r="F35" s="355"/>
      <c r="G35" s="163"/>
    </row>
    <row r="36" spans="1:7" ht="24" customHeight="1" x14ac:dyDescent="0.25">
      <c r="A36" s="31" t="s">
        <v>203</v>
      </c>
      <c r="B36" s="245" t="s">
        <v>204</v>
      </c>
      <c r="C36" s="328"/>
      <c r="D36" s="324"/>
      <c r="E36" s="326"/>
      <c r="F36" s="355"/>
      <c r="G36" s="163"/>
    </row>
    <row r="37" spans="1:7" ht="28.5" customHeight="1" x14ac:dyDescent="0.25">
      <c r="A37" s="31" t="s">
        <v>205</v>
      </c>
      <c r="B37" s="245" t="s">
        <v>206</v>
      </c>
      <c r="C37" s="328"/>
      <c r="D37" s="324"/>
      <c r="E37" s="326"/>
      <c r="F37" s="355"/>
      <c r="G37" s="163"/>
    </row>
    <row r="38" spans="1:7" ht="23.25" customHeight="1" x14ac:dyDescent="0.25">
      <c r="A38" s="31" t="s">
        <v>207</v>
      </c>
      <c r="B38" s="245" t="s">
        <v>208</v>
      </c>
      <c r="C38" s="328"/>
      <c r="D38" s="254">
        <v>7350</v>
      </c>
      <c r="E38" s="158">
        <v>0.5</v>
      </c>
      <c r="F38" s="192">
        <v>223.1</v>
      </c>
      <c r="G38" s="163"/>
    </row>
    <row r="39" spans="1:7" ht="33" customHeight="1" x14ac:dyDescent="0.25">
      <c r="A39" s="31" t="s">
        <v>209</v>
      </c>
      <c r="B39" s="245" t="s">
        <v>210</v>
      </c>
      <c r="C39" s="328"/>
      <c r="D39" s="254">
        <v>5000</v>
      </c>
      <c r="E39" s="188" t="s">
        <v>163</v>
      </c>
      <c r="F39" s="192">
        <v>0</v>
      </c>
      <c r="G39" s="163"/>
    </row>
    <row r="40" spans="1:7" ht="28.5" customHeight="1" x14ac:dyDescent="0.25">
      <c r="A40" s="31" t="s">
        <v>211</v>
      </c>
      <c r="B40" s="245" t="s">
        <v>212</v>
      </c>
      <c r="C40" s="328"/>
      <c r="D40" s="254">
        <v>31000</v>
      </c>
      <c r="E40" s="188" t="s">
        <v>163</v>
      </c>
      <c r="F40" s="192">
        <v>16424.57</v>
      </c>
      <c r="G40" s="163"/>
    </row>
    <row r="41" spans="1:7" ht="21.75" customHeight="1" x14ac:dyDescent="0.25">
      <c r="A41" s="31" t="s">
        <v>213</v>
      </c>
      <c r="B41" s="245" t="s">
        <v>214</v>
      </c>
      <c r="C41" s="328"/>
      <c r="D41" s="254">
        <v>3000</v>
      </c>
      <c r="E41" s="158" t="s">
        <v>163</v>
      </c>
      <c r="F41" s="192">
        <v>0</v>
      </c>
      <c r="G41" s="163"/>
    </row>
    <row r="42" spans="1:7" ht="31.5" customHeight="1" thickBot="1" x14ac:dyDescent="0.3">
      <c r="A42" s="31" t="s">
        <v>215</v>
      </c>
      <c r="B42" s="245" t="s">
        <v>216</v>
      </c>
      <c r="C42" s="329"/>
      <c r="D42" s="254">
        <v>10000</v>
      </c>
      <c r="E42" s="158">
        <v>0.5</v>
      </c>
      <c r="F42" s="192">
        <v>0</v>
      </c>
      <c r="G42" s="163"/>
    </row>
    <row r="43" spans="1:7" ht="45.75" customHeight="1" thickBot="1" x14ac:dyDescent="0.3">
      <c r="A43" s="335" t="s">
        <v>219</v>
      </c>
      <c r="B43" s="336"/>
      <c r="C43" s="336"/>
      <c r="D43" s="170">
        <f>SUM(D10:D13,D15:D20,D22:D26,D28:D32,D34:D42)</f>
        <v>131000</v>
      </c>
      <c r="E43" s="209"/>
      <c r="F43" s="171">
        <f>SUM(F10:F13,F15:F20,F22:F26,F28:F32,F34:F42)</f>
        <v>16647.669999999998</v>
      </c>
      <c r="G43" s="131"/>
    </row>
    <row r="44" spans="1:7" ht="42.75" customHeight="1" thickBot="1" x14ac:dyDescent="0.3">
      <c r="A44" s="317" t="s">
        <v>221</v>
      </c>
      <c r="B44" s="318"/>
      <c r="C44" s="318"/>
      <c r="D44" s="318"/>
      <c r="E44" s="318"/>
      <c r="F44" s="318"/>
      <c r="G44" s="319"/>
    </row>
    <row r="45" spans="1:7" ht="42.75" customHeight="1" thickBot="1" x14ac:dyDescent="0.3">
      <c r="A45" s="150" t="s">
        <v>12</v>
      </c>
      <c r="B45" s="337" t="s">
        <v>222</v>
      </c>
      <c r="C45" s="338"/>
      <c r="D45" s="338"/>
      <c r="E45" s="338"/>
      <c r="F45" s="338"/>
      <c r="G45" s="339"/>
    </row>
    <row r="46" spans="1:7" ht="66.75" customHeight="1" x14ac:dyDescent="0.25">
      <c r="A46" s="362" t="s">
        <v>156</v>
      </c>
      <c r="B46" s="243" t="s">
        <v>235</v>
      </c>
      <c r="C46" s="342" t="s">
        <v>153</v>
      </c>
      <c r="D46" s="253">
        <v>7200</v>
      </c>
      <c r="E46" s="210">
        <v>0</v>
      </c>
      <c r="F46" s="205"/>
      <c r="G46" s="144"/>
    </row>
    <row r="47" spans="1:7" ht="15.75" x14ac:dyDescent="0.25">
      <c r="A47" s="363"/>
      <c r="B47" s="245" t="s">
        <v>231</v>
      </c>
      <c r="C47" s="343"/>
      <c r="D47" s="254"/>
      <c r="E47" s="211"/>
      <c r="F47" s="204"/>
      <c r="G47" s="134"/>
    </row>
    <row r="48" spans="1:7" ht="15.75" x14ac:dyDescent="0.25">
      <c r="A48" s="363"/>
      <c r="B48" s="245" t="s">
        <v>232</v>
      </c>
      <c r="C48" s="343"/>
      <c r="D48" s="254"/>
      <c r="E48" s="211"/>
      <c r="F48" s="204"/>
      <c r="G48" s="134"/>
    </row>
    <row r="49" spans="1:7" ht="15.75" x14ac:dyDescent="0.25">
      <c r="A49" s="363"/>
      <c r="B49" s="245" t="s">
        <v>233</v>
      </c>
      <c r="C49" s="343"/>
      <c r="D49" s="254"/>
      <c r="E49" s="211"/>
      <c r="F49" s="204"/>
      <c r="G49" s="134"/>
    </row>
    <row r="50" spans="1:7" ht="15.75" x14ac:dyDescent="0.25">
      <c r="A50" s="363"/>
      <c r="B50" s="245" t="s">
        <v>234</v>
      </c>
      <c r="C50" s="343"/>
      <c r="D50" s="254"/>
      <c r="E50" s="211"/>
      <c r="F50" s="204"/>
      <c r="G50" s="134"/>
    </row>
    <row r="51" spans="1:7" ht="64.5" customHeight="1" x14ac:dyDescent="0.25">
      <c r="A51" s="363" t="s">
        <v>154</v>
      </c>
      <c r="B51" s="244" t="s">
        <v>236</v>
      </c>
      <c r="C51" s="343"/>
      <c r="D51" s="254">
        <v>10000</v>
      </c>
      <c r="E51" s="76">
        <v>0</v>
      </c>
      <c r="F51" s="192">
        <f>2709.548+6901.92</f>
        <v>9611.4680000000008</v>
      </c>
      <c r="G51" s="134"/>
    </row>
    <row r="52" spans="1:7" ht="30.75" customHeight="1" x14ac:dyDescent="0.25">
      <c r="A52" s="363"/>
      <c r="B52" s="245" t="s">
        <v>237</v>
      </c>
      <c r="C52" s="343"/>
      <c r="D52" s="254"/>
      <c r="E52" s="211"/>
      <c r="F52" s="204"/>
      <c r="G52" s="134"/>
    </row>
    <row r="53" spans="1:7" ht="15.75" x14ac:dyDescent="0.25">
      <c r="A53" s="363"/>
      <c r="B53" s="245" t="s">
        <v>238</v>
      </c>
      <c r="C53" s="343"/>
      <c r="D53" s="254"/>
      <c r="E53" s="211"/>
      <c r="F53" s="204"/>
      <c r="G53" s="134"/>
    </row>
    <row r="54" spans="1:7" ht="15.75" x14ac:dyDescent="0.25">
      <c r="A54" s="363"/>
      <c r="B54" s="245" t="s">
        <v>239</v>
      </c>
      <c r="C54" s="343"/>
      <c r="D54" s="254"/>
      <c r="E54" s="211"/>
      <c r="F54" s="204"/>
      <c r="G54" s="134"/>
    </row>
    <row r="55" spans="1:7" ht="69.75" customHeight="1" x14ac:dyDescent="0.25">
      <c r="A55" s="363" t="s">
        <v>223</v>
      </c>
      <c r="B55" s="244" t="s">
        <v>226</v>
      </c>
      <c r="C55" s="343"/>
      <c r="D55" s="254">
        <v>22950</v>
      </c>
      <c r="E55" s="76">
        <v>0</v>
      </c>
      <c r="F55" s="192">
        <f>16100.424+6030.18</f>
        <v>22130.603999999999</v>
      </c>
      <c r="G55" s="134"/>
    </row>
    <row r="56" spans="1:7" ht="15.75" x14ac:dyDescent="0.25">
      <c r="A56" s="363"/>
      <c r="B56" s="245" t="s">
        <v>227</v>
      </c>
      <c r="C56" s="343"/>
      <c r="D56" s="254"/>
      <c r="E56" s="211"/>
      <c r="F56" s="204"/>
      <c r="G56" s="134"/>
    </row>
    <row r="57" spans="1:7" ht="15.75" x14ac:dyDescent="0.25">
      <c r="A57" s="363"/>
      <c r="B57" s="245" t="s">
        <v>228</v>
      </c>
      <c r="C57" s="343"/>
      <c r="D57" s="254"/>
      <c r="E57" s="211"/>
      <c r="F57" s="204"/>
      <c r="G57" s="134"/>
    </row>
    <row r="58" spans="1:7" ht="15.75" x14ac:dyDescent="0.25">
      <c r="A58" s="363"/>
      <c r="B58" s="245" t="s">
        <v>229</v>
      </c>
      <c r="C58" s="343"/>
      <c r="D58" s="254"/>
      <c r="E58" s="211"/>
      <c r="F58" s="204"/>
      <c r="G58" s="134"/>
    </row>
    <row r="59" spans="1:7" ht="66.75" customHeight="1" x14ac:dyDescent="0.25">
      <c r="A59" s="363" t="s">
        <v>243</v>
      </c>
      <c r="B59" s="244" t="s">
        <v>230</v>
      </c>
      <c r="C59" s="343"/>
      <c r="D59" s="254">
        <v>30024</v>
      </c>
      <c r="E59" s="76">
        <v>0</v>
      </c>
      <c r="F59" s="204"/>
      <c r="G59" s="134"/>
    </row>
    <row r="60" spans="1:7" ht="42.75" customHeight="1" x14ac:dyDescent="0.25">
      <c r="A60" s="363"/>
      <c r="B60" s="245" t="s">
        <v>240</v>
      </c>
      <c r="C60" s="343"/>
      <c r="D60" s="254"/>
      <c r="E60" s="211"/>
      <c r="F60" s="204"/>
      <c r="G60" s="134"/>
    </row>
    <row r="61" spans="1:7" ht="42.75" customHeight="1" x14ac:dyDescent="0.25">
      <c r="A61" s="363"/>
      <c r="B61" s="245" t="s">
        <v>241</v>
      </c>
      <c r="C61" s="343"/>
      <c r="D61" s="254"/>
      <c r="E61" s="211"/>
      <c r="F61" s="204"/>
      <c r="G61" s="134"/>
    </row>
    <row r="62" spans="1:7" ht="42.75" customHeight="1" thickBot="1" x14ac:dyDescent="0.3">
      <c r="A62" s="364"/>
      <c r="B62" s="246" t="s">
        <v>242</v>
      </c>
      <c r="C62" s="344"/>
      <c r="D62" s="256"/>
      <c r="E62" s="94"/>
      <c r="F62" s="206"/>
      <c r="G62" s="140"/>
    </row>
    <row r="63" spans="1:7" ht="42.75" customHeight="1" thickBot="1" x14ac:dyDescent="0.3">
      <c r="A63" s="150" t="s">
        <v>15</v>
      </c>
      <c r="B63" s="340" t="s">
        <v>244</v>
      </c>
      <c r="C63" s="341"/>
      <c r="D63" s="320"/>
      <c r="E63" s="320"/>
      <c r="F63" s="320"/>
      <c r="G63" s="321"/>
    </row>
    <row r="64" spans="1:7" ht="44.25" customHeight="1" x14ac:dyDescent="0.25">
      <c r="A64" s="362" t="s">
        <v>155</v>
      </c>
      <c r="B64" s="243" t="s">
        <v>252</v>
      </c>
      <c r="C64" s="356" t="s">
        <v>153</v>
      </c>
      <c r="D64" s="253">
        <v>3075</v>
      </c>
      <c r="E64" s="210">
        <v>0</v>
      </c>
      <c r="F64" s="199"/>
      <c r="G64" s="144"/>
    </row>
    <row r="65" spans="1:7" ht="44.25" customHeight="1" x14ac:dyDescent="0.25">
      <c r="A65" s="363"/>
      <c r="B65" s="244" t="s">
        <v>245</v>
      </c>
      <c r="C65" s="357"/>
      <c r="D65" s="254"/>
      <c r="E65" s="211"/>
      <c r="F65" s="204"/>
      <c r="G65" s="134"/>
    </row>
    <row r="66" spans="1:7" ht="44.25" customHeight="1" x14ac:dyDescent="0.25">
      <c r="A66" s="363"/>
      <c r="B66" s="244" t="s">
        <v>246</v>
      </c>
      <c r="C66" s="357"/>
      <c r="D66" s="254"/>
      <c r="E66" s="211"/>
      <c r="F66" s="204"/>
      <c r="G66" s="134"/>
    </row>
    <row r="67" spans="1:7" ht="42" customHeight="1" x14ac:dyDescent="0.25">
      <c r="A67" s="363" t="s">
        <v>250</v>
      </c>
      <c r="B67" s="244" t="s">
        <v>251</v>
      </c>
      <c r="C67" s="357"/>
      <c r="D67" s="255">
        <f>22820+13000</f>
        <v>35820</v>
      </c>
      <c r="E67" s="76">
        <v>0.7</v>
      </c>
      <c r="F67" s="192">
        <v>24703.33</v>
      </c>
      <c r="G67" s="134"/>
    </row>
    <row r="68" spans="1:7" ht="42" customHeight="1" x14ac:dyDescent="0.25">
      <c r="A68" s="363"/>
      <c r="B68" s="245" t="s">
        <v>247</v>
      </c>
      <c r="C68" s="357"/>
      <c r="D68" s="254"/>
      <c r="E68" s="211"/>
      <c r="F68" s="204"/>
      <c r="G68" s="134"/>
    </row>
    <row r="69" spans="1:7" ht="23.25" customHeight="1" x14ac:dyDescent="0.25">
      <c r="A69" s="363"/>
      <c r="B69" s="245" t="s">
        <v>248</v>
      </c>
      <c r="C69" s="357"/>
      <c r="D69" s="254"/>
      <c r="E69" s="211"/>
      <c r="F69" s="204"/>
      <c r="G69" s="134"/>
    </row>
    <row r="70" spans="1:7" ht="72" customHeight="1" x14ac:dyDescent="0.25">
      <c r="A70" s="363"/>
      <c r="B70" s="245" t="s">
        <v>249</v>
      </c>
      <c r="C70" s="357"/>
      <c r="D70" s="254"/>
      <c r="E70" s="211"/>
      <c r="F70" s="204"/>
      <c r="G70" s="134"/>
    </row>
    <row r="71" spans="1:7" ht="53.25" customHeight="1" x14ac:dyDescent="0.25">
      <c r="A71" s="363" t="s">
        <v>254</v>
      </c>
      <c r="B71" s="244" t="s">
        <v>258</v>
      </c>
      <c r="C71" s="357"/>
      <c r="D71" s="254">
        <v>14400</v>
      </c>
      <c r="E71" s="76">
        <v>0</v>
      </c>
      <c r="F71" s="204"/>
      <c r="G71" s="134"/>
    </row>
    <row r="72" spans="1:7" ht="56.25" customHeight="1" x14ac:dyDescent="0.25">
      <c r="A72" s="363"/>
      <c r="B72" s="245" t="s">
        <v>253</v>
      </c>
      <c r="C72" s="357"/>
      <c r="D72" s="254"/>
      <c r="E72" s="211"/>
      <c r="F72" s="204"/>
      <c r="G72" s="134"/>
    </row>
    <row r="73" spans="1:7" ht="47.25" x14ac:dyDescent="0.25">
      <c r="A73" s="363" t="s">
        <v>243</v>
      </c>
      <c r="B73" s="244" t="s">
        <v>259</v>
      </c>
      <c r="C73" s="357"/>
      <c r="D73" s="254">
        <v>0</v>
      </c>
      <c r="E73" s="211"/>
      <c r="F73" s="204"/>
      <c r="G73" s="134"/>
    </row>
    <row r="74" spans="1:7" ht="31.5" x14ac:dyDescent="0.25">
      <c r="A74" s="363"/>
      <c r="B74" s="245" t="s">
        <v>255</v>
      </c>
      <c r="C74" s="357"/>
      <c r="D74" s="254"/>
      <c r="E74" s="211"/>
      <c r="F74" s="204"/>
      <c r="G74" s="134"/>
    </row>
    <row r="75" spans="1:7" ht="15.75" x14ac:dyDescent="0.25">
      <c r="A75" s="363" t="s">
        <v>225</v>
      </c>
      <c r="B75" s="244" t="s">
        <v>260</v>
      </c>
      <c r="C75" s="357"/>
      <c r="D75" s="254">
        <v>120418</v>
      </c>
      <c r="E75" s="76">
        <v>0</v>
      </c>
      <c r="F75" s="192">
        <v>132671.27600000001</v>
      </c>
      <c r="G75" s="134"/>
    </row>
    <row r="76" spans="1:7" ht="15.75" x14ac:dyDescent="0.25">
      <c r="A76" s="363"/>
      <c r="B76" s="245" t="s">
        <v>256</v>
      </c>
      <c r="C76" s="357"/>
      <c r="D76" s="254"/>
      <c r="E76" s="211"/>
      <c r="F76" s="204"/>
      <c r="G76" s="134"/>
    </row>
    <row r="77" spans="1:7" ht="32.25" thickBot="1" x14ac:dyDescent="0.3">
      <c r="A77" s="364"/>
      <c r="B77" s="246" t="s">
        <v>257</v>
      </c>
      <c r="C77" s="358"/>
      <c r="D77" s="256"/>
      <c r="E77" s="94"/>
      <c r="F77" s="206"/>
      <c r="G77" s="140"/>
    </row>
    <row r="78" spans="1:7" ht="24.75" customHeight="1" thickBot="1" x14ac:dyDescent="0.3">
      <c r="A78" s="335" t="s">
        <v>261</v>
      </c>
      <c r="B78" s="336"/>
      <c r="C78" s="270" t="s">
        <v>153</v>
      </c>
      <c r="D78" s="271">
        <f>SUM(D46:D62,D64:D77)</f>
        <v>243887</v>
      </c>
      <c r="E78" s="272"/>
      <c r="F78" s="271">
        <f>SUM(F46:F62,F64:F77)</f>
        <v>189116.67800000001</v>
      </c>
      <c r="G78" s="273"/>
    </row>
    <row r="79" spans="1:7" ht="42.75" customHeight="1" thickBot="1" x14ac:dyDescent="0.3">
      <c r="A79" s="317" t="s">
        <v>419</v>
      </c>
      <c r="B79" s="318"/>
      <c r="C79" s="318"/>
      <c r="D79" s="318"/>
      <c r="E79" s="318"/>
      <c r="F79" s="318"/>
      <c r="G79" s="319"/>
    </row>
    <row r="80" spans="1:7" ht="42.75" customHeight="1" thickBot="1" x14ac:dyDescent="0.3">
      <c r="A80" s="139" t="s">
        <v>152</v>
      </c>
      <c r="B80" s="332" t="s">
        <v>264</v>
      </c>
      <c r="C80" s="333"/>
      <c r="D80" s="334"/>
      <c r="E80" s="334"/>
      <c r="F80" s="334"/>
      <c r="G80" s="322"/>
    </row>
    <row r="81" spans="1:7" ht="68.25" customHeight="1" x14ac:dyDescent="0.25">
      <c r="A81" s="189" t="s">
        <v>151</v>
      </c>
      <c r="B81" s="242" t="s">
        <v>265</v>
      </c>
      <c r="C81" s="369" t="s">
        <v>218</v>
      </c>
      <c r="D81" s="283">
        <v>0</v>
      </c>
      <c r="E81" s="213"/>
      <c r="F81" s="145">
        <f>'[1]2. PRODUCTOS'!$AX$176</f>
        <v>0</v>
      </c>
      <c r="G81" s="144"/>
    </row>
    <row r="82" spans="1:7" ht="31.5" x14ac:dyDescent="0.25">
      <c r="A82" s="359" t="s">
        <v>150</v>
      </c>
      <c r="B82" s="238" t="s">
        <v>266</v>
      </c>
      <c r="C82" s="370"/>
      <c r="D82" s="284">
        <v>8000</v>
      </c>
      <c r="E82" s="214"/>
      <c r="F82" s="135">
        <f>'[1]2. PRODUCTOS'!$AX$177</f>
        <v>0</v>
      </c>
      <c r="G82" s="134"/>
    </row>
    <row r="83" spans="1:7" ht="15.75" x14ac:dyDescent="0.25">
      <c r="A83" s="360"/>
      <c r="B83" s="239"/>
      <c r="C83" s="370"/>
      <c r="D83" s="284">
        <v>9000</v>
      </c>
      <c r="E83" s="214"/>
      <c r="F83" s="135">
        <f>'[1]2. PRODUCTOS'!$AX$178</f>
        <v>0</v>
      </c>
      <c r="G83" s="134"/>
    </row>
    <row r="84" spans="1:7" ht="16.5" thickBot="1" x14ac:dyDescent="0.3">
      <c r="A84" s="361"/>
      <c r="B84" s="240"/>
      <c r="C84" s="371"/>
      <c r="D84" s="285">
        <v>18252</v>
      </c>
      <c r="E84" s="215"/>
      <c r="F84" s="141">
        <f>'[1]2. PRODUCTOS'!$AX$179</f>
        <v>0</v>
      </c>
      <c r="G84" s="140"/>
    </row>
    <row r="85" spans="1:7" ht="47.25" customHeight="1" thickBot="1" x14ac:dyDescent="0.3">
      <c r="A85" s="139" t="s">
        <v>148</v>
      </c>
      <c r="B85" s="332" t="s">
        <v>267</v>
      </c>
      <c r="C85" s="341"/>
      <c r="D85" s="320"/>
      <c r="E85" s="320"/>
      <c r="F85" s="320"/>
      <c r="G85" s="321"/>
    </row>
    <row r="86" spans="1:7" ht="56.25" customHeight="1" x14ac:dyDescent="0.25">
      <c r="A86" s="138" t="s">
        <v>147</v>
      </c>
      <c r="B86" s="247" t="s">
        <v>268</v>
      </c>
      <c r="C86" s="367" t="s">
        <v>218</v>
      </c>
      <c r="D86" s="257">
        <v>6550</v>
      </c>
      <c r="E86" s="214"/>
      <c r="F86" s="135">
        <f>'[1]2. PRODUCTOS'!$AX$181</f>
        <v>0</v>
      </c>
      <c r="G86" s="134"/>
    </row>
    <row r="87" spans="1:7" ht="31.5" customHeight="1" x14ac:dyDescent="0.25">
      <c r="A87" s="349" t="s">
        <v>270</v>
      </c>
      <c r="B87" s="352" t="s">
        <v>269</v>
      </c>
      <c r="C87" s="360"/>
      <c r="D87" s="251">
        <v>5000</v>
      </c>
      <c r="E87" s="214"/>
      <c r="F87" s="135">
        <f>'[1]2. PRODUCTOS'!$AX$182</f>
        <v>0</v>
      </c>
      <c r="G87" s="134"/>
    </row>
    <row r="88" spans="1:7" ht="15.75" customHeight="1" x14ac:dyDescent="0.25">
      <c r="A88" s="350"/>
      <c r="B88" s="353"/>
      <c r="C88" s="360"/>
      <c r="D88" s="251">
        <v>4000</v>
      </c>
      <c r="E88" s="214"/>
      <c r="F88" s="135">
        <f>'[1]2. PRODUCTOS'!$AX$183</f>
        <v>0</v>
      </c>
      <c r="G88" s="134"/>
    </row>
    <row r="89" spans="1:7" ht="16.5" thickBot="1" x14ac:dyDescent="0.3">
      <c r="A89" s="351"/>
      <c r="B89" s="354"/>
      <c r="C89" s="368"/>
      <c r="D89" s="258">
        <v>1225</v>
      </c>
      <c r="E89" s="214"/>
      <c r="F89" s="135">
        <f>'[1]2. PRODUCTOS'!$AX$184</f>
        <v>0</v>
      </c>
      <c r="G89" s="134"/>
    </row>
    <row r="90" spans="1:7" ht="58.5" customHeight="1" thickBot="1" x14ac:dyDescent="0.3">
      <c r="A90" s="139" t="s">
        <v>146</v>
      </c>
      <c r="B90" s="332" t="s">
        <v>271</v>
      </c>
      <c r="C90" s="341"/>
      <c r="D90" s="334"/>
      <c r="E90" s="334"/>
      <c r="F90" s="334"/>
      <c r="G90" s="322"/>
    </row>
    <row r="91" spans="1:7" ht="72" customHeight="1" x14ac:dyDescent="0.25">
      <c r="A91" s="130" t="s">
        <v>145</v>
      </c>
      <c r="B91" s="242" t="s">
        <v>280</v>
      </c>
      <c r="C91" s="367" t="s">
        <v>218</v>
      </c>
      <c r="D91" s="259">
        <v>36350</v>
      </c>
      <c r="E91" s="213"/>
      <c r="F91" s="145">
        <f>'[1]2. PRODUCTOS'!$AX$200</f>
        <v>0</v>
      </c>
      <c r="G91" s="144"/>
    </row>
    <row r="92" spans="1:7" ht="41.25" customHeight="1" x14ac:dyDescent="0.25">
      <c r="A92" s="138" t="s">
        <v>144</v>
      </c>
      <c r="B92" s="247" t="s">
        <v>272</v>
      </c>
      <c r="C92" s="360"/>
      <c r="D92" s="274">
        <v>7000</v>
      </c>
      <c r="E92" s="214"/>
      <c r="F92" s="135"/>
      <c r="G92" s="134"/>
    </row>
    <row r="93" spans="1:7" ht="94.5" customHeight="1" x14ac:dyDescent="0.25">
      <c r="A93" s="138" t="s">
        <v>143</v>
      </c>
      <c r="B93" s="247" t="s">
        <v>273</v>
      </c>
      <c r="C93" s="360"/>
      <c r="D93" s="274"/>
      <c r="E93" s="214"/>
      <c r="F93" s="135"/>
      <c r="G93" s="134"/>
    </row>
    <row r="94" spans="1:7" ht="93.75" customHeight="1" x14ac:dyDescent="0.25">
      <c r="A94" s="138" t="s">
        <v>274</v>
      </c>
      <c r="B94" s="247" t="s">
        <v>278</v>
      </c>
      <c r="C94" s="360"/>
      <c r="D94" s="274"/>
      <c r="E94" s="214"/>
      <c r="F94" s="135"/>
      <c r="G94" s="134"/>
    </row>
    <row r="95" spans="1:7" ht="74.25" customHeight="1" x14ac:dyDescent="0.25">
      <c r="A95" s="138" t="s">
        <v>275</v>
      </c>
      <c r="B95" s="247" t="s">
        <v>277</v>
      </c>
      <c r="C95" s="360"/>
      <c r="D95" s="274"/>
      <c r="E95" s="214"/>
      <c r="F95" s="135"/>
      <c r="G95" s="134"/>
    </row>
    <row r="96" spans="1:7" ht="54.75" customHeight="1" thickBot="1" x14ac:dyDescent="0.3">
      <c r="A96" s="207" t="s">
        <v>276</v>
      </c>
      <c r="B96" s="248" t="s">
        <v>279</v>
      </c>
      <c r="C96" s="368"/>
      <c r="D96" s="275"/>
      <c r="E96" s="215"/>
      <c r="F96" s="141"/>
      <c r="G96" s="140"/>
    </row>
    <row r="97" spans="1:7" ht="60.75" customHeight="1" thickBot="1" x14ac:dyDescent="0.3">
      <c r="A97" s="231" t="s">
        <v>281</v>
      </c>
      <c r="B97" s="345" t="s">
        <v>282</v>
      </c>
      <c r="C97" s="346"/>
      <c r="D97" s="347"/>
      <c r="E97" s="347"/>
      <c r="F97" s="347"/>
      <c r="G97" s="348"/>
    </row>
    <row r="98" spans="1:7" s="233" customFormat="1" ht="96.75" customHeight="1" x14ac:dyDescent="0.25">
      <c r="A98" s="203" t="s">
        <v>283</v>
      </c>
      <c r="B98" s="276" t="s">
        <v>287</v>
      </c>
      <c r="C98" s="360" t="s">
        <v>218</v>
      </c>
      <c r="D98" s="260">
        <v>36650</v>
      </c>
      <c r="E98" s="241"/>
      <c r="F98" s="201"/>
      <c r="G98" s="202"/>
    </row>
    <row r="99" spans="1:7" s="233" customFormat="1" ht="96.75" customHeight="1" x14ac:dyDescent="0.25">
      <c r="A99" s="200" t="s">
        <v>284</v>
      </c>
      <c r="B99" s="245" t="s">
        <v>288</v>
      </c>
      <c r="C99" s="360"/>
      <c r="D99" s="251">
        <v>12950</v>
      </c>
      <c r="E99" s="214"/>
      <c r="F99" s="135"/>
      <c r="G99" s="163"/>
    </row>
    <row r="100" spans="1:7" s="233" customFormat="1" ht="72.75" customHeight="1" x14ac:dyDescent="0.25">
      <c r="A100" s="200" t="s">
        <v>285</v>
      </c>
      <c r="B100" s="249" t="s">
        <v>289</v>
      </c>
      <c r="C100" s="360"/>
      <c r="D100" s="251">
        <v>7000</v>
      </c>
      <c r="E100" s="214"/>
      <c r="F100" s="135"/>
      <c r="G100" s="163"/>
    </row>
    <row r="101" spans="1:7" s="233" customFormat="1" ht="69.75" customHeight="1" x14ac:dyDescent="0.25">
      <c r="A101" s="200" t="s">
        <v>286</v>
      </c>
      <c r="B101" s="245" t="s">
        <v>290</v>
      </c>
      <c r="C101" s="360"/>
      <c r="D101" s="261">
        <v>2000</v>
      </c>
      <c r="E101" s="214"/>
      <c r="F101" s="135"/>
      <c r="G101" s="163"/>
    </row>
    <row r="102" spans="1:7" s="233" customFormat="1" ht="70.5" customHeight="1" thickBot="1" x14ac:dyDescent="0.3">
      <c r="A102" s="137"/>
      <c r="B102" s="249" t="s">
        <v>291</v>
      </c>
      <c r="C102" s="368"/>
      <c r="D102" s="252"/>
      <c r="E102" s="214"/>
      <c r="F102" s="135"/>
      <c r="G102" s="163"/>
    </row>
    <row r="103" spans="1:7" ht="37.5" customHeight="1" thickBot="1" x14ac:dyDescent="0.3">
      <c r="A103" s="139" t="s">
        <v>292</v>
      </c>
      <c r="B103" s="332" t="s">
        <v>293</v>
      </c>
      <c r="C103" s="341"/>
      <c r="D103" s="334"/>
      <c r="E103" s="334"/>
      <c r="F103" s="334"/>
      <c r="G103" s="322"/>
    </row>
    <row r="104" spans="1:7" ht="78.75" x14ac:dyDescent="0.25">
      <c r="A104" s="189" t="s">
        <v>294</v>
      </c>
      <c r="B104" s="250" t="s">
        <v>298</v>
      </c>
      <c r="C104" s="367" t="s">
        <v>218</v>
      </c>
      <c r="D104" s="259">
        <v>36350</v>
      </c>
      <c r="E104" s="213"/>
      <c r="F104" s="145"/>
      <c r="G104" s="144"/>
    </row>
    <row r="105" spans="1:7" ht="47.25" x14ac:dyDescent="0.25">
      <c r="A105" s="190" t="s">
        <v>295</v>
      </c>
      <c r="B105" s="245" t="s">
        <v>299</v>
      </c>
      <c r="C105" s="360"/>
      <c r="D105" s="263">
        <v>12000</v>
      </c>
      <c r="E105" s="214"/>
      <c r="F105" s="135"/>
      <c r="G105" s="134"/>
    </row>
    <row r="106" spans="1:7" ht="78.75" x14ac:dyDescent="0.25">
      <c r="A106" s="190" t="s">
        <v>296</v>
      </c>
      <c r="B106" s="245" t="s">
        <v>300</v>
      </c>
      <c r="C106" s="360"/>
      <c r="D106" s="263">
        <v>12000</v>
      </c>
      <c r="E106" s="214"/>
      <c r="F106" s="135"/>
      <c r="G106" s="134"/>
    </row>
    <row r="107" spans="1:7" ht="31.5" x14ac:dyDescent="0.25">
      <c r="A107" s="190" t="s">
        <v>297</v>
      </c>
      <c r="B107" s="247" t="s">
        <v>301</v>
      </c>
      <c r="C107" s="360"/>
      <c r="D107" s="264">
        <v>13500</v>
      </c>
      <c r="E107" s="214"/>
      <c r="F107" s="135"/>
      <c r="G107" s="134"/>
    </row>
    <row r="108" spans="1:7" ht="63" x14ac:dyDescent="0.25">
      <c r="A108" s="190" t="s">
        <v>302</v>
      </c>
      <c r="B108" s="247" t="s">
        <v>304</v>
      </c>
      <c r="C108" s="360"/>
      <c r="D108" s="274"/>
      <c r="E108" s="214"/>
      <c r="F108" s="135"/>
      <c r="G108" s="134"/>
    </row>
    <row r="109" spans="1:7" ht="63" customHeight="1" x14ac:dyDescent="0.25">
      <c r="A109" s="349" t="s">
        <v>303</v>
      </c>
      <c r="B109" s="352" t="s">
        <v>305</v>
      </c>
      <c r="C109" s="360"/>
      <c r="D109" s="263">
        <v>30000</v>
      </c>
      <c r="E109" s="214"/>
      <c r="F109" s="135"/>
      <c r="G109" s="134"/>
    </row>
    <row r="110" spans="1:7" ht="15.75" x14ac:dyDescent="0.25">
      <c r="A110" s="350"/>
      <c r="B110" s="353"/>
      <c r="C110" s="360"/>
      <c r="D110" s="265">
        <v>32738</v>
      </c>
      <c r="E110" s="214"/>
      <c r="F110" s="135"/>
      <c r="G110" s="134"/>
    </row>
    <row r="111" spans="1:7" ht="16.5" thickBot="1" x14ac:dyDescent="0.3">
      <c r="A111" s="351"/>
      <c r="B111" s="354"/>
      <c r="C111" s="368"/>
      <c r="D111" s="266">
        <v>21262</v>
      </c>
      <c r="E111" s="215"/>
      <c r="F111" s="141"/>
      <c r="G111" s="140"/>
    </row>
    <row r="112" spans="1:7" ht="45.75" customHeight="1" thickBot="1" x14ac:dyDescent="0.3">
      <c r="A112" s="139" t="s">
        <v>307</v>
      </c>
      <c r="B112" s="332" t="s">
        <v>306</v>
      </c>
      <c r="C112" s="341"/>
      <c r="D112" s="334"/>
      <c r="E112" s="334"/>
      <c r="F112" s="334"/>
      <c r="G112" s="322"/>
    </row>
    <row r="113" spans="1:7" ht="78.75" x14ac:dyDescent="0.25">
      <c r="A113" s="189" t="s">
        <v>308</v>
      </c>
      <c r="B113" s="242" t="s">
        <v>310</v>
      </c>
      <c r="C113" s="356" t="s">
        <v>218</v>
      </c>
      <c r="D113" s="259">
        <v>20000</v>
      </c>
      <c r="E113" s="213"/>
      <c r="F113" s="145"/>
      <c r="G113" s="144"/>
    </row>
    <row r="114" spans="1:7" ht="63.75" thickBot="1" x14ac:dyDescent="0.3">
      <c r="A114" s="191" t="s">
        <v>309</v>
      </c>
      <c r="B114" s="248" t="s">
        <v>311</v>
      </c>
      <c r="C114" s="358"/>
      <c r="D114" s="262">
        <v>20000</v>
      </c>
      <c r="E114" s="215"/>
      <c r="F114" s="141"/>
      <c r="G114" s="140"/>
    </row>
    <row r="115" spans="1:7" ht="44.25" customHeight="1" thickBot="1" x14ac:dyDescent="0.3">
      <c r="A115" s="150" t="s">
        <v>312</v>
      </c>
      <c r="B115" s="340" t="s">
        <v>315</v>
      </c>
      <c r="C115" s="341"/>
      <c r="D115" s="320"/>
      <c r="E115" s="320"/>
      <c r="F115" s="320"/>
      <c r="G115" s="321"/>
    </row>
    <row r="116" spans="1:7" ht="78.75" x14ac:dyDescent="0.25">
      <c r="A116" s="130" t="s">
        <v>313</v>
      </c>
      <c r="B116" s="242" t="s">
        <v>316</v>
      </c>
      <c r="C116" s="367" t="s">
        <v>218</v>
      </c>
      <c r="D116" s="257">
        <v>36650</v>
      </c>
      <c r="E116" s="213"/>
      <c r="F116" s="145">
        <f>'[1]2. PRODUCTOS'!$AX$209</f>
        <v>0</v>
      </c>
      <c r="G116" s="144"/>
    </row>
    <row r="117" spans="1:7" ht="95.25" thickBot="1" x14ac:dyDescent="0.3">
      <c r="A117" s="207" t="s">
        <v>314</v>
      </c>
      <c r="B117" s="248" t="s">
        <v>317</v>
      </c>
      <c r="C117" s="368"/>
      <c r="D117" s="252">
        <v>12950</v>
      </c>
      <c r="E117" s="215"/>
      <c r="F117" s="141">
        <f>'[1]2. PRODUCTOS'!$AX$211</f>
        <v>0</v>
      </c>
      <c r="G117" s="140"/>
    </row>
    <row r="118" spans="1:7" ht="16.5" customHeight="1" thickBot="1" x14ac:dyDescent="0.3">
      <c r="A118" s="330" t="s">
        <v>318</v>
      </c>
      <c r="B118" s="331"/>
      <c r="C118" s="197" t="s">
        <v>218</v>
      </c>
      <c r="D118" s="271">
        <f>SUM(D81:D84,D86:D89,D91:D96,D98:D102,D104:D111,D113:D114,D116:D117)</f>
        <v>401427</v>
      </c>
      <c r="E118" s="277"/>
      <c r="F118" s="174">
        <f>SUM(F81:F89,F91,F116:F117)</f>
        <v>0</v>
      </c>
      <c r="G118" s="172"/>
    </row>
    <row r="119" spans="1:7" ht="15.75" x14ac:dyDescent="0.25">
      <c r="A119" s="374" t="s">
        <v>50</v>
      </c>
      <c r="B119" s="129"/>
      <c r="C119" s="180" t="s">
        <v>157</v>
      </c>
      <c r="D119" s="199">
        <v>139999.99919999999</v>
      </c>
      <c r="E119" s="216"/>
      <c r="F119" s="286">
        <v>32102.94</v>
      </c>
      <c r="G119" s="127"/>
    </row>
    <row r="120" spans="1:7" ht="15.75" x14ac:dyDescent="0.25">
      <c r="A120" s="350"/>
      <c r="B120" s="175"/>
      <c r="C120" s="176"/>
      <c r="D120" s="177"/>
      <c r="E120" s="217"/>
      <c r="F120" s="177"/>
      <c r="G120" s="181"/>
    </row>
    <row r="121" spans="1:7" ht="50.25" customHeight="1" thickBot="1" x14ac:dyDescent="0.3">
      <c r="A121" s="350"/>
      <c r="B121" s="182"/>
      <c r="C121" s="183"/>
      <c r="D121" s="184"/>
      <c r="E121" s="218"/>
      <c r="F121" s="184"/>
      <c r="G121" s="185"/>
    </row>
    <row r="122" spans="1:7" ht="15.75" x14ac:dyDescent="0.25">
      <c r="A122" s="362" t="s">
        <v>51</v>
      </c>
      <c r="B122" s="129"/>
      <c r="C122" s="180" t="s">
        <v>220</v>
      </c>
      <c r="D122" s="199">
        <v>27130.84</v>
      </c>
      <c r="E122" s="216"/>
      <c r="F122" s="286">
        <v>1096.7</v>
      </c>
      <c r="G122" s="127"/>
    </row>
    <row r="123" spans="1:7" ht="15.75" x14ac:dyDescent="0.25">
      <c r="A123" s="363"/>
      <c r="B123" s="175"/>
      <c r="C123" s="176"/>
      <c r="D123" s="177"/>
      <c r="E123" s="217"/>
      <c r="F123" s="177"/>
      <c r="G123" s="181"/>
    </row>
    <row r="124" spans="1:7" ht="16.5" thickBot="1" x14ac:dyDescent="0.3">
      <c r="A124" s="364"/>
      <c r="B124" s="126"/>
      <c r="C124" s="178"/>
      <c r="D124" s="125"/>
      <c r="E124" s="219"/>
      <c r="F124" s="125"/>
      <c r="G124" s="123"/>
    </row>
    <row r="125" spans="1:7" ht="16.5" thickBot="1" x14ac:dyDescent="0.3">
      <c r="A125" s="173" t="s">
        <v>52</v>
      </c>
      <c r="B125" s="186" t="s">
        <v>30</v>
      </c>
      <c r="C125" s="278"/>
      <c r="D125" s="290"/>
      <c r="E125" s="279"/>
      <c r="F125" s="291"/>
      <c r="G125" s="280"/>
    </row>
    <row r="126" spans="1:7" ht="15.75" customHeight="1" thickBot="1" x14ac:dyDescent="0.3">
      <c r="A126" s="375" t="s">
        <v>141</v>
      </c>
      <c r="B126" s="376"/>
      <c r="C126" s="179"/>
      <c r="D126" s="170">
        <f>SUM(D43,D78,D118,D119:D124)</f>
        <v>943444.83919999993</v>
      </c>
      <c r="E126" s="220"/>
      <c r="F126" s="271">
        <f>SUM(F43,F78,F118,F119:F125)</f>
        <v>238963.98800000001</v>
      </c>
      <c r="G126" s="118"/>
    </row>
    <row r="127" spans="1:7" ht="15.75" customHeight="1" thickBot="1" x14ac:dyDescent="0.3">
      <c r="A127" s="372" t="s">
        <v>140</v>
      </c>
      <c r="B127" s="373"/>
      <c r="C127" s="282"/>
      <c r="D127" s="289">
        <f>D126*0.07</f>
        <v>66041.138743999996</v>
      </c>
      <c r="E127" s="221"/>
      <c r="F127" s="281">
        <f>F126*0.07</f>
        <v>16727.479160000003</v>
      </c>
      <c r="G127" s="115"/>
    </row>
    <row r="128" spans="1:7" ht="16.5" customHeight="1" thickBot="1" x14ac:dyDescent="0.3">
      <c r="A128" s="365" t="s">
        <v>139</v>
      </c>
      <c r="B128" s="366"/>
      <c r="C128" s="287"/>
      <c r="D128" s="288">
        <f>SUM(D126:D127)</f>
        <v>1009485.9779439999</v>
      </c>
      <c r="E128" s="222"/>
      <c r="F128" s="113">
        <f>IFERROR(SUM(F126:F127),0)</f>
        <v>255691.46716</v>
      </c>
      <c r="G128" s="112"/>
    </row>
  </sheetData>
  <sheetProtection algorithmName="SHA-512" hashValue="lUGWcNaRmnxdoGQWYACWasKDypy5VVZTvoxZ5KHRwBnzKIPA4jLDiszHy9GWdl+eV+kMEr0Fp9xWWfjSLHZoIg==" saltValue="3YamJWJSScBAHteyffhBmg==" spinCount="100000" sheet="1" objects="1" scenarios="1" formatCells="0" formatColumns="0" formatRows="0"/>
  <mergeCells count="58">
    <mergeCell ref="A128:B128"/>
    <mergeCell ref="C86:C89"/>
    <mergeCell ref="C81:C84"/>
    <mergeCell ref="B87:B89"/>
    <mergeCell ref="A87:A89"/>
    <mergeCell ref="A127:B127"/>
    <mergeCell ref="C116:C117"/>
    <mergeCell ref="C113:C114"/>
    <mergeCell ref="C104:C111"/>
    <mergeCell ref="C98:C102"/>
    <mergeCell ref="C91:C96"/>
    <mergeCell ref="B90:G90"/>
    <mergeCell ref="B115:G115"/>
    <mergeCell ref="A119:A121"/>
    <mergeCell ref="A122:A124"/>
    <mergeCell ref="A126:B126"/>
    <mergeCell ref="B85:G85"/>
    <mergeCell ref="A46:A50"/>
    <mergeCell ref="A51:A54"/>
    <mergeCell ref="A55:A58"/>
    <mergeCell ref="A59:A62"/>
    <mergeCell ref="A64:A66"/>
    <mergeCell ref="A67:A70"/>
    <mergeCell ref="A71:A72"/>
    <mergeCell ref="A73:A74"/>
    <mergeCell ref="A75:A77"/>
    <mergeCell ref="C22:C26"/>
    <mergeCell ref="C28:C32"/>
    <mergeCell ref="C34:C42"/>
    <mergeCell ref="B27:G27"/>
    <mergeCell ref="B33:G33"/>
    <mergeCell ref="D34:D37"/>
    <mergeCell ref="E34:E37"/>
    <mergeCell ref="F34:F37"/>
    <mergeCell ref="A118:B118"/>
    <mergeCell ref="A79:G79"/>
    <mergeCell ref="B80:G80"/>
    <mergeCell ref="A43:C43"/>
    <mergeCell ref="A44:G44"/>
    <mergeCell ref="B45:G45"/>
    <mergeCell ref="B63:G63"/>
    <mergeCell ref="C46:C62"/>
    <mergeCell ref="B97:G97"/>
    <mergeCell ref="B103:G103"/>
    <mergeCell ref="A109:A111"/>
    <mergeCell ref="B109:B111"/>
    <mergeCell ref="B112:G112"/>
    <mergeCell ref="C64:C77"/>
    <mergeCell ref="A78:B78"/>
    <mergeCell ref="A82:A84"/>
    <mergeCell ref="A8:G8"/>
    <mergeCell ref="B9:G9"/>
    <mergeCell ref="B14:G14"/>
    <mergeCell ref="B21:G21"/>
    <mergeCell ref="D15:D16"/>
    <mergeCell ref="E15:E16"/>
    <mergeCell ref="C10:C13"/>
    <mergeCell ref="C15:C20"/>
  </mergeCells>
  <pageMargins left="0.7" right="0.7" top="0.75" bottom="0.75" header="0.3" footer="0.3"/>
  <pageSetup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D382-6DD6-4869-8687-C3CE2F439B7F}">
  <dimension ref="A1:N18"/>
  <sheetViews>
    <sheetView topLeftCell="A4" zoomScaleNormal="100" workbookViewId="0">
      <selection activeCell="E19" sqref="E19"/>
    </sheetView>
  </sheetViews>
  <sheetFormatPr defaultRowHeight="15" x14ac:dyDescent="0.25"/>
  <cols>
    <col min="1" max="10" width="15.140625" customWidth="1"/>
    <col min="11" max="11" width="5" customWidth="1"/>
    <col min="12" max="12" width="11.5703125" bestFit="1" customWidth="1"/>
    <col min="14" max="14" width="11.28515625" bestFit="1" customWidth="1"/>
  </cols>
  <sheetData>
    <row r="1" spans="1:14" ht="15.75" x14ac:dyDescent="0.25">
      <c r="A1" s="2" t="s">
        <v>263</v>
      </c>
      <c r="B1" s="2"/>
      <c r="C1" s="2"/>
      <c r="D1" s="2"/>
    </row>
    <row r="2" spans="1:14" x14ac:dyDescent="0.25">
      <c r="A2" s="9"/>
      <c r="B2" s="9"/>
      <c r="C2" s="9"/>
      <c r="D2" s="9"/>
    </row>
    <row r="3" spans="1:14" x14ac:dyDescent="0.25">
      <c r="A3" s="9" t="s">
        <v>49</v>
      </c>
      <c r="B3" s="9"/>
      <c r="C3" s="9"/>
      <c r="D3" s="9"/>
    </row>
    <row r="4" spans="1:14" ht="15.75" thickBot="1" x14ac:dyDescent="0.3"/>
    <row r="5" spans="1:14" ht="15.75" thickBot="1" x14ac:dyDescent="0.3">
      <c r="A5" s="377" t="s">
        <v>33</v>
      </c>
      <c r="B5" s="379" t="s">
        <v>95</v>
      </c>
      <c r="C5" s="380"/>
      <c r="D5" s="379" t="s">
        <v>96</v>
      </c>
      <c r="E5" s="380"/>
      <c r="F5" s="379" t="s">
        <v>262</v>
      </c>
      <c r="G5" s="380"/>
      <c r="H5" s="8" t="s">
        <v>46</v>
      </c>
      <c r="I5" s="8" t="s">
        <v>48</v>
      </c>
      <c r="J5" s="377" t="s">
        <v>47</v>
      </c>
    </row>
    <row r="6" spans="1:14" ht="15.75" thickBot="1" x14ac:dyDescent="0.3">
      <c r="A6" s="378"/>
      <c r="B6" s="17" t="s">
        <v>35</v>
      </c>
      <c r="C6" s="17" t="s">
        <v>36</v>
      </c>
      <c r="D6" s="17" t="s">
        <v>35</v>
      </c>
      <c r="E6" s="17" t="s">
        <v>36</v>
      </c>
      <c r="F6" s="17" t="s">
        <v>35</v>
      </c>
      <c r="G6" s="17" t="s">
        <v>36</v>
      </c>
      <c r="H6" s="17"/>
      <c r="I6" s="17"/>
      <c r="J6" s="378"/>
    </row>
    <row r="7" spans="1:14" ht="26.25" thickBot="1" x14ac:dyDescent="0.3">
      <c r="A7" s="4" t="s">
        <v>37</v>
      </c>
      <c r="B7" s="227">
        <v>140000</v>
      </c>
      <c r="C7" s="5"/>
      <c r="D7" s="227">
        <f>73065*0.7</f>
        <v>51145.5</v>
      </c>
      <c r="E7" s="227">
        <f>73065*0.3</f>
        <v>21919.5</v>
      </c>
      <c r="F7" s="5"/>
      <c r="G7" s="5"/>
      <c r="H7" s="5"/>
      <c r="I7" s="5"/>
      <c r="J7" s="226">
        <f>SUM(B7:I7)</f>
        <v>213065</v>
      </c>
      <c r="L7" s="225"/>
      <c r="N7" s="223"/>
    </row>
    <row r="8" spans="1:14" ht="39" thickBot="1" x14ac:dyDescent="0.3">
      <c r="A8" s="4" t="s">
        <v>38</v>
      </c>
      <c r="B8" s="227">
        <v>44000</v>
      </c>
      <c r="C8" s="5"/>
      <c r="D8" s="229">
        <f>(9024+22820)*0.7</f>
        <v>22290.799999999999</v>
      </c>
      <c r="E8" s="229">
        <f>(9024+22820)*0.3</f>
        <v>9553.1999999999989</v>
      </c>
      <c r="F8" s="5"/>
      <c r="G8" s="5"/>
      <c r="H8" s="5"/>
      <c r="I8" s="5"/>
      <c r="J8" s="226">
        <f t="shared" ref="J8:J13" si="0">SUM(B8:I8)</f>
        <v>75844</v>
      </c>
      <c r="L8" s="224"/>
      <c r="N8" s="223"/>
    </row>
    <row r="9" spans="1:14" ht="64.5" thickBot="1" x14ac:dyDescent="0.3">
      <c r="A9" s="4" t="s">
        <v>39</v>
      </c>
      <c r="B9" s="227">
        <v>9000</v>
      </c>
      <c r="C9" s="5"/>
      <c r="D9" s="229">
        <f>(35417)*0.7</f>
        <v>24791.899999999998</v>
      </c>
      <c r="E9" s="229">
        <f>(35417)*0.3</f>
        <v>10625.1</v>
      </c>
      <c r="F9" s="5"/>
      <c r="G9" s="5"/>
      <c r="H9" s="5"/>
      <c r="I9" s="5"/>
      <c r="J9" s="226">
        <f t="shared" si="0"/>
        <v>44416.999999999993</v>
      </c>
      <c r="L9" s="224"/>
      <c r="N9" s="223"/>
    </row>
    <row r="10" spans="1:14" ht="26.25" thickBot="1" x14ac:dyDescent="0.3">
      <c r="A10" s="4" t="s">
        <v>40</v>
      </c>
      <c r="B10" s="227">
        <v>57000</v>
      </c>
      <c r="C10" s="5"/>
      <c r="D10" s="229">
        <f>(10000+15750+21000+10000)*0.7</f>
        <v>39725</v>
      </c>
      <c r="E10" s="229">
        <f>(10000+15750+21000+10000)*0.3</f>
        <v>17025</v>
      </c>
      <c r="F10" s="5"/>
      <c r="G10" s="5"/>
      <c r="H10" s="5"/>
      <c r="I10" s="5"/>
      <c r="J10" s="226">
        <f t="shared" si="0"/>
        <v>113750</v>
      </c>
      <c r="L10" s="224"/>
      <c r="N10" s="223"/>
    </row>
    <row r="11" spans="1:14" ht="15.75" thickBot="1" x14ac:dyDescent="0.3">
      <c r="A11" s="4" t="s">
        <v>41</v>
      </c>
      <c r="B11" s="227">
        <v>11000</v>
      </c>
      <c r="C11" s="5"/>
      <c r="D11" s="229">
        <f>(7200+7200+3075+3000+14400)*0.7</f>
        <v>24412.5</v>
      </c>
      <c r="E11" s="229">
        <f>(7200+7200+3075+3000+14400)*0.3</f>
        <v>10462.5</v>
      </c>
      <c r="F11" s="5"/>
      <c r="G11" s="5"/>
      <c r="H11" s="5"/>
      <c r="I11" s="5"/>
      <c r="J11" s="226">
        <f t="shared" si="0"/>
        <v>45875</v>
      </c>
      <c r="L11" s="224"/>
      <c r="N11" s="223"/>
    </row>
    <row r="12" spans="1:14" ht="39" thickBot="1" x14ac:dyDescent="0.3">
      <c r="A12" s="4" t="s">
        <v>42</v>
      </c>
      <c r="B12" s="227">
        <v>10000</v>
      </c>
      <c r="C12" s="5"/>
      <c r="D12" s="229">
        <f>85001*0.7</f>
        <v>59500.7</v>
      </c>
      <c r="E12" s="229">
        <f>85001*0.3</f>
        <v>25500.3</v>
      </c>
      <c r="F12" s="5"/>
      <c r="G12" s="5"/>
      <c r="H12" s="5"/>
      <c r="I12" s="5"/>
      <c r="J12" s="226">
        <f t="shared" si="0"/>
        <v>95001</v>
      </c>
      <c r="L12" s="224"/>
      <c r="N12" s="223"/>
    </row>
    <row r="13" spans="1:14" ht="39" thickBot="1" x14ac:dyDescent="0.3">
      <c r="A13" s="4" t="s">
        <v>43</v>
      </c>
      <c r="B13" s="227">
        <v>27130.84</v>
      </c>
      <c r="C13" s="5"/>
      <c r="D13" s="229">
        <f>(8854)*0.7</f>
        <v>6197.7999999999993</v>
      </c>
      <c r="E13" s="229">
        <f>(8854)*0.3</f>
        <v>2656.2</v>
      </c>
      <c r="F13" s="5"/>
      <c r="G13" s="5"/>
      <c r="H13" s="5"/>
      <c r="I13" s="5"/>
      <c r="J13" s="226">
        <f t="shared" si="0"/>
        <v>35984.839999999997</v>
      </c>
      <c r="L13" s="225"/>
      <c r="N13" s="223"/>
    </row>
    <row r="14" spans="1:14" ht="26.25" thickBot="1" x14ac:dyDescent="0.3">
      <c r="A14" s="6" t="s">
        <v>44</v>
      </c>
      <c r="B14" s="228">
        <f>SUM(B7:B13)</f>
        <v>298130.84000000003</v>
      </c>
      <c r="C14" s="7"/>
      <c r="D14" s="228"/>
      <c r="E14" s="228"/>
      <c r="F14" s="7"/>
      <c r="G14" s="7"/>
      <c r="H14" s="7"/>
      <c r="I14" s="7"/>
      <c r="J14" s="230">
        <f>SUM(J7:J13)</f>
        <v>623936.84</v>
      </c>
      <c r="L14" s="224"/>
      <c r="N14" s="223"/>
    </row>
    <row r="15" spans="1:14" ht="39" thickBot="1" x14ac:dyDescent="0.3">
      <c r="A15" s="4" t="s">
        <v>45</v>
      </c>
      <c r="B15" s="227">
        <f>B14*7%</f>
        <v>20869.158800000005</v>
      </c>
      <c r="C15" s="5"/>
      <c r="D15" s="227">
        <f>22806.42*0.7</f>
        <v>15964.493999999997</v>
      </c>
      <c r="E15" s="227">
        <f>22806.42*0.3</f>
        <v>6841.9259999999995</v>
      </c>
      <c r="F15" s="5"/>
      <c r="G15" s="5"/>
      <c r="H15" s="5"/>
      <c r="I15" s="5"/>
      <c r="J15" s="226">
        <f>J14*0.07</f>
        <v>43675.578800000003</v>
      </c>
      <c r="L15" s="225"/>
      <c r="N15" s="223"/>
    </row>
    <row r="16" spans="1:14" ht="15.75" thickBot="1" x14ac:dyDescent="0.3">
      <c r="A16" s="6" t="s">
        <v>34</v>
      </c>
      <c r="B16" s="228">
        <f>+B14+B15</f>
        <v>318999.99880000006</v>
      </c>
      <c r="C16" s="7"/>
      <c r="D16" s="7"/>
      <c r="E16" s="7"/>
      <c r="F16" s="7"/>
      <c r="G16" s="7"/>
      <c r="H16" s="7"/>
      <c r="I16" s="7"/>
      <c r="J16" s="230">
        <f>SUM(J14:J15)</f>
        <v>667612.41879999998</v>
      </c>
      <c r="L16" s="224"/>
    </row>
    <row r="18" spans="10:12" x14ac:dyDescent="0.25">
      <c r="J18" s="223"/>
      <c r="K18" s="223"/>
      <c r="L18" s="223"/>
    </row>
  </sheetData>
  <sheetProtection algorithmName="SHA-512" hashValue="Jx1Zl1CMTsXvGHjpR9To+t6ano4guaVrL8cB5h2LhGeV7dPwc4ZGHSdNL+Ad8u8DqzrACXIfKAI+8KDLEEKKHA==" saltValue="Dj4+mofRNDoJfTOF4okfWg==" spinCount="100000" sheet="1" objects="1" scenarios="1" formatCells="0" formatColumns="0" formatRows="0"/>
  <mergeCells count="5">
    <mergeCell ref="A5:A6"/>
    <mergeCell ref="B5:C5"/>
    <mergeCell ref="D5:E5"/>
    <mergeCell ref="F5:G5"/>
    <mergeCell ref="J5:J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3"/>
  <sheetViews>
    <sheetView zoomScale="50" zoomScaleNormal="50" zoomScaleSheetLayoutView="55" workbookViewId="0">
      <selection activeCell="B15" sqref="B15"/>
    </sheetView>
  </sheetViews>
  <sheetFormatPr defaultColWidth="8.85546875" defaultRowHeight="15" x14ac:dyDescent="0.25"/>
  <cols>
    <col min="1" max="1" width="30.140625" customWidth="1"/>
    <col min="2" max="2" width="117" customWidth="1"/>
    <col min="3" max="3" width="26.140625" customWidth="1"/>
    <col min="4" max="4" width="38" customWidth="1"/>
    <col min="5" max="5" width="29.85546875" style="19" customWidth="1"/>
    <col min="6" max="6" width="38.7109375" style="11" customWidth="1"/>
    <col min="7" max="7" width="47.140625" customWidth="1"/>
    <col min="8" max="8" width="47.5703125" customWidth="1"/>
    <col min="9" max="9" width="22.7109375" customWidth="1"/>
    <col min="10" max="12" width="28.7109375" customWidth="1"/>
    <col min="13" max="13" width="34.140625" customWidth="1"/>
    <col min="15" max="15" width="10.5703125" bestFit="1" customWidth="1"/>
  </cols>
  <sheetData>
    <row r="1" spans="1:8" ht="21" x14ac:dyDescent="0.35">
      <c r="A1" s="381" t="s">
        <v>138</v>
      </c>
      <c r="B1" s="381"/>
      <c r="C1" s="381"/>
      <c r="D1" s="381"/>
      <c r="E1" s="381"/>
      <c r="F1" s="381"/>
      <c r="G1" s="381"/>
      <c r="H1" s="381"/>
    </row>
    <row r="2" spans="1:8" ht="15.75" x14ac:dyDescent="0.25">
      <c r="A2" s="2"/>
      <c r="B2" s="2"/>
      <c r="C2" s="2"/>
    </row>
    <row r="3" spans="1:8" ht="15.75" x14ac:dyDescent="0.25">
      <c r="A3" s="2" t="s">
        <v>49</v>
      </c>
      <c r="B3" s="2"/>
      <c r="C3" s="2"/>
    </row>
    <row r="5" spans="1:8" ht="15.75" x14ac:dyDescent="0.25">
      <c r="A5" s="2" t="s">
        <v>54</v>
      </c>
    </row>
    <row r="6" spans="1:8" ht="15.75" thickBot="1" x14ac:dyDescent="0.3"/>
    <row r="7" spans="1:8" ht="85.5" customHeight="1" thickBot="1" x14ac:dyDescent="0.3">
      <c r="A7" s="1" t="s">
        <v>0</v>
      </c>
      <c r="B7" s="1" t="s">
        <v>1</v>
      </c>
      <c r="C7" s="18" t="s">
        <v>217</v>
      </c>
      <c r="D7" s="1" t="s">
        <v>55</v>
      </c>
      <c r="E7" s="1" t="s">
        <v>59</v>
      </c>
      <c r="F7" s="18" t="s">
        <v>31</v>
      </c>
      <c r="G7" s="1" t="s">
        <v>56</v>
      </c>
      <c r="H7" s="1" t="s">
        <v>32</v>
      </c>
    </row>
    <row r="8" spans="1:8" ht="41.25" customHeight="1" thickBot="1" x14ac:dyDescent="0.3">
      <c r="A8" s="317" t="s">
        <v>99</v>
      </c>
      <c r="B8" s="318"/>
      <c r="C8" s="318"/>
      <c r="D8" s="318"/>
      <c r="E8" s="318"/>
      <c r="F8" s="318"/>
      <c r="G8" s="319"/>
      <c r="H8" s="315"/>
    </row>
    <row r="9" spans="1:8" s="71" customFormat="1" ht="31.5" customHeight="1" thickBot="1" x14ac:dyDescent="0.3">
      <c r="A9" s="311" t="s">
        <v>2</v>
      </c>
      <c r="B9" s="392" t="s">
        <v>100</v>
      </c>
      <c r="C9" s="392"/>
      <c r="D9" s="392"/>
      <c r="E9" s="392"/>
      <c r="F9" s="392"/>
      <c r="G9" s="392"/>
      <c r="H9" s="316"/>
    </row>
    <row r="10" spans="1:8" ht="33" customHeight="1" x14ac:dyDescent="0.25">
      <c r="A10" s="36" t="s">
        <v>3</v>
      </c>
      <c r="B10" s="37" t="s">
        <v>103</v>
      </c>
      <c r="C10" s="398" t="s">
        <v>157</v>
      </c>
      <c r="D10" s="69">
        <v>7500</v>
      </c>
      <c r="E10" s="57"/>
      <c r="F10" s="52">
        <v>0.15</v>
      </c>
      <c r="G10" s="58">
        <v>1907.8200000000002</v>
      </c>
      <c r="H10" s="59">
        <v>0</v>
      </c>
    </row>
    <row r="11" spans="1:8" ht="33" customHeight="1" x14ac:dyDescent="0.25">
      <c r="A11" s="42" t="s">
        <v>4</v>
      </c>
      <c r="B11" s="31" t="s">
        <v>104</v>
      </c>
      <c r="C11" s="399"/>
      <c r="D11" s="56">
        <v>600</v>
      </c>
      <c r="E11" s="55"/>
      <c r="F11" s="31"/>
      <c r="G11" s="56">
        <v>527.62</v>
      </c>
      <c r="H11" s="60">
        <v>0</v>
      </c>
    </row>
    <row r="12" spans="1:8" ht="33" customHeight="1" x14ac:dyDescent="0.25">
      <c r="A12" s="42" t="s">
        <v>5</v>
      </c>
      <c r="B12" s="31" t="s">
        <v>105</v>
      </c>
      <c r="C12" s="399"/>
      <c r="D12" s="56">
        <v>4500</v>
      </c>
      <c r="E12" s="55"/>
      <c r="F12" s="50">
        <v>0.15</v>
      </c>
      <c r="G12" s="56">
        <v>680.59999999999991</v>
      </c>
      <c r="H12" s="60">
        <v>0</v>
      </c>
    </row>
    <row r="13" spans="1:8" ht="33" customHeight="1" x14ac:dyDescent="0.25">
      <c r="A13" s="42" t="s">
        <v>106</v>
      </c>
      <c r="B13" s="31" t="s">
        <v>107</v>
      </c>
      <c r="C13" s="399"/>
      <c r="D13" s="56">
        <v>2250</v>
      </c>
      <c r="E13" s="55"/>
      <c r="F13" s="50">
        <v>0.15</v>
      </c>
      <c r="G13" s="56">
        <v>675</v>
      </c>
      <c r="H13" s="60">
        <v>0</v>
      </c>
    </row>
    <row r="14" spans="1:8" ht="33" customHeight="1" x14ac:dyDescent="0.25">
      <c r="A14" s="42" t="s">
        <v>108</v>
      </c>
      <c r="B14" s="31" t="s">
        <v>109</v>
      </c>
      <c r="C14" s="399"/>
      <c r="D14" s="56">
        <v>6300</v>
      </c>
      <c r="E14" s="55"/>
      <c r="F14" s="50">
        <v>0.15</v>
      </c>
      <c r="G14" s="56">
        <v>0</v>
      </c>
      <c r="H14" s="60">
        <v>0</v>
      </c>
    </row>
    <row r="15" spans="1:8" ht="33" customHeight="1" x14ac:dyDescent="0.25">
      <c r="A15" s="42" t="s">
        <v>110</v>
      </c>
      <c r="B15" s="31" t="s">
        <v>111</v>
      </c>
      <c r="C15" s="399"/>
      <c r="D15" s="56">
        <v>4000</v>
      </c>
      <c r="E15" s="55"/>
      <c r="F15" s="50">
        <v>0.15</v>
      </c>
      <c r="G15" s="56">
        <v>354.75000000000006</v>
      </c>
      <c r="H15" s="60">
        <v>0</v>
      </c>
    </row>
    <row r="16" spans="1:8" ht="52.5" customHeight="1" thickBot="1" x14ac:dyDescent="0.3">
      <c r="A16" s="44" t="s">
        <v>112</v>
      </c>
      <c r="B16" s="45" t="s">
        <v>113</v>
      </c>
      <c r="C16" s="400"/>
      <c r="D16" s="62">
        <v>18000</v>
      </c>
      <c r="E16" s="61"/>
      <c r="F16" s="54"/>
      <c r="G16" s="62">
        <v>11250.84</v>
      </c>
      <c r="H16" s="70"/>
    </row>
    <row r="17" spans="1:8" s="71" customFormat="1" ht="31.5" customHeight="1" thickBot="1" x14ac:dyDescent="0.3">
      <c r="A17" s="49" t="s">
        <v>6</v>
      </c>
      <c r="B17" s="385" t="s">
        <v>101</v>
      </c>
      <c r="C17" s="385"/>
      <c r="D17" s="385"/>
      <c r="E17" s="385"/>
      <c r="F17" s="385"/>
      <c r="G17" s="385"/>
      <c r="H17" s="385"/>
    </row>
    <row r="18" spans="1:8" ht="46.5" customHeight="1" thickBot="1" x14ac:dyDescent="0.3">
      <c r="A18" s="64" t="s">
        <v>7</v>
      </c>
      <c r="B18" s="65" t="s">
        <v>114</v>
      </c>
      <c r="C18" s="168" t="s">
        <v>157</v>
      </c>
      <c r="D18" s="66">
        <v>31500</v>
      </c>
      <c r="E18" s="67"/>
      <c r="F18" s="65"/>
      <c r="G18" s="66"/>
      <c r="H18" s="68">
        <v>0</v>
      </c>
    </row>
    <row r="19" spans="1:8" s="71" customFormat="1" ht="31.5" customHeight="1" thickBot="1" x14ac:dyDescent="0.3">
      <c r="A19" s="49" t="s">
        <v>8</v>
      </c>
      <c r="B19" s="385" t="s">
        <v>102</v>
      </c>
      <c r="C19" s="385"/>
      <c r="D19" s="385"/>
      <c r="E19" s="385"/>
      <c r="F19" s="385"/>
      <c r="G19" s="385"/>
      <c r="H19" s="385"/>
    </row>
    <row r="20" spans="1:8" ht="49.5" customHeight="1" x14ac:dyDescent="0.25">
      <c r="A20" s="36" t="s">
        <v>9</v>
      </c>
      <c r="B20" s="37" t="s">
        <v>115</v>
      </c>
      <c r="C20" s="398" t="s">
        <v>157</v>
      </c>
      <c r="D20" s="38">
        <v>10000</v>
      </c>
      <c r="E20" s="57"/>
      <c r="F20" s="37"/>
      <c r="G20" s="58">
        <v>2024.21</v>
      </c>
      <c r="H20" s="59">
        <v>0</v>
      </c>
    </row>
    <row r="21" spans="1:8" ht="49.5" customHeight="1" x14ac:dyDescent="0.25">
      <c r="A21" s="42" t="s">
        <v>10</v>
      </c>
      <c r="B21" s="31" t="s">
        <v>116</v>
      </c>
      <c r="C21" s="399"/>
      <c r="D21" s="32">
        <v>4000</v>
      </c>
      <c r="E21" s="55"/>
      <c r="F21" s="50">
        <v>0.25</v>
      </c>
      <c r="G21" s="56">
        <v>13.54</v>
      </c>
      <c r="H21" s="60">
        <v>0</v>
      </c>
    </row>
    <row r="22" spans="1:8" ht="49.5" customHeight="1" x14ac:dyDescent="0.25">
      <c r="A22" s="42" t="s">
        <v>11</v>
      </c>
      <c r="B22" s="31" t="s">
        <v>117</v>
      </c>
      <c r="C22" s="399"/>
      <c r="D22" s="32">
        <v>200</v>
      </c>
      <c r="E22" s="55"/>
      <c r="F22" s="31"/>
      <c r="G22" s="56">
        <v>0</v>
      </c>
      <c r="H22" s="60">
        <v>0</v>
      </c>
    </row>
    <row r="23" spans="1:8" ht="49.5" customHeight="1" x14ac:dyDescent="0.25">
      <c r="A23" s="42" t="s">
        <v>118</v>
      </c>
      <c r="B23" s="31" t="s">
        <v>119</v>
      </c>
      <c r="C23" s="399"/>
      <c r="D23" s="32">
        <v>700</v>
      </c>
      <c r="E23" s="55"/>
      <c r="F23" s="31"/>
      <c r="G23" s="56">
        <v>261.45999999999998</v>
      </c>
      <c r="H23" s="60">
        <v>0</v>
      </c>
    </row>
    <row r="24" spans="1:8" ht="78" customHeight="1" x14ac:dyDescent="0.25">
      <c r="A24" s="42" t="s">
        <v>120</v>
      </c>
      <c r="B24" s="31" t="s">
        <v>121</v>
      </c>
      <c r="C24" s="399"/>
      <c r="D24" s="32">
        <v>7000</v>
      </c>
      <c r="E24" s="55"/>
      <c r="F24" s="31"/>
      <c r="G24" s="56">
        <v>1496</v>
      </c>
      <c r="H24" s="60">
        <v>1496</v>
      </c>
    </row>
    <row r="25" spans="1:8" ht="29.25" customHeight="1" x14ac:dyDescent="0.25">
      <c r="A25" s="42" t="s">
        <v>122</v>
      </c>
      <c r="B25" s="31" t="s">
        <v>123</v>
      </c>
      <c r="C25" s="399"/>
      <c r="D25" s="32">
        <v>3000</v>
      </c>
      <c r="E25" s="55"/>
      <c r="F25" s="31"/>
      <c r="G25" s="56">
        <v>0</v>
      </c>
      <c r="H25" s="60">
        <v>0</v>
      </c>
    </row>
    <row r="26" spans="1:8" ht="41.25" customHeight="1" x14ac:dyDescent="0.25">
      <c r="A26" s="42" t="s">
        <v>124</v>
      </c>
      <c r="B26" s="31" t="s">
        <v>125</v>
      </c>
      <c r="C26" s="399"/>
      <c r="D26" s="32">
        <v>2400</v>
      </c>
      <c r="E26" s="55"/>
      <c r="F26" s="50">
        <v>0.25</v>
      </c>
      <c r="G26" s="56"/>
      <c r="H26" s="60">
        <v>0</v>
      </c>
    </row>
    <row r="27" spans="1:8" ht="33.75" customHeight="1" x14ac:dyDescent="0.25">
      <c r="A27" s="42" t="s">
        <v>126</v>
      </c>
      <c r="B27" s="31" t="s">
        <v>127</v>
      </c>
      <c r="C27" s="399"/>
      <c r="D27" s="32">
        <v>1467</v>
      </c>
      <c r="E27" s="55"/>
      <c r="F27" s="31"/>
      <c r="G27" s="56">
        <v>742.02</v>
      </c>
      <c r="H27" s="60">
        <v>0</v>
      </c>
    </row>
    <row r="28" spans="1:8" ht="39" customHeight="1" thickBot="1" x14ac:dyDescent="0.3">
      <c r="A28" s="44" t="s">
        <v>128</v>
      </c>
      <c r="B28" s="45" t="s">
        <v>129</v>
      </c>
      <c r="C28" s="400"/>
      <c r="D28" s="46">
        <v>15350</v>
      </c>
      <c r="E28" s="61"/>
      <c r="F28" s="45"/>
      <c r="G28" s="62">
        <v>6482.76</v>
      </c>
      <c r="H28" s="63">
        <v>0</v>
      </c>
    </row>
    <row r="29" spans="1:8" ht="31.5" customHeight="1" thickBot="1" x14ac:dyDescent="0.3">
      <c r="A29" s="382" t="s">
        <v>130</v>
      </c>
      <c r="B29" s="383"/>
      <c r="C29" s="96"/>
      <c r="D29" s="98">
        <f>SUM(D10:D16,D18,D20:D28)</f>
        <v>118767</v>
      </c>
      <c r="E29" s="95"/>
      <c r="F29" s="95"/>
      <c r="G29" s="98">
        <f>SUM(G10:G16,G20:G28)</f>
        <v>26416.620000000003</v>
      </c>
      <c r="H29" s="95"/>
    </row>
    <row r="30" spans="1:8" ht="41.25" customHeight="1" thickBot="1" x14ac:dyDescent="0.3">
      <c r="A30" s="317" t="s">
        <v>57</v>
      </c>
      <c r="B30" s="318"/>
      <c r="C30" s="318"/>
      <c r="D30" s="318"/>
      <c r="E30" s="318"/>
      <c r="F30" s="318"/>
      <c r="G30" s="319"/>
      <c r="H30" s="315"/>
    </row>
    <row r="31" spans="1:8" ht="31.5" customHeight="1" thickBot="1" x14ac:dyDescent="0.3">
      <c r="A31" s="30" t="s">
        <v>12</v>
      </c>
      <c r="B31" s="389" t="s">
        <v>58</v>
      </c>
      <c r="C31" s="390"/>
      <c r="D31" s="390"/>
      <c r="E31" s="390"/>
      <c r="F31" s="390"/>
      <c r="G31" s="390"/>
      <c r="H31" s="391"/>
    </row>
    <row r="32" spans="1:8" ht="64.5" customHeight="1" x14ac:dyDescent="0.25">
      <c r="A32" s="36" t="s">
        <v>13</v>
      </c>
      <c r="B32" s="37" t="s">
        <v>60</v>
      </c>
      <c r="C32" s="398" t="s">
        <v>153</v>
      </c>
      <c r="D32" s="38">
        <v>56184.32</v>
      </c>
      <c r="E32" s="38">
        <v>56184.32</v>
      </c>
      <c r="F32" s="52">
        <v>1</v>
      </c>
      <c r="G32" s="38">
        <v>56184.32</v>
      </c>
      <c r="H32" s="41" t="s">
        <v>83</v>
      </c>
    </row>
    <row r="33" spans="1:10" ht="85.5" customHeight="1" thickBot="1" x14ac:dyDescent="0.3">
      <c r="A33" s="44" t="s">
        <v>14</v>
      </c>
      <c r="B33" s="45" t="s">
        <v>86</v>
      </c>
      <c r="C33" s="400"/>
      <c r="D33" s="46">
        <v>27018.47</v>
      </c>
      <c r="E33" s="46">
        <v>27018.47</v>
      </c>
      <c r="F33" s="54">
        <v>1</v>
      </c>
      <c r="G33" s="46">
        <v>27018.47</v>
      </c>
      <c r="H33" s="48" t="s">
        <v>83</v>
      </c>
    </row>
    <row r="34" spans="1:10" ht="41.25" customHeight="1" thickBot="1" x14ac:dyDescent="0.3">
      <c r="A34" s="49" t="s">
        <v>15</v>
      </c>
      <c r="B34" s="389" t="s">
        <v>84</v>
      </c>
      <c r="C34" s="390"/>
      <c r="D34" s="390"/>
      <c r="E34" s="390"/>
      <c r="F34" s="390"/>
      <c r="G34" s="390"/>
      <c r="H34" s="391"/>
    </row>
    <row r="35" spans="1:10" ht="138.75" customHeight="1" x14ac:dyDescent="0.25">
      <c r="A35" s="36" t="s">
        <v>16</v>
      </c>
      <c r="B35" s="37" t="s">
        <v>61</v>
      </c>
      <c r="C35" s="398" t="s">
        <v>153</v>
      </c>
      <c r="D35" s="38">
        <v>12000</v>
      </c>
      <c r="E35" s="38">
        <v>8000</v>
      </c>
      <c r="F35" s="52">
        <v>1</v>
      </c>
      <c r="G35" s="38">
        <v>8000</v>
      </c>
      <c r="H35" s="53" t="s">
        <v>85</v>
      </c>
    </row>
    <row r="36" spans="1:10" ht="97.5" customHeight="1" thickBot="1" x14ac:dyDescent="0.3">
      <c r="A36" s="44" t="s">
        <v>17</v>
      </c>
      <c r="B36" s="45" t="s">
        <v>137</v>
      </c>
      <c r="C36" s="400"/>
      <c r="D36" s="46">
        <v>47818.47</v>
      </c>
      <c r="E36" s="46">
        <v>42816.84</v>
      </c>
      <c r="F36" s="54">
        <v>0.8</v>
      </c>
      <c r="G36" s="46">
        <v>0</v>
      </c>
      <c r="H36" s="48" t="s">
        <v>62</v>
      </c>
    </row>
    <row r="37" spans="1:10" ht="44.25" customHeight="1" thickBot="1" x14ac:dyDescent="0.3">
      <c r="A37" s="49" t="s">
        <v>18</v>
      </c>
      <c r="B37" s="386" t="s">
        <v>63</v>
      </c>
      <c r="C37" s="387"/>
      <c r="D37" s="387"/>
      <c r="E37" s="387"/>
      <c r="F37" s="387"/>
      <c r="G37" s="387"/>
      <c r="H37" s="388"/>
    </row>
    <row r="38" spans="1:10" ht="42.75" customHeight="1" x14ac:dyDescent="0.25">
      <c r="A38" s="36" t="s">
        <v>19</v>
      </c>
      <c r="B38" s="37" t="s">
        <v>66</v>
      </c>
      <c r="C38" s="398" t="s">
        <v>153</v>
      </c>
      <c r="D38" s="38">
        <v>22375.55</v>
      </c>
      <c r="E38" s="39">
        <v>7775.55</v>
      </c>
      <c r="F38" s="40">
        <v>1</v>
      </c>
      <c r="G38" s="38">
        <v>0</v>
      </c>
      <c r="H38" s="41"/>
    </row>
    <row r="39" spans="1:10" ht="89.25" customHeight="1" x14ac:dyDescent="0.25">
      <c r="A39" s="42" t="s">
        <v>20</v>
      </c>
      <c r="B39" s="31" t="s">
        <v>69</v>
      </c>
      <c r="C39" s="399"/>
      <c r="D39" s="32"/>
      <c r="E39" s="33">
        <v>2500</v>
      </c>
      <c r="F39" s="34"/>
      <c r="G39" s="32"/>
      <c r="H39" s="43" t="s">
        <v>87</v>
      </c>
    </row>
    <row r="40" spans="1:10" ht="33.75" customHeight="1" x14ac:dyDescent="0.25">
      <c r="A40" s="42" t="s">
        <v>21</v>
      </c>
      <c r="B40" s="31" t="s">
        <v>132</v>
      </c>
      <c r="C40" s="399"/>
      <c r="D40" s="32"/>
      <c r="E40" s="33">
        <v>10000</v>
      </c>
      <c r="F40" s="34">
        <f>G40/E40</f>
        <v>0.8</v>
      </c>
      <c r="G40" s="32">
        <v>8000</v>
      </c>
      <c r="H40" s="43"/>
    </row>
    <row r="41" spans="1:10" ht="57" customHeight="1" x14ac:dyDescent="0.25">
      <c r="A41" s="42" t="s">
        <v>64</v>
      </c>
      <c r="B41" s="31" t="s">
        <v>67</v>
      </c>
      <c r="C41" s="399"/>
      <c r="D41" s="32">
        <v>9518.4699999999993</v>
      </c>
      <c r="E41" s="33">
        <v>2500</v>
      </c>
      <c r="F41" s="34">
        <v>1</v>
      </c>
      <c r="G41" s="32"/>
      <c r="H41" s="43" t="s">
        <v>68</v>
      </c>
    </row>
    <row r="42" spans="1:10" ht="64.5" customHeight="1" x14ac:dyDescent="0.25">
      <c r="A42" s="42" t="s">
        <v>65</v>
      </c>
      <c r="B42" s="31" t="s">
        <v>70</v>
      </c>
      <c r="C42" s="399"/>
      <c r="D42" s="31"/>
      <c r="E42" s="32">
        <v>6000</v>
      </c>
      <c r="F42" s="34">
        <v>1</v>
      </c>
      <c r="G42" s="32">
        <v>6000</v>
      </c>
      <c r="H42" s="43" t="s">
        <v>89</v>
      </c>
    </row>
    <row r="43" spans="1:10" ht="69.75" customHeight="1" x14ac:dyDescent="0.25">
      <c r="A43" s="42" t="s">
        <v>65</v>
      </c>
      <c r="B43" s="31" t="s">
        <v>72</v>
      </c>
      <c r="C43" s="399"/>
      <c r="D43" s="31"/>
      <c r="E43" s="32">
        <v>4000</v>
      </c>
      <c r="F43" s="35">
        <v>1</v>
      </c>
      <c r="G43" s="32">
        <v>4000</v>
      </c>
      <c r="H43" s="43" t="s">
        <v>88</v>
      </c>
    </row>
    <row r="44" spans="1:10" ht="69.75" customHeight="1" thickBot="1" x14ac:dyDescent="0.3">
      <c r="A44" s="44" t="s">
        <v>73</v>
      </c>
      <c r="B44" s="45" t="s">
        <v>74</v>
      </c>
      <c r="C44" s="400"/>
      <c r="D44" s="45"/>
      <c r="E44" s="46">
        <v>8120.1</v>
      </c>
      <c r="F44" s="47">
        <v>1</v>
      </c>
      <c r="G44" s="46">
        <v>8120</v>
      </c>
      <c r="H44" s="48" t="s">
        <v>71</v>
      </c>
      <c r="J44" s="10"/>
    </row>
    <row r="45" spans="1:10" ht="39" customHeight="1" thickBot="1" x14ac:dyDescent="0.3">
      <c r="A45" s="382" t="s">
        <v>133</v>
      </c>
      <c r="B45" s="383"/>
      <c r="C45" s="96"/>
      <c r="D45" s="99">
        <f>SUM(D32:D33,D35:D36,D38:D44)</f>
        <v>174915.28</v>
      </c>
      <c r="E45" s="99">
        <f>SUM(E32:E33,E35:E36,E38:E44)</f>
        <v>174915.28</v>
      </c>
      <c r="F45" s="95"/>
      <c r="G45" s="99">
        <f>SUM(G32:G33,G35:G36,G38:G44)</f>
        <v>117322.79000000001</v>
      </c>
      <c r="H45" s="95"/>
    </row>
    <row r="46" spans="1:10" ht="41.25" customHeight="1" thickBot="1" x14ac:dyDescent="0.3">
      <c r="A46" s="317" t="s">
        <v>77</v>
      </c>
      <c r="B46" s="318"/>
      <c r="C46" s="318"/>
      <c r="D46" s="318"/>
      <c r="E46" s="318"/>
      <c r="F46" s="318"/>
      <c r="G46" s="319"/>
      <c r="H46" s="315"/>
    </row>
    <row r="47" spans="1:10" ht="44.25" customHeight="1" thickBot="1" x14ac:dyDescent="0.3">
      <c r="A47" s="72" t="s">
        <v>22</v>
      </c>
      <c r="B47" s="395" t="s">
        <v>90</v>
      </c>
      <c r="C47" s="396"/>
      <c r="D47" s="396"/>
      <c r="E47" s="396"/>
      <c r="F47" s="396"/>
      <c r="G47" s="396"/>
      <c r="H47" s="397"/>
    </row>
    <row r="48" spans="1:10" ht="26.25" customHeight="1" x14ac:dyDescent="0.25">
      <c r="A48" s="79" t="s">
        <v>23</v>
      </c>
      <c r="B48" s="80" t="s">
        <v>78</v>
      </c>
      <c r="C48" s="401" t="s">
        <v>218</v>
      </c>
      <c r="D48" s="81">
        <f>1343.49+225956.51</f>
        <v>227300</v>
      </c>
      <c r="E48" s="81">
        <v>177300</v>
      </c>
      <c r="F48" s="82">
        <v>0.1</v>
      </c>
      <c r="G48" s="39">
        <f>101741.12+15779.71</f>
        <v>117520.82999999999</v>
      </c>
      <c r="H48" s="83"/>
    </row>
    <row r="49" spans="1:15" ht="26.25" customHeight="1" x14ac:dyDescent="0.25">
      <c r="A49" s="84" t="s">
        <v>24</v>
      </c>
      <c r="B49" s="51" t="s">
        <v>82</v>
      </c>
      <c r="C49" s="402"/>
      <c r="D49" s="73">
        <v>2000</v>
      </c>
      <c r="E49" s="73">
        <v>2000</v>
      </c>
      <c r="F49" s="74"/>
      <c r="G49" s="33">
        <v>0</v>
      </c>
      <c r="H49" s="85"/>
    </row>
    <row r="50" spans="1:15" ht="26.25" customHeight="1" x14ac:dyDescent="0.25">
      <c r="A50" s="84" t="s">
        <v>25</v>
      </c>
      <c r="B50" s="51" t="s">
        <v>79</v>
      </c>
      <c r="C50" s="402"/>
      <c r="D50" s="73">
        <v>19600</v>
      </c>
      <c r="E50" s="73">
        <v>19600</v>
      </c>
      <c r="F50" s="74"/>
      <c r="G50" s="33">
        <v>13460.12</v>
      </c>
      <c r="H50" s="85"/>
      <c r="J50" s="22"/>
    </row>
    <row r="51" spans="1:15" ht="40.5" customHeight="1" x14ac:dyDescent="0.25">
      <c r="A51" s="84" t="s">
        <v>75</v>
      </c>
      <c r="B51" s="51" t="s">
        <v>91</v>
      </c>
      <c r="C51" s="402"/>
      <c r="D51" s="73">
        <v>14373.83</v>
      </c>
      <c r="E51" s="73">
        <v>14373.83</v>
      </c>
      <c r="F51" s="74"/>
      <c r="G51" s="33">
        <v>7400</v>
      </c>
      <c r="H51" s="85"/>
    </row>
    <row r="52" spans="1:15" ht="40.5" customHeight="1" x14ac:dyDescent="0.25">
      <c r="A52" s="84" t="s">
        <v>76</v>
      </c>
      <c r="B52" s="51" t="s">
        <v>92</v>
      </c>
      <c r="C52" s="402"/>
      <c r="D52" s="73">
        <v>27800</v>
      </c>
      <c r="E52" s="73">
        <v>27800</v>
      </c>
      <c r="F52" s="74"/>
      <c r="G52" s="33">
        <v>9950</v>
      </c>
      <c r="H52" s="85"/>
    </row>
    <row r="53" spans="1:15" ht="31.5" customHeight="1" x14ac:dyDescent="0.25">
      <c r="A53" s="86" t="s">
        <v>26</v>
      </c>
      <c r="B53" s="31" t="s">
        <v>80</v>
      </c>
      <c r="C53" s="402"/>
      <c r="D53" s="31"/>
      <c r="E53" s="31"/>
      <c r="F53" s="76">
        <v>0</v>
      </c>
      <c r="G53" s="31"/>
      <c r="H53" s="43"/>
    </row>
    <row r="54" spans="1:15" ht="27" customHeight="1" x14ac:dyDescent="0.25">
      <c r="A54" s="42" t="s">
        <v>27</v>
      </c>
      <c r="B54" s="31" t="s">
        <v>93</v>
      </c>
      <c r="C54" s="402"/>
      <c r="D54" s="77">
        <v>2600</v>
      </c>
      <c r="E54" s="77">
        <v>2600</v>
      </c>
      <c r="F54" s="78"/>
      <c r="G54" s="32">
        <v>0</v>
      </c>
      <c r="H54" s="43"/>
    </row>
    <row r="55" spans="1:15" ht="31.5" customHeight="1" x14ac:dyDescent="0.25">
      <c r="A55" s="86" t="s">
        <v>28</v>
      </c>
      <c r="B55" s="31" t="s">
        <v>81</v>
      </c>
      <c r="C55" s="402"/>
      <c r="D55" s="31"/>
      <c r="E55" s="31"/>
      <c r="F55" s="76">
        <v>0.25</v>
      </c>
      <c r="G55" s="32"/>
      <c r="H55" s="43"/>
      <c r="J55" s="10"/>
    </row>
    <row r="56" spans="1:15" ht="29.25" customHeight="1" thickBot="1" x14ac:dyDescent="0.3">
      <c r="A56" s="44" t="s">
        <v>29</v>
      </c>
      <c r="B56" s="45" t="s">
        <v>94</v>
      </c>
      <c r="C56" s="403"/>
      <c r="D56" s="87">
        <v>36700</v>
      </c>
      <c r="E56" s="87">
        <v>36700</v>
      </c>
      <c r="F56" s="88">
        <v>0.25</v>
      </c>
      <c r="G56" s="46">
        <v>36700</v>
      </c>
      <c r="H56" s="48"/>
    </row>
    <row r="57" spans="1:15" ht="30.75" customHeight="1" thickBot="1" x14ac:dyDescent="0.3">
      <c r="A57" s="382" t="s">
        <v>134</v>
      </c>
      <c r="B57" s="383"/>
      <c r="C57" s="167"/>
      <c r="D57" s="100">
        <f>SUM(D48:D56)</f>
        <v>330373.83</v>
      </c>
      <c r="E57" s="100">
        <f>SUM(E48:E56)</f>
        <v>280373.82999999996</v>
      </c>
      <c r="F57" s="49"/>
      <c r="G57" s="109">
        <f>SUM(G48:G56)</f>
        <v>185030.94999999998</v>
      </c>
      <c r="H57" s="49"/>
    </row>
    <row r="58" spans="1:15" ht="62.25" customHeight="1" x14ac:dyDescent="0.25">
      <c r="A58" s="36" t="s">
        <v>50</v>
      </c>
      <c r="B58" s="90"/>
      <c r="C58" s="90"/>
      <c r="D58" s="38">
        <v>10890.004800000001</v>
      </c>
      <c r="E58" s="90"/>
      <c r="F58" s="91"/>
      <c r="G58" s="90"/>
      <c r="H58" s="92"/>
    </row>
    <row r="59" spans="1:15" ht="50.25" customHeight="1" x14ac:dyDescent="0.25">
      <c r="A59" s="42" t="s">
        <v>51</v>
      </c>
      <c r="B59" s="75"/>
      <c r="C59" s="75"/>
      <c r="D59" s="32">
        <v>45258.282200000001</v>
      </c>
      <c r="E59" s="75"/>
      <c r="F59" s="89"/>
      <c r="G59" s="75"/>
      <c r="H59" s="93"/>
    </row>
    <row r="60" spans="1:15" ht="34.5" customHeight="1" thickBot="1" x14ac:dyDescent="0.3">
      <c r="A60" s="44" t="s">
        <v>52</v>
      </c>
      <c r="B60" s="45" t="s">
        <v>30</v>
      </c>
      <c r="C60" s="45"/>
      <c r="D60" s="45"/>
      <c r="E60" s="45"/>
      <c r="F60" s="94"/>
      <c r="G60" s="45"/>
      <c r="H60" s="48"/>
      <c r="K60" s="29"/>
      <c r="M60" s="10"/>
    </row>
    <row r="61" spans="1:15" ht="29.45" customHeight="1" thickBot="1" x14ac:dyDescent="0.3">
      <c r="A61" s="382" t="s">
        <v>136</v>
      </c>
      <c r="B61" s="384"/>
      <c r="C61" s="97"/>
      <c r="D61" s="101">
        <f>SUM(D29,D45,D57,D58:D60)</f>
        <v>680204.39700000011</v>
      </c>
      <c r="E61" s="106">
        <f>SUM(E45,E57)</f>
        <v>455289.11</v>
      </c>
      <c r="F61" s="23"/>
      <c r="G61" s="110">
        <f>SUM(G29,G45,G57)</f>
        <v>328770.36</v>
      </c>
      <c r="H61" s="24"/>
      <c r="K61" s="29"/>
      <c r="M61" s="10"/>
    </row>
    <row r="62" spans="1:15" ht="29.45" customHeight="1" thickBot="1" x14ac:dyDescent="0.3">
      <c r="A62" s="404" t="s">
        <v>135</v>
      </c>
      <c r="B62" s="405"/>
      <c r="C62" s="102"/>
      <c r="D62" s="103">
        <f>D61*0.07</f>
        <v>47614.307790000013</v>
      </c>
      <c r="E62" s="107"/>
      <c r="F62" s="25"/>
      <c r="G62" s="107">
        <f>G61*0.07</f>
        <v>23013.925200000001</v>
      </c>
      <c r="H62" s="26"/>
      <c r="K62" s="29"/>
      <c r="M62" s="10"/>
      <c r="O62" s="29"/>
    </row>
    <row r="63" spans="1:15" ht="34.15" customHeight="1" thickBot="1" x14ac:dyDescent="0.3">
      <c r="A63" s="393" t="s">
        <v>131</v>
      </c>
      <c r="B63" s="394"/>
      <c r="C63" s="104"/>
      <c r="D63" s="105">
        <f>SUM(D61:D62)</f>
        <v>727818.70479000011</v>
      </c>
      <c r="E63" s="108">
        <f>SUM(E61:E62)</f>
        <v>455289.11</v>
      </c>
      <c r="F63" s="27"/>
      <c r="G63" s="105">
        <f>SUM(G61:G62)</f>
        <v>351784.28519999998</v>
      </c>
      <c r="H63" s="28"/>
      <c r="K63" s="29"/>
      <c r="M63" s="10"/>
    </row>
    <row r="67" spans="5:5" x14ac:dyDescent="0.25">
      <c r="E67" s="20"/>
    </row>
    <row r="68" spans="5:5" x14ac:dyDescent="0.25">
      <c r="E68" s="20"/>
    </row>
    <row r="69" spans="5:5" ht="25.5" customHeight="1" x14ac:dyDescent="0.25">
      <c r="E69" s="20"/>
    </row>
    <row r="70" spans="5:5" x14ac:dyDescent="0.25">
      <c r="E70" s="21"/>
    </row>
    <row r="71" spans="5:5" x14ac:dyDescent="0.25">
      <c r="E71" s="20"/>
    </row>
    <row r="72" spans="5:5" x14ac:dyDescent="0.25">
      <c r="E72" s="20"/>
    </row>
    <row r="73" spans="5:5" x14ac:dyDescent="0.25">
      <c r="E73" s="20"/>
    </row>
  </sheetData>
  <sheetProtection algorithmName="SHA-512" hashValue="qO42vzanM5kZLhsrzI1o4W8qI8noerQMH4jrs4uIWoCe/WMO1c2hwH1cczSSSN1tSdlYE6aLsba0ZUaZCyZJcg==" saltValue="kacutxN5YtTfQruayLh6Rg==" spinCount="100000" sheet="1" objects="1" scenarios="1" formatCells="0" formatColumns="0" formatRows="0"/>
  <mergeCells count="23">
    <mergeCell ref="A63:B63"/>
    <mergeCell ref="B47:H47"/>
    <mergeCell ref="C10:C16"/>
    <mergeCell ref="C20:C28"/>
    <mergeCell ref="C32:C33"/>
    <mergeCell ref="C35:C36"/>
    <mergeCell ref="C38:C44"/>
    <mergeCell ref="C48:C56"/>
    <mergeCell ref="A62:B62"/>
    <mergeCell ref="A30:G30"/>
    <mergeCell ref="A46:G46"/>
    <mergeCell ref="A1:H1"/>
    <mergeCell ref="A45:B45"/>
    <mergeCell ref="A57:B57"/>
    <mergeCell ref="A61:B61"/>
    <mergeCell ref="A29:B29"/>
    <mergeCell ref="B17:H17"/>
    <mergeCell ref="B19:H19"/>
    <mergeCell ref="B37:H37"/>
    <mergeCell ref="B34:H34"/>
    <mergeCell ref="B31:H31"/>
    <mergeCell ref="A8:G8"/>
    <mergeCell ref="B9:G9"/>
  </mergeCells>
  <pageMargins left="0.25" right="0.25" top="0.75" bottom="0.75" header="0.3" footer="0.3"/>
  <pageSetup scale="35" fitToHeight="0" orientation="landscape" r:id="rId1"/>
  <rowBreaks count="2" manualBreakCount="2">
    <brk id="34" max="6" man="1"/>
    <brk id="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topLeftCell="A4" workbookViewId="0">
      <selection activeCell="Q11" sqref="Q11"/>
    </sheetView>
  </sheetViews>
  <sheetFormatPr defaultColWidth="8.85546875" defaultRowHeight="15" x14ac:dyDescent="0.25"/>
  <cols>
    <col min="1" max="1" width="15.5703125" customWidth="1"/>
    <col min="2" max="2" width="11.7109375" bestFit="1" customWidth="1"/>
    <col min="4" max="4" width="13.28515625" customWidth="1"/>
    <col min="6" max="6" width="11.7109375" bestFit="1" customWidth="1"/>
    <col min="8" max="8" width="12.5703125" customWidth="1"/>
    <col min="12" max="12" width="11.7109375" bestFit="1" customWidth="1"/>
  </cols>
  <sheetData>
    <row r="1" spans="1:12" ht="15.75" x14ac:dyDescent="0.25">
      <c r="A1" s="2" t="s">
        <v>53</v>
      </c>
      <c r="B1" s="2"/>
      <c r="F1" s="2"/>
      <c r="G1" s="2"/>
    </row>
    <row r="2" spans="1:12" x14ac:dyDescent="0.25">
      <c r="A2" s="9"/>
      <c r="B2" s="9"/>
      <c r="F2" s="9"/>
      <c r="G2" s="9"/>
    </row>
    <row r="3" spans="1:12" x14ac:dyDescent="0.25">
      <c r="A3" s="9" t="s">
        <v>49</v>
      </c>
      <c r="B3" s="9"/>
      <c r="F3" s="9"/>
      <c r="G3" s="9"/>
    </row>
    <row r="4" spans="1:12" ht="15.75" thickBot="1" x14ac:dyDescent="0.3"/>
    <row r="5" spans="1:12" ht="26.25" thickBot="1" x14ac:dyDescent="0.3">
      <c r="A5" s="377" t="s">
        <v>33</v>
      </c>
      <c r="B5" s="379" t="s">
        <v>96</v>
      </c>
      <c r="C5" s="380"/>
      <c r="D5" s="379" t="s">
        <v>98</v>
      </c>
      <c r="E5" s="380"/>
      <c r="F5" s="379" t="s">
        <v>95</v>
      </c>
      <c r="G5" s="380"/>
      <c r="H5" s="379" t="s">
        <v>97</v>
      </c>
      <c r="I5" s="380"/>
      <c r="J5" s="8" t="s">
        <v>46</v>
      </c>
      <c r="K5" s="8" t="s">
        <v>48</v>
      </c>
      <c r="L5" s="377" t="s">
        <v>47</v>
      </c>
    </row>
    <row r="6" spans="1:12" ht="26.25" thickBot="1" x14ac:dyDescent="0.3">
      <c r="A6" s="378"/>
      <c r="B6" s="3" t="s">
        <v>35</v>
      </c>
      <c r="C6" s="3" t="s">
        <v>36</v>
      </c>
      <c r="D6" s="17" t="s">
        <v>35</v>
      </c>
      <c r="E6" s="17" t="s">
        <v>36</v>
      </c>
      <c r="F6" s="3" t="s">
        <v>35</v>
      </c>
      <c r="G6" s="3" t="s">
        <v>36</v>
      </c>
      <c r="H6" s="3" t="s">
        <v>35</v>
      </c>
      <c r="I6" s="3" t="s">
        <v>36</v>
      </c>
      <c r="J6" s="3"/>
      <c r="K6" s="3"/>
      <c r="L6" s="378"/>
    </row>
    <row r="7" spans="1:12" ht="26.25" thickBot="1" x14ac:dyDescent="0.3">
      <c r="A7" s="4" t="s">
        <v>37</v>
      </c>
      <c r="B7" s="12">
        <v>21055.41</v>
      </c>
      <c r="C7" s="5"/>
      <c r="D7" s="16">
        <v>17194.68</v>
      </c>
      <c r="E7" s="5"/>
      <c r="F7" s="12">
        <v>10890</v>
      </c>
      <c r="G7" s="5"/>
      <c r="H7" s="12">
        <v>204000</v>
      </c>
      <c r="I7" s="5"/>
      <c r="J7" s="5"/>
      <c r="K7" s="5"/>
      <c r="L7" s="15">
        <f t="shared" ref="L7:L16" si="0">SUM(F7:K7)</f>
        <v>214890</v>
      </c>
    </row>
    <row r="8" spans="1:12" ht="39" thickBot="1" x14ac:dyDescent="0.3">
      <c r="A8" s="4" t="s">
        <v>38</v>
      </c>
      <c r="B8" s="14">
        <v>0</v>
      </c>
      <c r="C8" s="5"/>
      <c r="D8" s="14">
        <v>0</v>
      </c>
      <c r="E8" s="5"/>
      <c r="F8" s="12">
        <v>3650.37</v>
      </c>
      <c r="G8" s="5"/>
      <c r="H8" s="12">
        <v>2000</v>
      </c>
      <c r="I8" s="5"/>
      <c r="J8" s="5"/>
      <c r="K8" s="5"/>
      <c r="L8" s="15">
        <f t="shared" si="0"/>
        <v>5650.37</v>
      </c>
    </row>
    <row r="9" spans="1:12" ht="64.5" thickBot="1" x14ac:dyDescent="0.3">
      <c r="A9" s="4" t="s">
        <v>39</v>
      </c>
      <c r="B9" s="12">
        <v>20000</v>
      </c>
      <c r="C9" s="5"/>
      <c r="D9" s="16">
        <v>2000</v>
      </c>
      <c r="E9" s="5"/>
      <c r="F9" s="12">
        <v>3700</v>
      </c>
      <c r="G9" s="5"/>
      <c r="H9" s="12">
        <v>0</v>
      </c>
      <c r="I9" s="5"/>
      <c r="J9" s="5"/>
      <c r="K9" s="5"/>
      <c r="L9" s="15">
        <f t="shared" si="0"/>
        <v>3700</v>
      </c>
    </row>
    <row r="10" spans="1:12" ht="26.25" thickBot="1" x14ac:dyDescent="0.3">
      <c r="A10" s="4" t="s">
        <v>40</v>
      </c>
      <c r="B10" s="12">
        <v>119359.87</v>
      </c>
      <c r="C10" s="5"/>
      <c r="D10" s="16">
        <v>61878.55</v>
      </c>
      <c r="E10" s="5"/>
      <c r="F10" s="12">
        <v>37907.78</v>
      </c>
      <c r="G10" s="5"/>
      <c r="H10" s="12">
        <v>64373.83</v>
      </c>
      <c r="I10" s="5"/>
      <c r="J10" s="5"/>
      <c r="K10" s="5"/>
      <c r="L10" s="15">
        <f t="shared" si="0"/>
        <v>102281.61</v>
      </c>
    </row>
    <row r="11" spans="1:12" ht="15.75" thickBot="1" x14ac:dyDescent="0.3">
      <c r="A11" s="4" t="s">
        <v>41</v>
      </c>
      <c r="B11" s="12">
        <v>0</v>
      </c>
      <c r="C11" s="5"/>
      <c r="D11" s="16">
        <v>0</v>
      </c>
      <c r="E11" s="5"/>
      <c r="F11" s="12">
        <v>0</v>
      </c>
      <c r="G11" s="5"/>
      <c r="H11" s="12">
        <v>2600</v>
      </c>
      <c r="I11" s="5"/>
      <c r="J11" s="5"/>
      <c r="K11" s="5"/>
      <c r="L11" s="15">
        <f t="shared" si="0"/>
        <v>2600</v>
      </c>
    </row>
    <row r="12" spans="1:12" ht="39" thickBot="1" x14ac:dyDescent="0.3">
      <c r="A12" s="4" t="s">
        <v>42</v>
      </c>
      <c r="B12" s="12">
        <v>0</v>
      </c>
      <c r="C12" s="5"/>
      <c r="D12" s="16">
        <v>83202.789999999994</v>
      </c>
      <c r="E12" s="5"/>
      <c r="F12" s="12">
        <v>0</v>
      </c>
      <c r="G12" s="5"/>
      <c r="H12" s="12">
        <v>0</v>
      </c>
      <c r="I12" s="5"/>
      <c r="J12" s="5"/>
      <c r="K12" s="5"/>
      <c r="L12" s="15">
        <f t="shared" si="0"/>
        <v>0</v>
      </c>
    </row>
    <row r="13" spans="1:12" ht="39" thickBot="1" x14ac:dyDescent="0.3">
      <c r="A13" s="4" t="s">
        <v>43</v>
      </c>
      <c r="B13" s="12">
        <v>14500</v>
      </c>
      <c r="C13" s="5"/>
      <c r="D13" s="16">
        <v>10639.27</v>
      </c>
      <c r="E13" s="5"/>
      <c r="F13" s="12">
        <v>118767.14</v>
      </c>
      <c r="G13" s="5"/>
      <c r="H13" s="12">
        <v>57400</v>
      </c>
      <c r="I13" s="5"/>
      <c r="J13" s="5"/>
      <c r="K13" s="5"/>
      <c r="L13" s="15">
        <f t="shared" si="0"/>
        <v>176167.14</v>
      </c>
    </row>
    <row r="14" spans="1:12" ht="26.25" thickBot="1" x14ac:dyDescent="0.3">
      <c r="A14" s="6" t="s">
        <v>44</v>
      </c>
      <c r="B14" s="13">
        <f t="shared" ref="B14:D14" si="1">SUM(B7:B13)</f>
        <v>174915.28</v>
      </c>
      <c r="C14" s="13"/>
      <c r="D14" s="13">
        <f t="shared" si="1"/>
        <v>174915.29</v>
      </c>
      <c r="E14" s="13"/>
      <c r="F14" s="13">
        <f>SUM(F7:F13)</f>
        <v>174915.28999999998</v>
      </c>
      <c r="G14" s="7"/>
      <c r="H14" s="13">
        <f t="shared" ref="H14" si="2">SUM(H7:H13)</f>
        <v>330373.83</v>
      </c>
      <c r="I14" s="7"/>
      <c r="J14" s="7"/>
      <c r="K14" s="7"/>
      <c r="L14" s="13">
        <f t="shared" si="0"/>
        <v>505289.12</v>
      </c>
    </row>
    <row r="15" spans="1:12" ht="39" thickBot="1" x14ac:dyDescent="0.3">
      <c r="A15" s="4" t="s">
        <v>45</v>
      </c>
      <c r="B15" s="12">
        <f t="shared" ref="B15" si="3">B14*0.07</f>
        <v>12244.069600000001</v>
      </c>
      <c r="C15" s="12"/>
      <c r="D15" s="16">
        <v>12244.07</v>
      </c>
      <c r="E15" s="12"/>
      <c r="F15" s="12">
        <f>F14*0.07</f>
        <v>12244.070299999999</v>
      </c>
      <c r="G15" s="5"/>
      <c r="H15" s="12">
        <f t="shared" ref="H15" si="4">H14*0.07</f>
        <v>23126.168100000003</v>
      </c>
      <c r="I15" s="5"/>
      <c r="J15" s="5"/>
      <c r="K15" s="5"/>
      <c r="L15" s="12">
        <f t="shared" si="0"/>
        <v>35370.238400000002</v>
      </c>
    </row>
    <row r="16" spans="1:12" ht="15.75" thickBot="1" x14ac:dyDescent="0.3">
      <c r="A16" s="6" t="s">
        <v>34</v>
      </c>
      <c r="B16" s="13">
        <f t="shared" ref="B16:D16" si="5">SUM(B14+B15)</f>
        <v>187159.34959999999</v>
      </c>
      <c r="C16" s="13">
        <v>0</v>
      </c>
      <c r="D16" s="13">
        <f t="shared" si="5"/>
        <v>187159.36000000002</v>
      </c>
      <c r="E16" s="13"/>
      <c r="F16" s="13">
        <f>SUM(F14+F15)</f>
        <v>187159.36029999997</v>
      </c>
      <c r="G16" s="7"/>
      <c r="H16" s="13">
        <f t="shared" ref="H16" si="6">SUM(H14+H15)</f>
        <v>353499.99810000003</v>
      </c>
      <c r="I16" s="7"/>
      <c r="J16" s="7"/>
      <c r="K16" s="7"/>
      <c r="L16" s="13">
        <f t="shared" si="0"/>
        <v>540659.35840000003</v>
      </c>
    </row>
  </sheetData>
  <sheetProtection algorithmName="SHA-512" hashValue="5UxRPiAi3XVeBlAPPo111elYNqFhuhl5Ht1LvIzUWGldep1LjL6fs5Z6S1ORgql0TbcOkTHfaYEvFXZ8nVtNzw==" saltValue="3X5fVmwctPC/OJ1CWvCV+A==" spinCount="100000" sheet="1" objects="1" scenarios="1" formatCells="0" formatColumns="0" formatRows="0"/>
  <mergeCells count="6">
    <mergeCell ref="H5:I5"/>
    <mergeCell ref="L5:L6"/>
    <mergeCell ref="A5:A6"/>
    <mergeCell ref="F5:G5"/>
    <mergeCell ref="B5:C5"/>
    <mergeCell ref="D5:E5"/>
  </mergeCells>
  <pageMargins left="0.7" right="0.7" top="0.75" bottom="0.75" header="0.3" footer="0.3"/>
  <pageSetup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798A0-1CC2-4889-942B-7AFEB3CA8CCD}">
  <sheetPr>
    <pageSetUpPr fitToPage="1"/>
  </sheetPr>
  <dimension ref="A1:O113"/>
  <sheetViews>
    <sheetView tabSelected="1" zoomScale="60" zoomScaleNormal="60" workbookViewId="0">
      <selection activeCell="A9" sqref="A9"/>
    </sheetView>
  </sheetViews>
  <sheetFormatPr defaultColWidth="9.140625" defaultRowHeight="15" x14ac:dyDescent="0.25"/>
  <cols>
    <col min="1" max="1" width="28.7109375" style="111" customWidth="1"/>
    <col min="2" max="2" width="84" style="111" customWidth="1"/>
    <col min="3" max="3" width="18.7109375" style="111" customWidth="1"/>
    <col min="4" max="4" width="26.140625" style="111" customWidth="1"/>
    <col min="5" max="5" width="36.7109375" style="111" customWidth="1"/>
    <col min="6" max="6" width="39.85546875" style="111" customWidth="1"/>
    <col min="7" max="7" width="39.28515625" style="111" customWidth="1"/>
    <col min="8" max="12" width="9.140625" style="111"/>
    <col min="13" max="13" width="14.7109375" style="111" bestFit="1" customWidth="1"/>
    <col min="14" max="16384" width="9.140625" style="111"/>
  </cols>
  <sheetData>
    <row r="1" spans="1:7" ht="21" x14ac:dyDescent="0.35">
      <c r="A1" s="157" t="s">
        <v>160</v>
      </c>
      <c r="B1" s="156"/>
      <c r="C1" s="156"/>
    </row>
    <row r="2" spans="1:7" ht="15.75" x14ac:dyDescent="0.25">
      <c r="A2" s="155"/>
      <c r="B2" s="155"/>
      <c r="C2" s="155"/>
    </row>
    <row r="3" spans="1:7" ht="15.75" x14ac:dyDescent="0.25">
      <c r="A3" s="155" t="s">
        <v>49</v>
      </c>
      <c r="B3" s="155"/>
      <c r="C3" s="155"/>
    </row>
    <row r="5" spans="1:7" ht="15.75" x14ac:dyDescent="0.25">
      <c r="A5" s="155" t="s">
        <v>54</v>
      </c>
    </row>
    <row r="6" spans="1:7" ht="15.75" thickBot="1" x14ac:dyDescent="0.3"/>
    <row r="7" spans="1:7" ht="80.25" customHeight="1" thickBot="1" x14ac:dyDescent="0.3">
      <c r="A7" s="314" t="s">
        <v>0</v>
      </c>
      <c r="B7" s="313" t="s">
        <v>1</v>
      </c>
      <c r="C7" s="463" t="s">
        <v>418</v>
      </c>
      <c r="D7" s="463"/>
      <c r="E7" s="313" t="s">
        <v>31</v>
      </c>
      <c r="F7" s="313" t="s">
        <v>56</v>
      </c>
      <c r="G7" s="312" t="s">
        <v>32</v>
      </c>
    </row>
    <row r="8" spans="1:7" ht="46.5" customHeight="1" thickBot="1" x14ac:dyDescent="0.3">
      <c r="A8" s="317" t="s">
        <v>417</v>
      </c>
      <c r="B8" s="318"/>
      <c r="C8" s="318"/>
      <c r="D8" s="318"/>
      <c r="E8" s="318"/>
      <c r="F8" s="318"/>
      <c r="G8" s="319"/>
    </row>
    <row r="9" spans="1:7" ht="40.5" customHeight="1" thickBot="1" x14ac:dyDescent="0.3">
      <c r="A9" s="311" t="s">
        <v>158</v>
      </c>
      <c r="B9" s="392" t="s">
        <v>416</v>
      </c>
      <c r="C9" s="392"/>
      <c r="D9" s="392"/>
      <c r="E9" s="392"/>
      <c r="F9" s="392"/>
      <c r="G9" s="392"/>
    </row>
    <row r="10" spans="1:7" ht="87" customHeight="1" x14ac:dyDescent="0.25">
      <c r="A10" s="130" t="s">
        <v>415</v>
      </c>
      <c r="B10" s="147" t="s">
        <v>414</v>
      </c>
      <c r="C10" s="310" t="s">
        <v>157</v>
      </c>
      <c r="D10" s="299">
        <v>8000</v>
      </c>
      <c r="E10" s="213">
        <v>0.5</v>
      </c>
      <c r="F10" s="145">
        <f>'[2]2. PRODUCTOS'!$AX$9</f>
        <v>0</v>
      </c>
      <c r="G10" s="152"/>
    </row>
    <row r="11" spans="1:7" ht="105.75" customHeight="1" x14ac:dyDescent="0.25">
      <c r="A11" s="138" t="s">
        <v>413</v>
      </c>
      <c r="B11" s="195" t="s">
        <v>412</v>
      </c>
      <c r="C11" s="309" t="s">
        <v>157</v>
      </c>
      <c r="D11" s="298">
        <f>'[2]2. PRODUCTOS'!$L$10</f>
        <v>1875</v>
      </c>
      <c r="E11" s="214"/>
      <c r="F11" s="307">
        <f>'[2]2. PRODUCTOS'!$AX$10</f>
        <v>0</v>
      </c>
      <c r="G11" s="151"/>
    </row>
    <row r="12" spans="1:7" ht="69.75" customHeight="1" x14ac:dyDescent="0.25">
      <c r="A12" s="138" t="s">
        <v>411</v>
      </c>
      <c r="B12" s="195" t="s">
        <v>410</v>
      </c>
      <c r="C12" s="309" t="s">
        <v>157</v>
      </c>
      <c r="D12" s="298">
        <v>26000</v>
      </c>
      <c r="E12" s="214"/>
      <c r="F12" s="307">
        <f>'[2]2. PRODUCTOS'!$AX$11</f>
        <v>0</v>
      </c>
      <c r="G12" s="151"/>
    </row>
    <row r="13" spans="1:7" ht="75.75" customHeight="1" x14ac:dyDescent="0.25">
      <c r="A13" s="138" t="s">
        <v>409</v>
      </c>
      <c r="B13" s="137" t="s">
        <v>408</v>
      </c>
      <c r="C13" s="309" t="s">
        <v>157</v>
      </c>
      <c r="D13" s="298">
        <f>'[2]2. PRODUCTOS'!$L$12</f>
        <v>57500</v>
      </c>
      <c r="E13" s="214">
        <v>0.5</v>
      </c>
      <c r="F13" s="307">
        <f>'[2]2. PRODUCTOS'!$AX$12</f>
        <v>0</v>
      </c>
      <c r="G13" s="151"/>
    </row>
    <row r="14" spans="1:7" ht="54" customHeight="1" x14ac:dyDescent="0.25">
      <c r="A14" s="138" t="s">
        <v>407</v>
      </c>
      <c r="B14" s="137" t="s">
        <v>406</v>
      </c>
      <c r="C14" s="309" t="s">
        <v>157</v>
      </c>
      <c r="D14" s="298">
        <f>'[2]2. PRODUCTOS'!$L$14</f>
        <v>19000</v>
      </c>
      <c r="E14" s="214"/>
      <c r="F14" s="307">
        <v>4724.3500000000004</v>
      </c>
      <c r="G14" s="151"/>
    </row>
    <row r="15" spans="1:7" ht="66.75" customHeight="1" x14ac:dyDescent="0.25">
      <c r="A15" s="138" t="s">
        <v>405</v>
      </c>
      <c r="B15" s="137" t="s">
        <v>404</v>
      </c>
      <c r="C15" s="309" t="s">
        <v>157</v>
      </c>
      <c r="D15" s="298">
        <f>'[2]2. PRODUCTOS'!$L$15</f>
        <v>89800</v>
      </c>
      <c r="E15" s="214">
        <v>0.5</v>
      </c>
      <c r="F15" s="307">
        <f>'[2]2. PRODUCTOS'!$AX$15</f>
        <v>0</v>
      </c>
      <c r="G15" s="151"/>
    </row>
    <row r="16" spans="1:7" ht="103.5" customHeight="1" x14ac:dyDescent="0.25">
      <c r="A16" s="138" t="s">
        <v>403</v>
      </c>
      <c r="B16" s="137" t="s">
        <v>402</v>
      </c>
      <c r="C16" s="309" t="s">
        <v>157</v>
      </c>
      <c r="D16" s="298">
        <f>'[2]2. PRODUCTOS'!$L$16</f>
        <v>3750</v>
      </c>
      <c r="E16" s="214"/>
      <c r="F16" s="307">
        <f>'[2]2. PRODUCTOS'!$AX$16</f>
        <v>0</v>
      </c>
      <c r="G16" s="151"/>
    </row>
    <row r="17" spans="1:13" ht="66.75" customHeight="1" x14ac:dyDescent="0.25">
      <c r="A17" s="138" t="s">
        <v>401</v>
      </c>
      <c r="B17" s="137" t="s">
        <v>400</v>
      </c>
      <c r="C17" s="309" t="s">
        <v>157</v>
      </c>
      <c r="D17" s="298">
        <f>'[2]2. PRODUCTOS'!$L$17</f>
        <v>654</v>
      </c>
      <c r="E17" s="214"/>
      <c r="F17" s="307">
        <f>'[2]2. PRODUCTOS'!$AX$17</f>
        <v>0</v>
      </c>
      <c r="G17" s="151"/>
    </row>
    <row r="18" spans="1:13" ht="21" customHeight="1" x14ac:dyDescent="0.25">
      <c r="A18" s="138" t="s">
        <v>399</v>
      </c>
      <c r="B18" s="137" t="s">
        <v>379</v>
      </c>
      <c r="C18" s="309" t="s">
        <v>157</v>
      </c>
      <c r="D18" s="308">
        <f>'[2]2. PRODUCTOS'!$L$18</f>
        <v>107000</v>
      </c>
      <c r="E18" s="214"/>
      <c r="F18" s="307">
        <v>54124.47</v>
      </c>
      <c r="G18" s="151"/>
    </row>
    <row r="19" spans="1:13" ht="27.75" customHeight="1" thickBot="1" x14ac:dyDescent="0.3">
      <c r="A19" s="207" t="s">
        <v>398</v>
      </c>
      <c r="B19" s="208" t="s">
        <v>319</v>
      </c>
      <c r="C19" s="306" t="s">
        <v>157</v>
      </c>
      <c r="D19" s="305">
        <f>'[2]2. PRODUCTOS'!$L$19</f>
        <v>24471</v>
      </c>
      <c r="E19" s="215"/>
      <c r="F19" s="141">
        <v>4119.42</v>
      </c>
      <c r="G19" s="161"/>
    </row>
    <row r="20" spans="1:13" ht="45.75" customHeight="1" x14ac:dyDescent="0.25">
      <c r="A20" s="304" t="s">
        <v>6</v>
      </c>
      <c r="B20" s="392" t="s">
        <v>397</v>
      </c>
      <c r="C20" s="392"/>
      <c r="D20" s="392"/>
      <c r="E20" s="392"/>
      <c r="F20" s="392"/>
      <c r="G20" s="452"/>
    </row>
    <row r="21" spans="1:13" ht="39" customHeight="1" x14ac:dyDescent="0.25">
      <c r="A21" s="409" t="s">
        <v>396</v>
      </c>
      <c r="B21" s="409" t="s">
        <v>395</v>
      </c>
      <c r="C21" s="198" t="s">
        <v>218</v>
      </c>
      <c r="D21" s="298">
        <f>'[2]2. PRODUCTOS'!L24</f>
        <v>12000</v>
      </c>
      <c r="E21" s="214"/>
      <c r="F21" s="135">
        <v>6789.8</v>
      </c>
      <c r="G21" s="163"/>
    </row>
    <row r="22" spans="1:13" ht="30.75" customHeight="1" x14ac:dyDescent="0.25">
      <c r="A22" s="410"/>
      <c r="B22" s="410"/>
      <c r="C22" s="198" t="s">
        <v>218</v>
      </c>
      <c r="D22" s="298">
        <f>'[2]2. PRODUCTOS'!L25</f>
        <v>3000</v>
      </c>
      <c r="E22" s="214"/>
      <c r="F22" s="135">
        <v>1292.4100000000001</v>
      </c>
      <c r="G22" s="163"/>
    </row>
    <row r="23" spans="1:13" ht="30.75" customHeight="1" x14ac:dyDescent="0.25">
      <c r="A23" s="410"/>
      <c r="B23" s="410"/>
      <c r="C23" s="198" t="s">
        <v>218</v>
      </c>
      <c r="D23" s="298">
        <f>'[2]2. PRODUCTOS'!L26</f>
        <v>1500</v>
      </c>
      <c r="E23" s="214"/>
      <c r="F23" s="135">
        <v>2596.6</v>
      </c>
      <c r="G23" s="163"/>
    </row>
    <row r="24" spans="1:13" ht="30.75" customHeight="1" x14ac:dyDescent="0.25">
      <c r="A24" s="410"/>
      <c r="B24" s="410"/>
      <c r="C24" s="198" t="s">
        <v>218</v>
      </c>
      <c r="D24" s="298">
        <f>'[2]2. PRODUCTOS'!L27</f>
        <v>1000</v>
      </c>
      <c r="E24" s="214"/>
      <c r="F24" s="135">
        <f>'[2]2. PRODUCTOS'!AX27</f>
        <v>0</v>
      </c>
      <c r="G24" s="163"/>
    </row>
    <row r="25" spans="1:13" ht="30.75" customHeight="1" x14ac:dyDescent="0.25">
      <c r="A25" s="411"/>
      <c r="B25" s="411"/>
      <c r="C25" s="198" t="s">
        <v>157</v>
      </c>
      <c r="D25" s="298">
        <f>'[2]2. PRODUCTOS'!L28</f>
        <v>9000</v>
      </c>
      <c r="E25" s="214"/>
      <c r="F25" s="135">
        <f>'[2]2. PRODUCTOS'!AX28</f>
        <v>0</v>
      </c>
      <c r="G25" s="163"/>
    </row>
    <row r="26" spans="1:13" ht="54.75" customHeight="1" x14ac:dyDescent="0.25">
      <c r="A26" s="409" t="s">
        <v>394</v>
      </c>
      <c r="B26" s="409" t="s">
        <v>393</v>
      </c>
      <c r="C26" s="198" t="s">
        <v>218</v>
      </c>
      <c r="D26" s="298">
        <f>'[2]2. PRODUCTOS'!L40</f>
        <v>10000</v>
      </c>
      <c r="E26" s="214"/>
      <c r="F26" s="135">
        <f>'[2]2. PRODUCTOS'!AX40</f>
        <v>0</v>
      </c>
      <c r="G26" s="163"/>
    </row>
    <row r="27" spans="1:13" ht="30.75" customHeight="1" x14ac:dyDescent="0.25">
      <c r="A27" s="410"/>
      <c r="B27" s="410"/>
      <c r="C27" s="198" t="s">
        <v>218</v>
      </c>
      <c r="D27" s="298">
        <f>'[2]2. PRODUCTOS'!L41</f>
        <v>3000</v>
      </c>
      <c r="E27" s="214"/>
      <c r="F27" s="135">
        <f>'[2]2. PRODUCTOS'!AX41</f>
        <v>0</v>
      </c>
      <c r="G27" s="163"/>
      <c r="M27" s="292"/>
    </row>
    <row r="28" spans="1:13" ht="30.75" customHeight="1" x14ac:dyDescent="0.25">
      <c r="A28" s="410"/>
      <c r="B28" s="410"/>
      <c r="C28" s="198" t="s">
        <v>218</v>
      </c>
      <c r="D28" s="298">
        <f>'[2]2. PRODUCTOS'!L42</f>
        <v>1000</v>
      </c>
      <c r="E28" s="214"/>
      <c r="F28" s="135">
        <f>'[2]2. PRODUCTOS'!AX42</f>
        <v>0</v>
      </c>
      <c r="G28" s="163"/>
    </row>
    <row r="29" spans="1:13" ht="30.75" customHeight="1" x14ac:dyDescent="0.25">
      <c r="A29" s="411"/>
      <c r="B29" s="411"/>
      <c r="C29" s="198" t="s">
        <v>218</v>
      </c>
      <c r="D29" s="298">
        <f>'[2]2. PRODUCTOS'!L43</f>
        <v>500</v>
      </c>
      <c r="E29" s="214"/>
      <c r="F29" s="135">
        <f>'[2]2. PRODUCTOS'!AX43</f>
        <v>0</v>
      </c>
      <c r="G29" s="163"/>
    </row>
    <row r="30" spans="1:13" ht="30.75" customHeight="1" x14ac:dyDescent="0.25">
      <c r="A30" s="409" t="s">
        <v>392</v>
      </c>
      <c r="B30" s="409" t="s">
        <v>391</v>
      </c>
      <c r="C30" s="198" t="s">
        <v>218</v>
      </c>
      <c r="D30" s="298">
        <f>'[2]2. PRODUCTOS'!L44</f>
        <v>8000</v>
      </c>
      <c r="E30" s="214"/>
      <c r="F30" s="135">
        <f>'[2]2. PRODUCTOS'!AX44</f>
        <v>0</v>
      </c>
      <c r="G30" s="163"/>
    </row>
    <row r="31" spans="1:13" ht="30.75" customHeight="1" x14ac:dyDescent="0.25">
      <c r="A31" s="410"/>
      <c r="B31" s="410"/>
      <c r="C31" s="198" t="s">
        <v>218</v>
      </c>
      <c r="D31" s="298">
        <f>'[2]2. PRODUCTOS'!L45</f>
        <v>3000</v>
      </c>
      <c r="E31" s="214"/>
      <c r="F31" s="135">
        <f>'[2]2. PRODUCTOS'!AX45</f>
        <v>0</v>
      </c>
      <c r="G31" s="163"/>
    </row>
    <row r="32" spans="1:13" ht="30.75" customHeight="1" x14ac:dyDescent="0.25">
      <c r="A32" s="410"/>
      <c r="B32" s="410"/>
      <c r="C32" s="198" t="s">
        <v>218</v>
      </c>
      <c r="D32" s="298">
        <f>'[2]2. PRODUCTOS'!L46</f>
        <v>2000</v>
      </c>
      <c r="E32" s="214"/>
      <c r="F32" s="135">
        <f>'[2]2. PRODUCTOS'!AX46</f>
        <v>0</v>
      </c>
      <c r="G32" s="163"/>
    </row>
    <row r="33" spans="1:7" ht="30.75" customHeight="1" x14ac:dyDescent="0.25">
      <c r="A33" s="410"/>
      <c r="B33" s="410"/>
      <c r="C33" s="198" t="s">
        <v>218</v>
      </c>
      <c r="D33" s="298">
        <f>'[2]2. PRODUCTOS'!L47</f>
        <v>2000</v>
      </c>
      <c r="E33" s="214"/>
      <c r="F33" s="135">
        <f>'[2]2. PRODUCTOS'!AX47</f>
        <v>0</v>
      </c>
      <c r="G33" s="163"/>
    </row>
    <row r="34" spans="1:7" ht="30.75" customHeight="1" x14ac:dyDescent="0.25">
      <c r="A34" s="410"/>
      <c r="B34" s="410"/>
      <c r="C34" s="198" t="s">
        <v>218</v>
      </c>
      <c r="D34" s="298">
        <f>'[2]2. PRODUCTOS'!L48</f>
        <v>15000</v>
      </c>
      <c r="E34" s="214"/>
      <c r="F34" s="135">
        <f>'[2]2. PRODUCTOS'!AX48</f>
        <v>0</v>
      </c>
      <c r="G34" s="163"/>
    </row>
    <row r="35" spans="1:7" ht="30.75" customHeight="1" x14ac:dyDescent="0.25">
      <c r="A35" s="411"/>
      <c r="B35" s="411"/>
      <c r="C35" s="198" t="s">
        <v>157</v>
      </c>
      <c r="D35" s="298">
        <f>'[2]2. PRODUCTOS'!L49</f>
        <v>7500</v>
      </c>
      <c r="E35" s="214"/>
      <c r="F35" s="135">
        <f>'[2]2. PRODUCTOS'!AX49</f>
        <v>0</v>
      </c>
      <c r="G35" s="163"/>
    </row>
    <row r="36" spans="1:7" ht="30.75" customHeight="1" x14ac:dyDescent="0.25">
      <c r="A36" s="409" t="s">
        <v>390</v>
      </c>
      <c r="B36" s="409" t="s">
        <v>389</v>
      </c>
      <c r="C36" s="198" t="s">
        <v>218</v>
      </c>
      <c r="D36" s="298">
        <f>'[2]2. PRODUCTOS'!L29</f>
        <v>18000</v>
      </c>
      <c r="E36" s="214"/>
      <c r="F36" s="135">
        <f>'[2]2. PRODUCTOS'!AX29</f>
        <v>0</v>
      </c>
      <c r="G36" s="163"/>
    </row>
    <row r="37" spans="1:7" ht="30.75" customHeight="1" x14ac:dyDescent="0.25">
      <c r="A37" s="410"/>
      <c r="B37" s="410"/>
      <c r="C37" s="198" t="s">
        <v>218</v>
      </c>
      <c r="D37" s="298">
        <f>'[2]2. PRODUCTOS'!L30</f>
        <v>3000</v>
      </c>
      <c r="E37" s="214"/>
      <c r="F37" s="135">
        <f>'[2]2. PRODUCTOS'!AX30</f>
        <v>0</v>
      </c>
      <c r="G37" s="163"/>
    </row>
    <row r="38" spans="1:7" ht="30.75" customHeight="1" x14ac:dyDescent="0.25">
      <c r="A38" s="410"/>
      <c r="B38" s="410"/>
      <c r="C38" s="198" t="s">
        <v>218</v>
      </c>
      <c r="D38" s="298">
        <f>'[2]2. PRODUCTOS'!L31</f>
        <v>1000</v>
      </c>
      <c r="E38" s="214"/>
      <c r="F38" s="135">
        <f>'[2]2. PRODUCTOS'!AX31</f>
        <v>0</v>
      </c>
      <c r="G38" s="163"/>
    </row>
    <row r="39" spans="1:7" ht="30.75" customHeight="1" x14ac:dyDescent="0.25">
      <c r="A39" s="410"/>
      <c r="B39" s="410"/>
      <c r="C39" s="198" t="s">
        <v>218</v>
      </c>
      <c r="D39" s="298">
        <f>'[2]2. PRODUCTOS'!L32</f>
        <v>1200</v>
      </c>
      <c r="E39" s="214"/>
      <c r="F39" s="135">
        <f>'[2]2. PRODUCTOS'!AX32</f>
        <v>0</v>
      </c>
      <c r="G39" s="163"/>
    </row>
    <row r="40" spans="1:7" ht="30.75" customHeight="1" x14ac:dyDescent="0.25">
      <c r="A40" s="411"/>
      <c r="B40" s="411"/>
      <c r="C40" s="198" t="s">
        <v>218</v>
      </c>
      <c r="D40" s="298">
        <f>'[2]2. PRODUCTOS'!L33</f>
        <v>30000</v>
      </c>
      <c r="E40" s="214"/>
      <c r="F40" s="135">
        <f>'[2]2. PRODUCTOS'!AX33</f>
        <v>0</v>
      </c>
      <c r="G40" s="163"/>
    </row>
    <row r="41" spans="1:7" ht="30.75" customHeight="1" x14ac:dyDescent="0.25">
      <c r="A41" s="409" t="s">
        <v>388</v>
      </c>
      <c r="B41" s="409" t="s">
        <v>387</v>
      </c>
      <c r="C41" s="198" t="s">
        <v>218</v>
      </c>
      <c r="D41" s="298">
        <f>'[2]2. PRODUCTOS'!L52</f>
        <v>5000</v>
      </c>
      <c r="E41" s="214"/>
      <c r="F41" s="135">
        <f>'[2]2. PRODUCTOS'!AX52</f>
        <v>0</v>
      </c>
      <c r="G41" s="163"/>
    </row>
    <row r="42" spans="1:7" ht="30.75" customHeight="1" x14ac:dyDescent="0.25">
      <c r="A42" s="411"/>
      <c r="B42" s="411"/>
      <c r="C42" s="198" t="s">
        <v>218</v>
      </c>
      <c r="D42" s="298">
        <f>'[2]2. PRODUCTOS'!L53</f>
        <v>3000</v>
      </c>
      <c r="E42" s="214"/>
      <c r="F42" s="135">
        <f>'[2]2. PRODUCTOS'!AX53</f>
        <v>0</v>
      </c>
      <c r="G42" s="163"/>
    </row>
    <row r="43" spans="1:7" ht="30.75" customHeight="1" x14ac:dyDescent="0.25">
      <c r="A43" s="409" t="s">
        <v>386</v>
      </c>
      <c r="B43" s="409" t="s">
        <v>385</v>
      </c>
      <c r="C43" s="198" t="s">
        <v>218</v>
      </c>
      <c r="D43" s="298">
        <f>'[2]2. PRODUCTOS'!L34</f>
        <v>10944</v>
      </c>
      <c r="E43" s="214"/>
      <c r="F43" s="135">
        <f>'[2]2. PRODUCTOS'!AX34</f>
        <v>0</v>
      </c>
      <c r="G43" s="163"/>
    </row>
    <row r="44" spans="1:7" ht="30.75" customHeight="1" x14ac:dyDescent="0.25">
      <c r="A44" s="410"/>
      <c r="B44" s="410"/>
      <c r="C44" s="198" t="s">
        <v>218</v>
      </c>
      <c r="D44" s="298">
        <f>'[2]2. PRODUCTOS'!L35</f>
        <v>3000</v>
      </c>
      <c r="E44" s="214"/>
      <c r="F44" s="135">
        <f>'[2]2. PRODUCTOS'!AX35</f>
        <v>0</v>
      </c>
      <c r="G44" s="163"/>
    </row>
    <row r="45" spans="1:7" ht="30.75" customHeight="1" x14ac:dyDescent="0.25">
      <c r="A45" s="410"/>
      <c r="B45" s="410"/>
      <c r="C45" s="198" t="s">
        <v>218</v>
      </c>
      <c r="D45" s="298">
        <f>'[2]2. PRODUCTOS'!L36</f>
        <v>2500</v>
      </c>
      <c r="E45" s="214"/>
      <c r="F45" s="135">
        <f>'[2]2. PRODUCTOS'!AX36</f>
        <v>0</v>
      </c>
      <c r="G45" s="163"/>
    </row>
    <row r="46" spans="1:7" ht="30.75" customHeight="1" x14ac:dyDescent="0.25">
      <c r="A46" s="410"/>
      <c r="B46" s="410"/>
      <c r="C46" s="198" t="s">
        <v>218</v>
      </c>
      <c r="D46" s="298">
        <f>'[2]2. PRODUCTOS'!L37</f>
        <v>1300</v>
      </c>
      <c r="E46" s="214"/>
      <c r="F46" s="135">
        <f>'[2]2. PRODUCTOS'!AX37</f>
        <v>0</v>
      </c>
      <c r="G46" s="163"/>
    </row>
    <row r="47" spans="1:7" ht="30.75" customHeight="1" x14ac:dyDescent="0.25">
      <c r="A47" s="410"/>
      <c r="B47" s="410"/>
      <c r="C47" s="198" t="s">
        <v>218</v>
      </c>
      <c r="D47" s="298">
        <f>'[2]2. PRODUCTOS'!L38</f>
        <v>10000</v>
      </c>
      <c r="E47" s="214"/>
      <c r="F47" s="135">
        <f>'[2]2. PRODUCTOS'!AX38</f>
        <v>0</v>
      </c>
      <c r="G47" s="163"/>
    </row>
    <row r="48" spans="1:7" ht="30.75" customHeight="1" x14ac:dyDescent="0.25">
      <c r="A48" s="411"/>
      <c r="B48" s="411"/>
      <c r="C48" s="198" t="s">
        <v>157</v>
      </c>
      <c r="D48" s="298">
        <v>2500</v>
      </c>
      <c r="E48" s="214"/>
      <c r="F48" s="135">
        <f>'[2]2. PRODUCTOS'!AX39</f>
        <v>0</v>
      </c>
      <c r="G48" s="163"/>
    </row>
    <row r="49" spans="1:7" ht="69.75" customHeight="1" x14ac:dyDescent="0.25">
      <c r="A49" s="195" t="s">
        <v>384</v>
      </c>
      <c r="B49" s="303" t="s">
        <v>383</v>
      </c>
      <c r="C49" s="198" t="s">
        <v>157</v>
      </c>
      <c r="D49" s="298">
        <f>'[2]2. PRODUCTOS'!$L$50</f>
        <v>8000</v>
      </c>
      <c r="E49" s="214">
        <v>0.5</v>
      </c>
      <c r="F49" s="135">
        <f>'[2]2. PRODUCTOS'!$AX$50</f>
        <v>0</v>
      </c>
      <c r="G49" s="163"/>
    </row>
    <row r="50" spans="1:7" ht="57" customHeight="1" x14ac:dyDescent="0.25">
      <c r="A50" s="195" t="s">
        <v>382</v>
      </c>
      <c r="B50" s="303" t="s">
        <v>381</v>
      </c>
      <c r="C50" s="198" t="s">
        <v>157</v>
      </c>
      <c r="D50" s="298">
        <f>'[2]2. PRODUCTOS'!$L$51</f>
        <v>9000</v>
      </c>
      <c r="E50" s="214">
        <v>0.5</v>
      </c>
      <c r="F50" s="135">
        <f>'[2]2. PRODUCTOS'!$AX$51</f>
        <v>0</v>
      </c>
      <c r="G50" s="163"/>
    </row>
    <row r="51" spans="1:7" ht="30.75" customHeight="1" x14ac:dyDescent="0.25">
      <c r="A51" s="195" t="s">
        <v>380</v>
      </c>
      <c r="B51" s="195" t="s">
        <v>379</v>
      </c>
      <c r="C51" s="198" t="s">
        <v>218</v>
      </c>
      <c r="D51" s="298">
        <f>'[2]2. PRODUCTOS'!$L$54</f>
        <v>9000</v>
      </c>
      <c r="E51" s="214"/>
      <c r="F51" s="135">
        <v>4027.59</v>
      </c>
      <c r="G51" s="163"/>
    </row>
    <row r="52" spans="1:7" ht="30.75" customHeight="1" thickBot="1" x14ac:dyDescent="0.3">
      <c r="A52" s="195" t="s">
        <v>378</v>
      </c>
      <c r="B52" s="195" t="s">
        <v>319</v>
      </c>
      <c r="C52" s="198" t="s">
        <v>218</v>
      </c>
      <c r="D52" s="298">
        <f>'[2]2. PRODUCTOS'!$L$56</f>
        <v>11196</v>
      </c>
      <c r="E52" s="214"/>
      <c r="F52" s="135">
        <v>1029.45</v>
      </c>
      <c r="G52" s="163"/>
    </row>
    <row r="53" spans="1:7" ht="40.5" customHeight="1" thickBot="1" x14ac:dyDescent="0.3">
      <c r="A53" s="330" t="s">
        <v>142</v>
      </c>
      <c r="B53" s="331"/>
      <c r="C53" s="415"/>
      <c r="D53" s="132">
        <f>SUM(D10:D17,D21:D50)</f>
        <v>393523</v>
      </c>
      <c r="E53" s="212"/>
      <c r="F53" s="132">
        <f>SUM(F10:F17,F21:F50)</f>
        <v>15403.160000000002</v>
      </c>
      <c r="G53" s="131"/>
    </row>
    <row r="54" spans="1:7" ht="36" customHeight="1" thickBot="1" x14ac:dyDescent="0.3">
      <c r="A54" s="317" t="s">
        <v>377</v>
      </c>
      <c r="B54" s="318"/>
      <c r="C54" s="318"/>
      <c r="D54" s="318"/>
      <c r="E54" s="318"/>
      <c r="F54" s="318"/>
      <c r="G54" s="319"/>
    </row>
    <row r="55" spans="1:7" ht="45.75" customHeight="1" thickBot="1" x14ac:dyDescent="0.3">
      <c r="A55" s="302" t="s">
        <v>12</v>
      </c>
      <c r="B55" s="451" t="s">
        <v>376</v>
      </c>
      <c r="C55" s="392"/>
      <c r="D55" s="392"/>
      <c r="E55" s="392"/>
      <c r="F55" s="392"/>
      <c r="G55" s="452"/>
    </row>
    <row r="56" spans="1:7" ht="53.25" customHeight="1" x14ac:dyDescent="0.25">
      <c r="A56" s="149" t="s">
        <v>156</v>
      </c>
      <c r="B56" s="147" t="s">
        <v>375</v>
      </c>
      <c r="C56" s="453" t="s">
        <v>153</v>
      </c>
      <c r="D56" s="455">
        <f>'[2]2. PRODUCTOS'!$L$66</f>
        <v>10000</v>
      </c>
      <c r="E56" s="457"/>
      <c r="F56" s="459">
        <f>'[2]2. PRODUCTOS'!$AX$66</f>
        <v>0</v>
      </c>
      <c r="G56" s="461"/>
    </row>
    <row r="57" spans="1:7" s="301" customFormat="1" ht="53.25" customHeight="1" x14ac:dyDescent="0.25">
      <c r="A57" s="193" t="s">
        <v>250</v>
      </c>
      <c r="B57" s="195" t="s">
        <v>374</v>
      </c>
      <c r="C57" s="454"/>
      <c r="D57" s="456"/>
      <c r="E57" s="458"/>
      <c r="F57" s="460"/>
      <c r="G57" s="462"/>
    </row>
    <row r="58" spans="1:7" s="301" customFormat="1" ht="78.75" customHeight="1" x14ac:dyDescent="0.25">
      <c r="A58" s="193" t="s">
        <v>223</v>
      </c>
      <c r="B58" s="195" t="s">
        <v>373</v>
      </c>
      <c r="C58" s="198" t="s">
        <v>153</v>
      </c>
      <c r="D58" s="298">
        <f>'[2]2. PRODUCTOS'!$L$68</f>
        <v>10000</v>
      </c>
      <c r="E58" s="136"/>
      <c r="F58" s="135">
        <f>'[2]2. PRODUCTOS'!$AX$68</f>
        <v>0</v>
      </c>
      <c r="G58" s="181"/>
    </row>
    <row r="59" spans="1:7" s="301" customFormat="1" ht="73.5" customHeight="1" x14ac:dyDescent="0.25">
      <c r="A59" s="193" t="s">
        <v>224</v>
      </c>
      <c r="B59" s="195" t="s">
        <v>372</v>
      </c>
      <c r="C59" s="198" t="s">
        <v>153</v>
      </c>
      <c r="D59" s="298">
        <f>'[2]2. PRODUCTOS'!$L$69</f>
        <v>9000</v>
      </c>
      <c r="E59" s="136"/>
      <c r="F59" s="135">
        <f>'[2]2. PRODUCTOS'!$AX$69</f>
        <v>0</v>
      </c>
      <c r="G59" s="181"/>
    </row>
    <row r="60" spans="1:7" s="301" customFormat="1" ht="76.5" customHeight="1" x14ac:dyDescent="0.25">
      <c r="A60" s="193" t="s">
        <v>225</v>
      </c>
      <c r="B60" s="195" t="s">
        <v>371</v>
      </c>
      <c r="C60" s="445" t="s">
        <v>153</v>
      </c>
      <c r="D60" s="446">
        <f>'[2]2. PRODUCTOS'!$L$71</f>
        <v>17958.07</v>
      </c>
      <c r="E60" s="416"/>
      <c r="F60" s="447">
        <f>'[2]2. PRODUCTOS'!$AX$71</f>
        <v>0</v>
      </c>
      <c r="G60" s="448"/>
    </row>
    <row r="61" spans="1:7" s="301" customFormat="1" ht="78" customHeight="1" x14ac:dyDescent="0.25">
      <c r="A61" s="193" t="s">
        <v>370</v>
      </c>
      <c r="B61" s="195" t="s">
        <v>369</v>
      </c>
      <c r="C61" s="431"/>
      <c r="D61" s="434"/>
      <c r="E61" s="417"/>
      <c r="F61" s="440"/>
      <c r="G61" s="449"/>
    </row>
    <row r="62" spans="1:7" s="301" customFormat="1" ht="70.5" customHeight="1" x14ac:dyDescent="0.25">
      <c r="A62" s="193" t="s">
        <v>368</v>
      </c>
      <c r="B62" s="195" t="s">
        <v>367</v>
      </c>
      <c r="C62" s="432"/>
      <c r="D62" s="435"/>
      <c r="E62" s="418"/>
      <c r="F62" s="441"/>
      <c r="G62" s="450"/>
    </row>
    <row r="63" spans="1:7" s="301" customFormat="1" ht="49.5" customHeight="1" x14ac:dyDescent="0.25">
      <c r="A63" s="193" t="s">
        <v>366</v>
      </c>
      <c r="B63" s="195" t="s">
        <v>365</v>
      </c>
      <c r="C63" s="198" t="s">
        <v>153</v>
      </c>
      <c r="D63" s="298">
        <f>'[2]2. PRODUCTOS'!$L$74</f>
        <v>20000</v>
      </c>
      <c r="E63" s="136"/>
      <c r="F63" s="135">
        <f>'[2]2. PRODUCTOS'!AX74</f>
        <v>0</v>
      </c>
      <c r="G63" s="181"/>
    </row>
    <row r="64" spans="1:7" s="301" customFormat="1" ht="51" customHeight="1" x14ac:dyDescent="0.25">
      <c r="A64" s="193" t="s">
        <v>364</v>
      </c>
      <c r="B64" s="195" t="s">
        <v>363</v>
      </c>
      <c r="C64" s="198" t="s">
        <v>153</v>
      </c>
      <c r="D64" s="298">
        <f>'[2]2. PRODUCTOS'!$L$75</f>
        <v>20000</v>
      </c>
      <c r="E64" s="136"/>
      <c r="F64" s="135">
        <f>'[2]2. PRODUCTOS'!AX75</f>
        <v>0</v>
      </c>
      <c r="G64" s="181"/>
    </row>
    <row r="65" spans="1:15" s="301" customFormat="1" ht="75.75" customHeight="1" x14ac:dyDescent="0.25">
      <c r="A65" s="193" t="s">
        <v>362</v>
      </c>
      <c r="B65" s="195" t="s">
        <v>361</v>
      </c>
      <c r="C65" s="198" t="s">
        <v>153</v>
      </c>
      <c r="D65" s="298">
        <f>'[2]2. PRODUCTOS'!$L$76</f>
        <v>27950</v>
      </c>
      <c r="E65" s="136"/>
      <c r="F65" s="135">
        <v>27950</v>
      </c>
      <c r="G65" s="181"/>
    </row>
    <row r="66" spans="1:15" s="301" customFormat="1" ht="74.25" customHeight="1" x14ac:dyDescent="0.25">
      <c r="A66" s="193" t="s">
        <v>360</v>
      </c>
      <c r="B66" s="195" t="s">
        <v>359</v>
      </c>
      <c r="C66" s="198" t="s">
        <v>153</v>
      </c>
      <c r="D66" s="298">
        <f>'[2]2. PRODUCTOS'!$L$77</f>
        <v>24421.25</v>
      </c>
      <c r="E66" s="136"/>
      <c r="F66" s="135">
        <v>12210.62</v>
      </c>
      <c r="G66" s="181"/>
    </row>
    <row r="67" spans="1:15" s="301" customFormat="1" ht="45" customHeight="1" x14ac:dyDescent="0.25">
      <c r="A67" s="193" t="s">
        <v>358</v>
      </c>
      <c r="B67" s="195" t="s">
        <v>332</v>
      </c>
      <c r="C67" s="198" t="s">
        <v>153</v>
      </c>
      <c r="D67" s="298">
        <f>'[2]2. PRODUCTOS'!$L$78</f>
        <v>46800</v>
      </c>
      <c r="E67" s="136"/>
      <c r="F67" s="135">
        <v>11700</v>
      </c>
      <c r="G67" s="181"/>
    </row>
    <row r="68" spans="1:15" s="301" customFormat="1" ht="26.25" customHeight="1" x14ac:dyDescent="0.25">
      <c r="A68" s="193" t="s">
        <v>357</v>
      </c>
      <c r="B68" s="195" t="s">
        <v>330</v>
      </c>
      <c r="C68" s="198" t="s">
        <v>153</v>
      </c>
      <c r="D68" s="298">
        <f>'[2]2. PRODUCTOS'!$L$79</f>
        <v>3825</v>
      </c>
      <c r="E68" s="136"/>
      <c r="F68" s="135">
        <f>'[2]2. PRODUCTOS'!AX79</f>
        <v>0</v>
      </c>
      <c r="G68" s="181"/>
    </row>
    <row r="69" spans="1:15" s="301" customFormat="1" ht="42" customHeight="1" x14ac:dyDescent="0.25">
      <c r="A69" s="193" t="s">
        <v>356</v>
      </c>
      <c r="B69" s="195" t="s">
        <v>355</v>
      </c>
      <c r="C69" s="198" t="s">
        <v>153</v>
      </c>
      <c r="D69" s="298">
        <f>'[2]2. PRODUCTOS'!$L$80</f>
        <v>20000</v>
      </c>
      <c r="E69" s="136"/>
      <c r="F69" s="135">
        <v>5000</v>
      </c>
      <c r="G69" s="181"/>
    </row>
    <row r="70" spans="1:15" s="301" customFormat="1" ht="24" customHeight="1" x14ac:dyDescent="0.25">
      <c r="A70" s="193" t="s">
        <v>354</v>
      </c>
      <c r="B70" s="195" t="s">
        <v>328</v>
      </c>
      <c r="C70" s="198" t="s">
        <v>153</v>
      </c>
      <c r="D70" s="298">
        <f>'[2]2. PRODUCTOS'!$L$81</f>
        <v>6300</v>
      </c>
      <c r="E70" s="136"/>
      <c r="F70" s="135">
        <v>1575</v>
      </c>
      <c r="G70" s="181"/>
    </row>
    <row r="71" spans="1:15" s="301" customFormat="1" ht="30.75" customHeight="1" thickBot="1" x14ac:dyDescent="0.3">
      <c r="A71" s="194" t="s">
        <v>353</v>
      </c>
      <c r="B71" s="196" t="s">
        <v>319</v>
      </c>
      <c r="C71" s="143" t="s">
        <v>153</v>
      </c>
      <c r="D71" s="297">
        <f>'[2]2. PRODUCTOS'!$L$82</f>
        <v>11375</v>
      </c>
      <c r="E71" s="142"/>
      <c r="F71" s="141">
        <v>4090.49</v>
      </c>
      <c r="G71" s="123"/>
    </row>
    <row r="72" spans="1:15" ht="73.5" customHeight="1" thickBot="1" x14ac:dyDescent="0.3">
      <c r="A72" s="300" t="s">
        <v>15</v>
      </c>
      <c r="B72" s="422" t="s">
        <v>352</v>
      </c>
      <c r="C72" s="423"/>
      <c r="D72" s="423"/>
      <c r="E72" s="423"/>
      <c r="F72" s="423"/>
      <c r="G72" s="424"/>
    </row>
    <row r="73" spans="1:15" ht="53.25" customHeight="1" x14ac:dyDescent="0.25">
      <c r="A73" s="149" t="s">
        <v>351</v>
      </c>
      <c r="B73" s="146" t="s">
        <v>350</v>
      </c>
      <c r="C73" s="430" t="s">
        <v>153</v>
      </c>
      <c r="D73" s="433">
        <f>'[2]2. PRODUCTOS'!$L$87</f>
        <v>10000</v>
      </c>
      <c r="E73" s="436"/>
      <c r="F73" s="439">
        <f>'[2]2. PRODUCTOS'!$AX$87</f>
        <v>0</v>
      </c>
      <c r="G73" s="442"/>
    </row>
    <row r="74" spans="1:15" ht="47.25" customHeight="1" thickBot="1" x14ac:dyDescent="0.3">
      <c r="A74" s="138" t="s">
        <v>349</v>
      </c>
      <c r="B74" s="137" t="s">
        <v>348</v>
      </c>
      <c r="C74" s="431"/>
      <c r="D74" s="434"/>
      <c r="E74" s="437"/>
      <c r="F74" s="440"/>
      <c r="G74" s="443"/>
    </row>
    <row r="75" spans="1:15" ht="51.75" customHeight="1" x14ac:dyDescent="0.25">
      <c r="A75" s="149" t="s">
        <v>347</v>
      </c>
      <c r="B75" s="137" t="s">
        <v>346</v>
      </c>
      <c r="C75" s="432"/>
      <c r="D75" s="435"/>
      <c r="E75" s="438"/>
      <c r="F75" s="441"/>
      <c r="G75" s="444"/>
    </row>
    <row r="76" spans="1:15" ht="59.25" customHeight="1" thickBot="1" x14ac:dyDescent="0.3">
      <c r="A76" s="138" t="s">
        <v>345</v>
      </c>
      <c r="B76" s="137" t="s">
        <v>344</v>
      </c>
      <c r="C76" s="198" t="s">
        <v>153</v>
      </c>
      <c r="D76" s="298">
        <f>'[2]2. PRODUCTOS'!$L$90</f>
        <v>5000</v>
      </c>
      <c r="E76" s="136"/>
      <c r="F76" s="135">
        <f>'[2]2. PRODUCTOS'!$AX$90</f>
        <v>0</v>
      </c>
      <c r="G76" s="134"/>
    </row>
    <row r="77" spans="1:15" ht="83.25" customHeight="1" x14ac:dyDescent="0.25">
      <c r="A77" s="149" t="s">
        <v>343</v>
      </c>
      <c r="B77" s="137" t="s">
        <v>342</v>
      </c>
      <c r="C77" s="198" t="s">
        <v>153</v>
      </c>
      <c r="D77" s="298">
        <f>'[2]2. PRODUCTOS'!$L$91</f>
        <v>6005.77</v>
      </c>
      <c r="E77" s="136"/>
      <c r="F77" s="135">
        <v>3002.88</v>
      </c>
      <c r="G77" s="134"/>
    </row>
    <row r="78" spans="1:15" ht="91.5" customHeight="1" thickBot="1" x14ac:dyDescent="0.3">
      <c r="A78" s="138" t="s">
        <v>341</v>
      </c>
      <c r="B78" s="137" t="s">
        <v>340</v>
      </c>
      <c r="C78" s="198" t="s">
        <v>153</v>
      </c>
      <c r="D78" s="298">
        <f>'[2]2. PRODUCTOS'!$L$92</f>
        <v>10000</v>
      </c>
      <c r="E78" s="136"/>
      <c r="F78" s="135">
        <f>'[2]2. PRODUCTOS'!$AX$92</f>
        <v>0</v>
      </c>
      <c r="G78" s="134"/>
      <c r="O78" s="111" t="s">
        <v>153</v>
      </c>
    </row>
    <row r="79" spans="1:15" ht="68.25" customHeight="1" x14ac:dyDescent="0.25">
      <c r="A79" s="149" t="s">
        <v>339</v>
      </c>
      <c r="B79" s="137" t="s">
        <v>338</v>
      </c>
      <c r="C79" s="198" t="s">
        <v>153</v>
      </c>
      <c r="D79" s="298">
        <f>'[2]2. PRODUCTOS'!L93</f>
        <v>7600</v>
      </c>
      <c r="E79" s="136"/>
      <c r="F79" s="135">
        <v>2000</v>
      </c>
      <c r="G79" s="134"/>
    </row>
    <row r="80" spans="1:15" ht="94.5" customHeight="1" thickBot="1" x14ac:dyDescent="0.3">
      <c r="A80" s="138" t="s">
        <v>337</v>
      </c>
      <c r="B80" s="137" t="s">
        <v>336</v>
      </c>
      <c r="C80" s="198" t="s">
        <v>153</v>
      </c>
      <c r="D80" s="298">
        <f>'[2]2. PRODUCTOS'!L94</f>
        <v>6000</v>
      </c>
      <c r="E80" s="136"/>
      <c r="F80" s="135">
        <f>'[2]2. PRODUCTOS'!AX94</f>
        <v>0</v>
      </c>
      <c r="G80" s="134"/>
    </row>
    <row r="81" spans="1:7" ht="51" customHeight="1" x14ac:dyDescent="0.25">
      <c r="A81" s="149" t="s">
        <v>335</v>
      </c>
      <c r="B81" s="137" t="s">
        <v>334</v>
      </c>
      <c r="C81" s="198" t="s">
        <v>153</v>
      </c>
      <c r="D81" s="298">
        <f>'[2]2. PRODUCTOS'!L95</f>
        <v>7214.91</v>
      </c>
      <c r="E81" s="136"/>
      <c r="F81" s="135">
        <f>'[2]2. PRODUCTOS'!AX95</f>
        <v>0</v>
      </c>
      <c r="G81" s="134"/>
    </row>
    <row r="82" spans="1:7" ht="39.75" customHeight="1" thickBot="1" x14ac:dyDescent="0.3">
      <c r="A82" s="138" t="s">
        <v>333</v>
      </c>
      <c r="B82" s="137" t="s">
        <v>332</v>
      </c>
      <c r="C82" s="198" t="s">
        <v>153</v>
      </c>
      <c r="D82" s="298">
        <f>'[2]2. PRODUCTOS'!L96</f>
        <v>46800</v>
      </c>
      <c r="E82" s="136"/>
      <c r="F82" s="135">
        <v>11700</v>
      </c>
      <c r="G82" s="134"/>
    </row>
    <row r="83" spans="1:7" ht="30" customHeight="1" x14ac:dyDescent="0.25">
      <c r="A83" s="149" t="s">
        <v>331</v>
      </c>
      <c r="B83" s="137" t="s">
        <v>330</v>
      </c>
      <c r="C83" s="198" t="s">
        <v>153</v>
      </c>
      <c r="D83" s="298">
        <f>'[2]2. PRODUCTOS'!L97</f>
        <v>3825</v>
      </c>
      <c r="E83" s="136"/>
      <c r="F83" s="135">
        <f>'[2]2. PRODUCTOS'!AX97</f>
        <v>0</v>
      </c>
      <c r="G83" s="134"/>
    </row>
    <row r="84" spans="1:7" ht="32.25" customHeight="1" thickBot="1" x14ac:dyDescent="0.3">
      <c r="A84" s="138" t="s">
        <v>329</v>
      </c>
      <c r="B84" s="137" t="s">
        <v>328</v>
      </c>
      <c r="C84" s="198" t="s">
        <v>153</v>
      </c>
      <c r="D84" s="298">
        <f>'[2]2. PRODUCTOS'!L98</f>
        <v>6300</v>
      </c>
      <c r="E84" s="136"/>
      <c r="F84" s="135">
        <v>1575</v>
      </c>
      <c r="G84" s="134"/>
    </row>
    <row r="85" spans="1:7" ht="39.75" customHeight="1" thickBot="1" x14ac:dyDescent="0.3">
      <c r="A85" s="149" t="s">
        <v>327</v>
      </c>
      <c r="B85" s="208" t="s">
        <v>319</v>
      </c>
      <c r="C85" s="148"/>
      <c r="D85" s="297">
        <f>'[2]2. PRODUCTOS'!L99</f>
        <v>11375</v>
      </c>
      <c r="E85" s="142"/>
      <c r="F85" s="141">
        <v>1279.45</v>
      </c>
      <c r="G85" s="140"/>
    </row>
    <row r="86" spans="1:7" ht="42.75" customHeight="1" thickBot="1" x14ac:dyDescent="0.3">
      <c r="A86" s="330" t="s">
        <v>142</v>
      </c>
      <c r="B86" s="331"/>
      <c r="C86" s="415"/>
      <c r="D86" s="132">
        <f>SUM(D56:D69,D73:D83)</f>
        <v>312400</v>
      </c>
      <c r="E86" s="133"/>
      <c r="F86" s="132">
        <f>SUM(F56:F69,F73:F83)</f>
        <v>73563.5</v>
      </c>
      <c r="G86" s="131"/>
    </row>
    <row r="87" spans="1:7" ht="42.75" customHeight="1" thickBot="1" x14ac:dyDescent="0.3">
      <c r="A87" s="317" t="s">
        <v>326</v>
      </c>
      <c r="B87" s="318"/>
      <c r="C87" s="318"/>
      <c r="D87" s="318"/>
      <c r="E87" s="318"/>
      <c r="F87" s="318"/>
      <c r="G87" s="319"/>
    </row>
    <row r="88" spans="1:7" ht="42.75" customHeight="1" thickBot="1" x14ac:dyDescent="0.3">
      <c r="A88" s="300" t="s">
        <v>152</v>
      </c>
      <c r="B88" s="422" t="s">
        <v>325</v>
      </c>
      <c r="C88" s="423"/>
      <c r="D88" s="423"/>
      <c r="E88" s="423"/>
      <c r="F88" s="423"/>
      <c r="G88" s="424"/>
    </row>
    <row r="89" spans="1:7" ht="50.25" customHeight="1" x14ac:dyDescent="0.25">
      <c r="A89" s="425" t="s">
        <v>151</v>
      </c>
      <c r="B89" s="426" t="s">
        <v>324</v>
      </c>
      <c r="C89" s="427"/>
      <c r="D89" s="299">
        <f>'[2]2. PRODUCTOS'!L108</f>
        <v>12000</v>
      </c>
      <c r="E89" s="428"/>
      <c r="F89" s="145">
        <f>'[2]2. PRODUCTOS'!AX108</f>
        <v>0</v>
      </c>
      <c r="G89" s="429"/>
    </row>
    <row r="90" spans="1:7" ht="24" customHeight="1" x14ac:dyDescent="0.25">
      <c r="A90" s="407"/>
      <c r="B90" s="410"/>
      <c r="C90" s="413"/>
      <c r="D90" s="298">
        <f>'[2]2. PRODUCTOS'!L109</f>
        <v>6000</v>
      </c>
      <c r="E90" s="417"/>
      <c r="F90" s="135">
        <v>3203.78</v>
      </c>
      <c r="G90" s="420"/>
    </row>
    <row r="91" spans="1:7" ht="24.75" customHeight="1" x14ac:dyDescent="0.25">
      <c r="A91" s="407"/>
      <c r="B91" s="410"/>
      <c r="C91" s="413"/>
      <c r="D91" s="298">
        <f>'[2]2. PRODUCTOS'!L110</f>
        <v>1000</v>
      </c>
      <c r="E91" s="417"/>
      <c r="F91" s="135">
        <v>1447.6</v>
      </c>
      <c r="G91" s="420"/>
    </row>
    <row r="92" spans="1:7" ht="24.75" customHeight="1" x14ac:dyDescent="0.25">
      <c r="A92" s="407"/>
      <c r="B92" s="410"/>
      <c r="C92" s="413"/>
      <c r="D92" s="298">
        <f>'[2]2. PRODUCTOS'!L111</f>
        <v>2000</v>
      </c>
      <c r="E92" s="417"/>
      <c r="F92" s="135">
        <f>'[2]2. PRODUCTOS'!AX111</f>
        <v>0</v>
      </c>
      <c r="G92" s="420"/>
    </row>
    <row r="93" spans="1:7" ht="24.75" customHeight="1" x14ac:dyDescent="0.25">
      <c r="A93" s="408"/>
      <c r="B93" s="411"/>
      <c r="C93" s="414"/>
      <c r="D93" s="298">
        <f>'[2]2. PRODUCTOS'!L112</f>
        <v>15000</v>
      </c>
      <c r="E93" s="418"/>
      <c r="F93" s="135">
        <f>'[2]2. PRODUCTOS'!AX112</f>
        <v>0</v>
      </c>
      <c r="G93" s="421"/>
    </row>
    <row r="94" spans="1:7" ht="24.75" customHeight="1" x14ac:dyDescent="0.25">
      <c r="A94" s="406" t="s">
        <v>323</v>
      </c>
      <c r="B94" s="409" t="s">
        <v>322</v>
      </c>
      <c r="C94" s="412"/>
      <c r="D94" s="298">
        <f>'[2]2. PRODUCTOS'!L113</f>
        <v>24000</v>
      </c>
      <c r="E94" s="416"/>
      <c r="F94" s="135">
        <f>'[2]2. PRODUCTOS'!AX113</f>
        <v>0</v>
      </c>
      <c r="G94" s="419"/>
    </row>
    <row r="95" spans="1:7" ht="24.75" customHeight="1" x14ac:dyDescent="0.25">
      <c r="A95" s="407"/>
      <c r="B95" s="410"/>
      <c r="C95" s="413"/>
      <c r="D95" s="298">
        <f>'[2]2. PRODUCTOS'!L114</f>
        <v>6000</v>
      </c>
      <c r="E95" s="417"/>
      <c r="F95" s="135">
        <f>'[2]2. PRODUCTOS'!AX114</f>
        <v>0</v>
      </c>
      <c r="G95" s="420"/>
    </row>
    <row r="96" spans="1:7" ht="24.75" customHeight="1" x14ac:dyDescent="0.25">
      <c r="A96" s="407"/>
      <c r="B96" s="410"/>
      <c r="C96" s="413"/>
      <c r="D96" s="298">
        <f>'[2]2. PRODUCTOS'!L115</f>
        <v>3000</v>
      </c>
      <c r="E96" s="417"/>
      <c r="F96" s="135">
        <f>'[2]2. PRODUCTOS'!AX115</f>
        <v>0</v>
      </c>
      <c r="G96" s="420"/>
    </row>
    <row r="97" spans="1:7" ht="24.75" customHeight="1" x14ac:dyDescent="0.25">
      <c r="A97" s="407"/>
      <c r="B97" s="410"/>
      <c r="C97" s="413"/>
      <c r="D97" s="298">
        <f>'[2]2. PRODUCTOS'!L116</f>
        <v>2000</v>
      </c>
      <c r="E97" s="417"/>
      <c r="F97" s="135">
        <f>'[2]2. PRODUCTOS'!AX116</f>
        <v>0</v>
      </c>
      <c r="G97" s="420"/>
    </row>
    <row r="98" spans="1:7" ht="24.75" customHeight="1" x14ac:dyDescent="0.25">
      <c r="A98" s="408"/>
      <c r="B98" s="411"/>
      <c r="C98" s="414"/>
      <c r="D98" s="298">
        <f>'[2]2. PRODUCTOS'!L117</f>
        <v>25000</v>
      </c>
      <c r="E98" s="418"/>
      <c r="F98" s="135">
        <f>'[2]2. PRODUCTOS'!AX117</f>
        <v>0</v>
      </c>
      <c r="G98" s="421"/>
    </row>
    <row r="99" spans="1:7" ht="24.75" customHeight="1" x14ac:dyDescent="0.25">
      <c r="A99" s="138" t="s">
        <v>149</v>
      </c>
      <c r="B99" s="137" t="s">
        <v>321</v>
      </c>
      <c r="C99" s="198"/>
      <c r="D99" s="298">
        <f>'[2]2. PRODUCTOS'!$L$118</f>
        <v>4000</v>
      </c>
      <c r="E99" s="136"/>
      <c r="F99" s="135">
        <f>'[2]2. PRODUCTOS'!$AX$118</f>
        <v>0</v>
      </c>
      <c r="G99" s="134"/>
    </row>
    <row r="100" spans="1:7" ht="24.75" customHeight="1" thickBot="1" x14ac:dyDescent="0.3">
      <c r="A100" s="207" t="s">
        <v>320</v>
      </c>
      <c r="B100" s="208" t="s">
        <v>319</v>
      </c>
      <c r="C100" s="143"/>
      <c r="D100" s="297">
        <f>'[2]2. PRODUCTOS'!$L$119</f>
        <v>7000</v>
      </c>
      <c r="E100" s="142"/>
      <c r="F100" s="141">
        <v>325.60000000000002</v>
      </c>
      <c r="G100" s="140"/>
    </row>
    <row r="101" spans="1:7" ht="47.25" customHeight="1" thickBot="1" x14ac:dyDescent="0.3">
      <c r="A101" s="330" t="s">
        <v>142</v>
      </c>
      <c r="B101" s="331"/>
      <c r="C101" s="415"/>
      <c r="D101" s="132">
        <f>SUM(D89:D98)</f>
        <v>96000</v>
      </c>
      <c r="E101" s="133"/>
      <c r="F101" s="132">
        <f>SUM(F89:F98)</f>
        <v>4651.38</v>
      </c>
      <c r="G101" s="131"/>
    </row>
    <row r="102" spans="1:7" ht="56.25" customHeight="1" x14ac:dyDescent="0.25">
      <c r="A102" s="130" t="s">
        <v>50</v>
      </c>
      <c r="B102" s="129"/>
      <c r="C102" s="128"/>
      <c r="D102" s="286"/>
      <c r="E102" s="128"/>
      <c r="F102" s="128"/>
      <c r="G102" s="127"/>
    </row>
    <row r="103" spans="1:7" ht="54" customHeight="1" thickBot="1" x14ac:dyDescent="0.3">
      <c r="A103" s="207" t="s">
        <v>51</v>
      </c>
      <c r="B103" s="126"/>
      <c r="C103" s="124"/>
      <c r="D103" s="125">
        <f>SUM(D18,D51,D70,D84,D99)</f>
        <v>132600</v>
      </c>
      <c r="E103" s="124"/>
      <c r="F103" s="125">
        <f>SUM(F18,F51,F70,F84,F99)</f>
        <v>61302.06</v>
      </c>
      <c r="G103" s="123"/>
    </row>
    <row r="104" spans="1:7" ht="15.75" customHeight="1" thickBot="1" x14ac:dyDescent="0.3">
      <c r="A104" s="122" t="s">
        <v>52</v>
      </c>
      <c r="B104" s="121" t="s">
        <v>30</v>
      </c>
      <c r="C104" s="121"/>
      <c r="D104" s="296"/>
      <c r="E104" s="295"/>
      <c r="F104" s="294">
        <f>SUM(F102:F103)</f>
        <v>61302.06</v>
      </c>
      <c r="G104" s="293"/>
    </row>
    <row r="105" spans="1:7" ht="15.75" x14ac:dyDescent="0.25">
      <c r="A105" s="375" t="s">
        <v>141</v>
      </c>
      <c r="B105" s="376"/>
      <c r="C105" s="376"/>
      <c r="D105" s="119">
        <f>SUM(D86,D101,D103)</f>
        <v>541000</v>
      </c>
      <c r="E105" s="120"/>
      <c r="F105" s="119">
        <f>SUM(F53,F86,F101)</f>
        <v>93618.040000000008</v>
      </c>
      <c r="G105" s="118"/>
    </row>
    <row r="106" spans="1:7" ht="16.5" customHeight="1" x14ac:dyDescent="0.25">
      <c r="A106" s="372" t="s">
        <v>140</v>
      </c>
      <c r="B106" s="373"/>
      <c r="C106" s="373"/>
      <c r="D106" s="116">
        <f>D105*0.07</f>
        <v>37870</v>
      </c>
      <c r="E106" s="117"/>
      <c r="F106" s="116">
        <f>F105*0.07</f>
        <v>6553.2628000000013</v>
      </c>
      <c r="G106" s="115"/>
    </row>
    <row r="107" spans="1:7" ht="16.5" thickBot="1" x14ac:dyDescent="0.3">
      <c r="A107" s="365" t="s">
        <v>139</v>
      </c>
      <c r="B107" s="366"/>
      <c r="C107" s="366"/>
      <c r="D107" s="113">
        <f>IFERROR(D105+D106,0)</f>
        <v>578870</v>
      </c>
      <c r="E107" s="114"/>
      <c r="F107" s="113">
        <f>IFERROR(SUM(F105:F106),0)</f>
        <v>100171.3028</v>
      </c>
      <c r="G107" s="112"/>
    </row>
    <row r="109" spans="1:7" x14ac:dyDescent="0.25">
      <c r="D109" s="292"/>
    </row>
    <row r="110" spans="1:7" x14ac:dyDescent="0.25">
      <c r="D110" s="292"/>
    </row>
    <row r="113" spans="6:6" x14ac:dyDescent="0.25">
      <c r="F113" s="111">
        <f>F107/D107</f>
        <v>0.17304628465804067</v>
      </c>
    </row>
  </sheetData>
  <sheetProtection algorithmName="SHA-512" hashValue="1mVHKAMUMeR01q5a7/Vp7mz5dbNqX0T7S7ZrlZvMe+cfogIxrhoImebR7F6b8IrmmgtH06EtPh4qaudfsaqA+w==" saltValue="BkUQ5bs3ChgnHC5kcuI0KA==" spinCount="100000" sheet="1" objects="1" scenarios="1" formatCells="0" formatColumns="0" formatRows="0"/>
  <mergeCells count="52">
    <mergeCell ref="C7:D7"/>
    <mergeCell ref="A8:G8"/>
    <mergeCell ref="B9:G9"/>
    <mergeCell ref="B20:G20"/>
    <mergeCell ref="A21:A25"/>
    <mergeCell ref="B21:B25"/>
    <mergeCell ref="A26:A29"/>
    <mergeCell ref="B26:B29"/>
    <mergeCell ref="A30:A35"/>
    <mergeCell ref="B30:B35"/>
    <mergeCell ref="A36:A40"/>
    <mergeCell ref="B36:B40"/>
    <mergeCell ref="A41:A42"/>
    <mergeCell ref="B41:B42"/>
    <mergeCell ref="A43:A48"/>
    <mergeCell ref="B43:B48"/>
    <mergeCell ref="A53:C53"/>
    <mergeCell ref="A54:G54"/>
    <mergeCell ref="B55:G55"/>
    <mergeCell ref="C56:C57"/>
    <mergeCell ref="D56:D57"/>
    <mergeCell ref="E56:E57"/>
    <mergeCell ref="F56:F57"/>
    <mergeCell ref="G56:G57"/>
    <mergeCell ref="C60:C62"/>
    <mergeCell ref="D60:D62"/>
    <mergeCell ref="E60:E62"/>
    <mergeCell ref="F60:F62"/>
    <mergeCell ref="G60:G62"/>
    <mergeCell ref="B72:G72"/>
    <mergeCell ref="C73:C75"/>
    <mergeCell ref="D73:D75"/>
    <mergeCell ref="E73:E75"/>
    <mergeCell ref="F73:F75"/>
    <mergeCell ref="G73:G75"/>
    <mergeCell ref="A86:C86"/>
    <mergeCell ref="E94:E98"/>
    <mergeCell ref="G94:G98"/>
    <mergeCell ref="A101:C101"/>
    <mergeCell ref="A87:G87"/>
    <mergeCell ref="B88:G88"/>
    <mergeCell ref="A89:A93"/>
    <mergeCell ref="B89:B93"/>
    <mergeCell ref="C89:C93"/>
    <mergeCell ref="E89:E93"/>
    <mergeCell ref="G89:G93"/>
    <mergeCell ref="A105:C105"/>
    <mergeCell ref="A106:C106"/>
    <mergeCell ref="A107:C107"/>
    <mergeCell ref="A94:A98"/>
    <mergeCell ref="B94:B98"/>
    <mergeCell ref="C94:C98"/>
  </mergeCells>
  <pageMargins left="0.7" right="0.7" top="0.75" bottom="0.75" header="0.3" footer="0.3"/>
  <pageSetup scale="3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0A61EE7A-5E93-4E70-B72E-77833BB25049}">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1.1 GTM Project Budget</vt:lpstr>
      <vt:lpstr>1.2 GTM Budget Cost Categoy</vt:lpstr>
      <vt:lpstr>2.1 SLV Project Budget</vt:lpstr>
      <vt:lpstr>2.1.A Budget Cost Category</vt:lpstr>
      <vt:lpstr>3.1 HN 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 </cp:lastModifiedBy>
  <cp:lastPrinted>2018-11-16T16:15:49Z</cp:lastPrinted>
  <dcterms:created xsi:type="dcterms:W3CDTF">2017-11-15T21:17:43Z</dcterms:created>
  <dcterms:modified xsi:type="dcterms:W3CDTF">2018-11-16T16:39:53Z</dcterms:modified>
</cp:coreProperties>
</file>